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7520" windowHeight="12240" activeTab="1"/>
  </bookViews>
  <sheets>
    <sheet name="Assumptions" sheetId="1" r:id="rId1"/>
    <sheet name="Cost Model" sheetId="2" r:id="rId2"/>
    <sheet name="Store Forever" sheetId="5" r:id="rId3"/>
    <sheet name="Sheet2" sheetId="6" r:id="rId4"/>
  </sheets>
  <definedNames>
    <definedName name="Begin">Assumptions!$B$3</definedName>
    <definedName name="d1ratio">Assumptions!$J$10</definedName>
    <definedName name="d2ratio">Assumptions!$J$11</definedName>
    <definedName name="Disk1">Assumptions!$C$43</definedName>
    <definedName name="Disk2">Assumptions!$C$44</definedName>
    <definedName name="DiskDen">Assumptions!$B$20</definedName>
    <definedName name="dratio">Assumptions!$C$10</definedName>
    <definedName name="Eleccost">Assumptions!$C$34</definedName>
    <definedName name="ElecInc">Assumptions!$C$37</definedName>
    <definedName name="FacOpex">Assumptions!$C$39</definedName>
    <definedName name="Incopex">Assumptions!$C$40</definedName>
    <definedName name="Maint">Assumptions!$B$47</definedName>
    <definedName name="Mid">Assumptions!$B$27</definedName>
    <definedName name="Midcase">Assumptions!$B$6</definedName>
    <definedName name="offsite">Assumptions!$B$22</definedName>
    <definedName name="pue">Assumptions!$C$35</definedName>
    <definedName name="Pwractive">Assumptions!$D$43</definedName>
    <definedName name="Pwrtape">Assumptions!$D$45</definedName>
    <definedName name="Pwrtrans">Assumptions!$D$44</definedName>
    <definedName name="Start">Assumptions!$B$24</definedName>
    <definedName name="StorageFactor">'Store Forever'!$D$13</definedName>
    <definedName name="StorageRed">Assumptions!$B$21</definedName>
    <definedName name="Tape">Assumptions!$C$45</definedName>
    <definedName name="TapeDen">Assumptions!$B$19</definedName>
    <definedName name="tratio">Assumptions!$C$11</definedName>
    <definedName name="Uplift">Assumptions!$B$29</definedName>
  </definedNames>
  <calcPr calcId="144525"/>
</workbook>
</file>

<file path=xl/calcChain.xml><?xml version="1.0" encoding="utf-8"?>
<calcChain xmlns="http://schemas.openxmlformats.org/spreadsheetml/2006/main">
  <c r="E10" i="5" l="1"/>
  <c r="F10" i="5"/>
  <c r="G10" i="5"/>
  <c r="H10" i="5"/>
  <c r="D10" i="5"/>
  <c r="E9" i="5"/>
  <c r="F9" i="5"/>
  <c r="G9" i="5"/>
  <c r="H9" i="5"/>
  <c r="D9" i="5"/>
  <c r="D13" i="5"/>
  <c r="F46" i="2" l="1"/>
  <c r="H46" i="2"/>
  <c r="I46" i="2"/>
  <c r="E46" i="2"/>
  <c r="F45" i="2"/>
  <c r="H45" i="2"/>
  <c r="I45" i="2"/>
  <c r="E45" i="2"/>
  <c r="I18" i="2"/>
  <c r="I37" i="2" s="1"/>
  <c r="H18" i="2"/>
  <c r="H37" i="2" s="1"/>
  <c r="G18" i="2"/>
  <c r="G37" i="2" s="1"/>
  <c r="F18" i="2"/>
  <c r="F37" i="2" s="1"/>
  <c r="E18" i="2"/>
  <c r="E37" i="2" s="1"/>
  <c r="I13" i="2"/>
  <c r="I32" i="2" s="1"/>
  <c r="H13" i="2"/>
  <c r="H32" i="2" s="1"/>
  <c r="G13" i="2"/>
  <c r="G32" i="2" s="1"/>
  <c r="F13" i="2"/>
  <c r="F32" i="2" s="1"/>
  <c r="E13" i="2"/>
  <c r="E32" i="2" s="1"/>
  <c r="C34" i="1" l="1"/>
  <c r="E40" i="2" l="1"/>
  <c r="E21" i="2"/>
  <c r="I14" i="1" l="1"/>
  <c r="I38" i="1" l="1"/>
  <c r="I41" i="1" s="1"/>
  <c r="E39" i="2" s="1"/>
  <c r="I16" i="1"/>
  <c r="E30" i="2" s="1"/>
  <c r="E38" i="2"/>
  <c r="I15" i="1"/>
  <c r="E29" i="2" s="1"/>
  <c r="J14" i="1"/>
  <c r="J38" i="1" l="1"/>
  <c r="J41" i="1" s="1"/>
  <c r="F39" i="2" s="1"/>
  <c r="I17" i="1"/>
  <c r="J16" i="1"/>
  <c r="J15" i="1"/>
  <c r="K14" i="1"/>
  <c r="C45" i="1"/>
  <c r="B14" i="1"/>
  <c r="D27" i="1"/>
  <c r="E27" i="1"/>
  <c r="F27" i="1"/>
  <c r="C27" i="1"/>
  <c r="K41" i="1" l="1"/>
  <c r="G39" i="2" s="1"/>
  <c r="K38" i="1"/>
  <c r="F21" i="2"/>
  <c r="G21" i="2" s="1"/>
  <c r="H21" i="2" s="1"/>
  <c r="I21" i="2" s="1"/>
  <c r="K16" i="1"/>
  <c r="G30" i="2" s="1"/>
  <c r="K15" i="1"/>
  <c r="G29" i="2" s="1"/>
  <c r="F30" i="2"/>
  <c r="F29" i="2"/>
  <c r="C14" i="1"/>
  <c r="B16" i="1"/>
  <c r="I33" i="1" s="1"/>
  <c r="L14" i="1"/>
  <c r="J17" i="1"/>
  <c r="B15" i="1"/>
  <c r="I32" i="1" l="1"/>
  <c r="I35" i="1" s="1"/>
  <c r="E20" i="2" s="1"/>
  <c r="E19" i="2"/>
  <c r="L41" i="1"/>
  <c r="H39" i="2" s="1"/>
  <c r="L38" i="1"/>
  <c r="E12" i="2"/>
  <c r="E17" i="2" s="1"/>
  <c r="F38" i="2"/>
  <c r="F40" i="2"/>
  <c r="G40" i="2" s="1"/>
  <c r="E10" i="2"/>
  <c r="L16" i="1"/>
  <c r="L15" i="1"/>
  <c r="C15" i="1"/>
  <c r="J32" i="1" s="1"/>
  <c r="D14" i="1"/>
  <c r="C16" i="1"/>
  <c r="J33" i="1" s="1"/>
  <c r="K17" i="1"/>
  <c r="M14" i="1"/>
  <c r="B17" i="1"/>
  <c r="E42" i="2" s="1"/>
  <c r="E23" i="2" l="1"/>
  <c r="M38" i="1"/>
  <c r="M41" i="1" s="1"/>
  <c r="I39" i="2" s="1"/>
  <c r="J35" i="1"/>
  <c r="F20" i="2" s="1"/>
  <c r="G38" i="2"/>
  <c r="H40" i="2"/>
  <c r="I40" i="2" s="1"/>
  <c r="M16" i="1"/>
  <c r="M15" i="1"/>
  <c r="F12" i="2"/>
  <c r="F17" i="2" s="1"/>
  <c r="F19" i="2"/>
  <c r="F10" i="2"/>
  <c r="H30" i="2"/>
  <c r="H29" i="2"/>
  <c r="E14" i="1"/>
  <c r="D15" i="1"/>
  <c r="D16" i="1"/>
  <c r="L17" i="1"/>
  <c r="C17" i="1"/>
  <c r="F42" i="2" s="1"/>
  <c r="K33" i="1" l="1"/>
  <c r="G12" i="2"/>
  <c r="K32" i="1"/>
  <c r="G10" i="2"/>
  <c r="F23" i="2"/>
  <c r="K35" i="1"/>
  <c r="G20" i="2" s="1"/>
  <c r="H38" i="2"/>
  <c r="G19" i="2"/>
  <c r="I29" i="2"/>
  <c r="G17" i="2"/>
  <c r="I30" i="2"/>
  <c r="M17" i="1"/>
  <c r="F14" i="1"/>
  <c r="E16" i="1"/>
  <c r="E15" i="1"/>
  <c r="L32" i="1" s="1"/>
  <c r="D17" i="1"/>
  <c r="G42" i="2" s="1"/>
  <c r="G46" i="2" l="1"/>
  <c r="L33" i="1"/>
  <c r="H12" i="2"/>
  <c r="G23" i="2"/>
  <c r="L35" i="1"/>
  <c r="H20" i="2" s="1"/>
  <c r="I38" i="2"/>
  <c r="H17" i="2"/>
  <c r="H19" i="2"/>
  <c r="H10" i="2"/>
  <c r="F16" i="1"/>
  <c r="F15" i="1"/>
  <c r="M32" i="1" s="1"/>
  <c r="E17" i="1"/>
  <c r="H42" i="2" s="1"/>
  <c r="G45" i="2" l="1"/>
  <c r="M33" i="1"/>
  <c r="I12" i="2"/>
  <c r="I17" i="2" s="1"/>
  <c r="I42" i="2"/>
  <c r="H23" i="2"/>
  <c r="M35" i="1"/>
  <c r="I20" i="2" s="1"/>
  <c r="F17" i="1"/>
  <c r="I19" i="2"/>
  <c r="I10" i="2"/>
  <c r="I23" i="2" l="1"/>
</calcChain>
</file>

<file path=xl/sharedStrings.xml><?xml version="1.0" encoding="utf-8"?>
<sst xmlns="http://schemas.openxmlformats.org/spreadsheetml/2006/main" count="174" uniqueCount="74">
  <si>
    <t>Assumptions</t>
  </si>
  <si>
    <t>Grade 3</t>
  </si>
  <si>
    <t>Grade 4</t>
  </si>
  <si>
    <t>Grade 5</t>
  </si>
  <si>
    <t>Grade 6</t>
  </si>
  <si>
    <t>Facilities</t>
  </si>
  <si>
    <t>Storage</t>
  </si>
  <si>
    <t>Disk Based</t>
  </si>
  <si>
    <t>Tape Based</t>
  </si>
  <si>
    <t xml:space="preserve"> </t>
  </si>
  <si>
    <t>Tape</t>
  </si>
  <si>
    <t>Staffing</t>
  </si>
  <si>
    <t>IT Services (FTE)</t>
  </si>
  <si>
    <t>Totals</t>
  </si>
  <si>
    <t>2011/12</t>
  </si>
  <si>
    <t>2012/13</t>
  </si>
  <si>
    <t>2013/14</t>
  </si>
  <si>
    <t>2014/15</t>
  </si>
  <si>
    <t>2015/16</t>
  </si>
  <si>
    <t>Equipment (Capital)</t>
  </si>
  <si>
    <t>Equipment (Operational)</t>
  </si>
  <si>
    <t xml:space="preserve">Total </t>
  </si>
  <si>
    <t>Costs (p.a)</t>
  </si>
  <si>
    <t>Staffing Salary Increase (p.a)</t>
  </si>
  <si>
    <t>Electricity Costs (£/KW/Annum)</t>
  </si>
  <si>
    <t>PUE (Power Utilisation Efficiency)</t>
  </si>
  <si>
    <t>Storage Cost Reduction (p.a)</t>
  </si>
  <si>
    <t>UoS Starting Level (PB)</t>
  </si>
  <si>
    <t>CAGR for Research Storage</t>
  </si>
  <si>
    <t>Growth (Mid Case)</t>
  </si>
  <si>
    <t>Increase in Electricity costs (p.a)</t>
  </si>
  <si>
    <t>Disk1</t>
  </si>
  <si>
    <t>Disk2</t>
  </si>
  <si>
    <t>Maintenance</t>
  </si>
  <si>
    <t>Disk1 Based</t>
  </si>
  <si>
    <t>Disk2 Based</t>
  </si>
  <si>
    <t>Cost Models (Scenario 1)</t>
  </si>
  <si>
    <t>Cost Models (Scenario 2)</t>
  </si>
  <si>
    <t>Projection1 (PB)</t>
  </si>
  <si>
    <t>Projection2 (PB)</t>
  </si>
  <si>
    <t>Price/PB</t>
  </si>
  <si>
    <t>Power/PB (Kw)</t>
  </si>
  <si>
    <t>of annual capital expenditure</t>
  </si>
  <si>
    <t>Training</t>
  </si>
  <si>
    <t>Increase in Opex per annum</t>
  </si>
  <si>
    <t>Storage Ratio (Scenario 2)</t>
  </si>
  <si>
    <t>Storage Ratio (Scenario 1)</t>
  </si>
  <si>
    <t>Facilities (Non Power)</t>
  </si>
  <si>
    <t>Space Requirement (sq m)</t>
  </si>
  <si>
    <t xml:space="preserve">Disk </t>
  </si>
  <si>
    <t>Start Up and Migration Costs</t>
  </si>
  <si>
    <t>Power Costs</t>
  </si>
  <si>
    <t>Totals (1)</t>
  </si>
  <si>
    <t>Totals (2)</t>
  </si>
  <si>
    <t>Facilities Opex per annum per sq metre</t>
  </si>
  <si>
    <t>Tape Density</t>
  </si>
  <si>
    <t>PB/Sq M</t>
  </si>
  <si>
    <t>Disk Density</t>
  </si>
  <si>
    <t>Servers</t>
  </si>
  <si>
    <t>Research Data Volume</t>
  </si>
  <si>
    <t>Tape Storage Maintenance (p.a)</t>
  </si>
  <si>
    <t>Data From Xyratex and Direct Data Networks websites</t>
  </si>
  <si>
    <t>10p per KWh</t>
  </si>
  <si>
    <t>Data From IBM and Spectralogic websites (2:1 compression assumed for LTO)</t>
  </si>
  <si>
    <t>Offsite Copy</t>
  </si>
  <si>
    <t>Offsiting Service per annum</t>
  </si>
  <si>
    <t>Offsiting Service (5% uplift p.a.)</t>
  </si>
  <si>
    <t>Offsite Service (5% uplift p.a.)</t>
  </si>
  <si>
    <t>Price Per TB (Scenario 1)</t>
  </si>
  <si>
    <t>Price Per TB (Scenario 2)</t>
  </si>
  <si>
    <t>Price Per TB (POSF)</t>
  </si>
  <si>
    <t>Storage Factor</t>
  </si>
  <si>
    <t>D=0.25 (25%)</t>
  </si>
  <si>
    <t>R = 4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</si>
</sst>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£&quot;#,##0;[Red]\-&quot;£&quot;#,##0"/>
    <numFmt numFmtId="164" formatCode="&quot;£&quot;#,##0"/>
    <numFmt numFmtId="165" formatCode="0.0"/>
    <numFmt numFmtId="166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9" fontId="0" fillId="0" borderId="0" xfId="0" applyNumberFormat="1"/>
    <xf numFmtId="0" fontId="0" fillId="0" borderId="0" xfId="0" applyBorder="1"/>
    <xf numFmtId="165" fontId="2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Border="1"/>
    <xf numFmtId="0" fontId="1" fillId="2" borderId="12" xfId="0" applyFont="1" applyFill="1" applyBorder="1"/>
    <xf numFmtId="0" fontId="0" fillId="2" borderId="13" xfId="0" applyFill="1" applyBorder="1"/>
    <xf numFmtId="0" fontId="1" fillId="2" borderId="5" xfId="0" applyFont="1" applyFill="1" applyBorder="1"/>
    <xf numFmtId="0" fontId="0" fillId="2" borderId="6" xfId="0" applyFill="1" applyBorder="1"/>
    <xf numFmtId="0" fontId="0" fillId="2" borderId="7" xfId="0" applyFont="1" applyFill="1" applyBorder="1"/>
    <xf numFmtId="9" fontId="0" fillId="2" borderId="8" xfId="0" applyNumberFormat="1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0" xfId="0" applyFill="1" applyBorder="1"/>
    <xf numFmtId="0" fontId="0" fillId="2" borderId="11" xfId="0" applyFill="1" applyBorder="1"/>
    <xf numFmtId="0" fontId="0" fillId="2" borderId="7" xfId="0" applyFill="1" applyBorder="1"/>
    <xf numFmtId="0" fontId="0" fillId="2" borderId="3" xfId="0" applyFill="1" applyBorder="1"/>
    <xf numFmtId="0" fontId="0" fillId="2" borderId="8" xfId="0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0" fillId="2" borderId="0" xfId="0" applyFill="1"/>
    <xf numFmtId="165" fontId="0" fillId="2" borderId="0" xfId="0" applyNumberFormat="1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5" fontId="2" fillId="2" borderId="3" xfId="0" applyNumberFormat="1" applyFont="1" applyFill="1" applyBorder="1" applyAlignment="1">
      <alignment horizontal="center"/>
    </xf>
    <xf numFmtId="0" fontId="1" fillId="2" borderId="4" xfId="0" applyFont="1" applyFill="1" applyBorder="1"/>
    <xf numFmtId="165" fontId="3" fillId="2" borderId="4" xfId="0" applyNumberFormat="1" applyFont="1" applyFill="1" applyBorder="1" applyAlignment="1">
      <alignment horizontal="center"/>
    </xf>
    <xf numFmtId="0" fontId="1" fillId="3" borderId="1" xfId="0" applyFont="1" applyFill="1" applyBorder="1"/>
    <xf numFmtId="0" fontId="0" fillId="3" borderId="1" xfId="0" applyFill="1" applyBorder="1"/>
    <xf numFmtId="0" fontId="1" fillId="3" borderId="1" xfId="0" applyFont="1" applyFill="1" applyBorder="1" applyAlignment="1">
      <alignment horizontal="center"/>
    </xf>
    <xf numFmtId="0" fontId="0" fillId="3" borderId="0" xfId="0" applyFont="1" applyFill="1"/>
    <xf numFmtId="0" fontId="0" fillId="3" borderId="0" xfId="0" applyFill="1"/>
    <xf numFmtId="16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3" borderId="5" xfId="0" applyFont="1" applyFill="1" applyBorder="1"/>
    <xf numFmtId="9" fontId="0" fillId="3" borderId="6" xfId="0" applyNumberFormat="1" applyFill="1" applyBorder="1"/>
    <xf numFmtId="0" fontId="1" fillId="3" borderId="7" xfId="0" applyFont="1" applyFill="1" applyBorder="1"/>
    <xf numFmtId="9" fontId="0" fillId="3" borderId="8" xfId="0" applyNumberFormat="1" applyFill="1" applyBorder="1"/>
    <xf numFmtId="0" fontId="1" fillId="4" borderId="1" xfId="0" applyFont="1" applyFill="1" applyBorder="1"/>
    <xf numFmtId="0" fontId="0" fillId="4" borderId="1" xfId="0" applyFill="1" applyBorder="1"/>
    <xf numFmtId="0" fontId="0" fillId="4" borderId="0" xfId="0" applyFill="1"/>
    <xf numFmtId="0" fontId="0" fillId="4" borderId="3" xfId="0" applyFill="1" applyBorder="1"/>
    <xf numFmtId="164" fontId="0" fillId="2" borderId="0" xfId="0" applyNumberFormat="1" applyFill="1" applyBorder="1"/>
    <xf numFmtId="164" fontId="0" fillId="2" borderId="3" xfId="0" applyNumberFormat="1" applyFill="1" applyBorder="1"/>
    <xf numFmtId="0" fontId="1" fillId="2" borderId="1" xfId="0" applyFont="1" applyFill="1" applyBorder="1"/>
    <xf numFmtId="0" fontId="0" fillId="2" borderId="1" xfId="0" applyFill="1" applyBorder="1"/>
    <xf numFmtId="164" fontId="0" fillId="4" borderId="0" xfId="0" applyNumberFormat="1" applyFill="1"/>
    <xf numFmtId="0" fontId="0" fillId="6" borderId="1" xfId="0" applyFill="1" applyBorder="1"/>
    <xf numFmtId="9" fontId="0" fillId="6" borderId="13" xfId="0" applyNumberFormat="1" applyFill="1" applyBorder="1"/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0" fontId="0" fillId="7" borderId="0" xfId="0" applyFill="1"/>
    <xf numFmtId="165" fontId="0" fillId="7" borderId="0" xfId="0" applyNumberFormat="1" applyFont="1" applyFill="1" applyAlignment="1">
      <alignment horizontal="center"/>
    </xf>
    <xf numFmtId="165" fontId="2" fillId="7" borderId="0" xfId="0" applyNumberFormat="1" applyFont="1" applyFill="1" applyAlignment="1">
      <alignment horizontal="center"/>
    </xf>
    <xf numFmtId="0" fontId="0" fillId="7" borderId="3" xfId="0" applyFill="1" applyBorder="1"/>
    <xf numFmtId="165" fontId="2" fillId="7" borderId="3" xfId="0" applyNumberFormat="1" applyFont="1" applyFill="1" applyBorder="1" applyAlignment="1">
      <alignment horizontal="center"/>
    </xf>
    <xf numFmtId="0" fontId="1" fillId="7" borderId="4" xfId="0" applyFont="1" applyFill="1" applyBorder="1"/>
    <xf numFmtId="165" fontId="3" fillId="7" borderId="4" xfId="0" applyNumberFormat="1" applyFont="1" applyFill="1" applyBorder="1" applyAlignment="1">
      <alignment horizontal="center"/>
    </xf>
    <xf numFmtId="0" fontId="1" fillId="6" borderId="12" xfId="0" applyFont="1" applyFill="1" applyBorder="1"/>
    <xf numFmtId="0" fontId="1" fillId="8" borderId="5" xfId="0" applyFont="1" applyFill="1" applyBorder="1"/>
    <xf numFmtId="0" fontId="0" fillId="8" borderId="9" xfId="0" applyFill="1" applyBorder="1"/>
    <xf numFmtId="0" fontId="0" fillId="8" borderId="10" xfId="0" applyFill="1" applyBorder="1"/>
    <xf numFmtId="0" fontId="0" fillId="8" borderId="0" xfId="0" applyFill="1" applyBorder="1"/>
    <xf numFmtId="0" fontId="0" fillId="8" borderId="7" xfId="0" applyFill="1" applyBorder="1"/>
    <xf numFmtId="0" fontId="0" fillId="8" borderId="3" xfId="0" applyFill="1" applyBorder="1"/>
    <xf numFmtId="0" fontId="1" fillId="8" borderId="6" xfId="0" applyFont="1" applyFill="1" applyBorder="1"/>
    <xf numFmtId="0" fontId="1" fillId="8" borderId="11" xfId="0" applyFont="1" applyFill="1" applyBorder="1"/>
    <xf numFmtId="0" fontId="1" fillId="8" borderId="8" xfId="0" applyFont="1" applyFill="1" applyBorder="1"/>
    <xf numFmtId="9" fontId="0" fillId="2" borderId="1" xfId="0" applyNumberFormat="1" applyFill="1" applyBorder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164" fontId="1" fillId="8" borderId="1" xfId="0" applyNumberFormat="1" applyFont="1" applyFill="1" applyBorder="1" applyAlignment="1">
      <alignment horizontal="center"/>
    </xf>
    <xf numFmtId="0" fontId="1" fillId="6" borderId="5" xfId="0" applyFont="1" applyFill="1" applyBorder="1"/>
    <xf numFmtId="0" fontId="0" fillId="6" borderId="9" xfId="0" applyFill="1" applyBorder="1"/>
    <xf numFmtId="6" fontId="0" fillId="6" borderId="6" xfId="0" applyNumberFormat="1" applyFill="1" applyBorder="1"/>
    <xf numFmtId="0" fontId="1" fillId="6" borderId="7" xfId="0" applyFont="1" applyFill="1" applyBorder="1"/>
    <xf numFmtId="0" fontId="0" fillId="6" borderId="3" xfId="0" applyFill="1" applyBorder="1"/>
    <xf numFmtId="9" fontId="0" fillId="6" borderId="8" xfId="0" applyNumberFormat="1" applyFill="1" applyBorder="1"/>
    <xf numFmtId="0" fontId="1" fillId="0" borderId="0" xfId="0" applyFont="1" applyFill="1" applyBorder="1"/>
    <xf numFmtId="9" fontId="0" fillId="0" borderId="0" xfId="0" applyNumberForma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10" xfId="0" applyFont="1" applyFill="1" applyBorder="1"/>
    <xf numFmtId="165" fontId="1" fillId="2" borderId="6" xfId="0" applyNumberFormat="1" applyFont="1" applyFill="1" applyBorder="1"/>
    <xf numFmtId="165" fontId="1" fillId="2" borderId="11" xfId="0" applyNumberFormat="1" applyFont="1" applyFill="1" applyBorder="1"/>
    <xf numFmtId="0" fontId="1" fillId="2" borderId="5" xfId="0" applyFont="1" applyFill="1" applyBorder="1" applyAlignment="1">
      <alignment horizontal="left"/>
    </xf>
    <xf numFmtId="0" fontId="1" fillId="2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0" xfId="0" applyFont="1" applyFill="1" applyBorder="1"/>
    <xf numFmtId="0" fontId="1" fillId="2" borderId="11" xfId="0" applyFont="1" applyFill="1" applyBorder="1"/>
    <xf numFmtId="0" fontId="1" fillId="2" borderId="3" xfId="0" applyFont="1" applyFill="1" applyBorder="1"/>
    <xf numFmtId="0" fontId="0" fillId="4" borderId="14" xfId="0" applyFill="1" applyBorder="1"/>
    <xf numFmtId="165" fontId="0" fillId="4" borderId="3" xfId="0" applyNumberFormat="1" applyFill="1" applyBorder="1"/>
    <xf numFmtId="0" fontId="4" fillId="5" borderId="14" xfId="0" applyFont="1" applyFill="1" applyBorder="1"/>
    <xf numFmtId="164" fontId="0" fillId="0" borderId="0" xfId="0" applyNumberFormat="1"/>
    <xf numFmtId="166" fontId="0" fillId="0" borderId="0" xfId="0" applyNumberFormat="1"/>
    <xf numFmtId="9" fontId="0" fillId="2" borderId="11" xfId="0" applyNumberFormat="1" applyFill="1" applyBorder="1"/>
    <xf numFmtId="164" fontId="0" fillId="2" borderId="8" xfId="0" applyNumberFormat="1" applyFill="1" applyBorder="1"/>
    <xf numFmtId="164" fontId="1" fillId="9" borderId="0" xfId="0" applyNumberFormat="1" applyFont="1" applyFill="1" applyBorder="1" applyAlignment="1">
      <alignment horizontal="center"/>
    </xf>
    <xf numFmtId="0" fontId="0" fillId="0" borderId="1" xfId="0" applyBorder="1"/>
    <xf numFmtId="166" fontId="0" fillId="0" borderId="0" xfId="0" applyNumberFormat="1" applyAlignment="1">
      <alignment horizontal="center"/>
    </xf>
    <xf numFmtId="0" fontId="1" fillId="0" borderId="10" xfId="0" applyFont="1" applyBorder="1"/>
    <xf numFmtId="164" fontId="0" fillId="0" borderId="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1" fillId="0" borderId="7" xfId="0" applyFont="1" applyBorder="1"/>
    <xf numFmtId="164" fontId="0" fillId="0" borderId="3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2" borderId="12" xfId="0" applyFill="1" applyBorder="1"/>
    <xf numFmtId="2" fontId="0" fillId="2" borderId="6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A12" zoomScale="80" zoomScaleNormal="80" workbookViewId="0">
      <selection activeCell="G42" sqref="G42"/>
    </sheetView>
  </sheetViews>
  <sheetFormatPr defaultRowHeight="15" x14ac:dyDescent="0.25"/>
  <cols>
    <col min="1" max="1" width="34.7109375" customWidth="1"/>
    <col min="3" max="3" width="11.7109375" customWidth="1"/>
    <col min="4" max="4" width="17.42578125" customWidth="1"/>
    <col min="7" max="7" width="15.85546875" customWidth="1"/>
    <col min="8" max="8" width="27" customWidth="1"/>
    <col min="9" max="9" width="11.42578125" customWidth="1"/>
    <col min="12" max="12" width="12.85546875" customWidth="1"/>
  </cols>
  <sheetData>
    <row r="1" spans="1:13" ht="23.25" x14ac:dyDescent="0.35">
      <c r="A1" s="97" t="s">
        <v>0</v>
      </c>
    </row>
    <row r="3" spans="1:13" x14ac:dyDescent="0.25">
      <c r="A3" s="7" t="s">
        <v>27</v>
      </c>
      <c r="B3" s="8">
        <v>1</v>
      </c>
    </row>
    <row r="4" spans="1:13" x14ac:dyDescent="0.25">
      <c r="A4" s="6"/>
      <c r="B4" s="3"/>
    </row>
    <row r="5" spans="1:13" x14ac:dyDescent="0.25">
      <c r="A5" s="9" t="s">
        <v>28</v>
      </c>
      <c r="B5" s="10" t="s">
        <v>9</v>
      </c>
    </row>
    <row r="6" spans="1:13" x14ac:dyDescent="0.25">
      <c r="A6" s="11" t="s">
        <v>29</v>
      </c>
      <c r="B6" s="12">
        <v>0.76</v>
      </c>
    </row>
    <row r="7" spans="1:13" s="1" customFormat="1" x14ac:dyDescent="0.25">
      <c r="B7" s="2"/>
    </row>
    <row r="8" spans="1:13" s="1" customFormat="1" x14ac:dyDescent="0.25">
      <c r="A8"/>
      <c r="B8"/>
    </row>
    <row r="9" spans="1:13" s="1" customFormat="1" x14ac:dyDescent="0.25">
      <c r="A9" s="9" t="s">
        <v>46</v>
      </c>
      <c r="B9" s="13"/>
      <c r="C9" s="10"/>
      <c r="H9" s="61" t="s">
        <v>45</v>
      </c>
      <c r="I9" s="62"/>
      <c r="J9" s="62"/>
      <c r="K9" s="67"/>
    </row>
    <row r="10" spans="1:13" s="1" customFormat="1" x14ac:dyDescent="0.25">
      <c r="A10" s="14" t="s">
        <v>7</v>
      </c>
      <c r="B10" s="15"/>
      <c r="C10" s="16">
        <v>0.25</v>
      </c>
      <c r="H10" s="63" t="s">
        <v>34</v>
      </c>
      <c r="I10" s="64"/>
      <c r="J10" s="64">
        <v>0.1</v>
      </c>
      <c r="K10" s="68"/>
    </row>
    <row r="11" spans="1:13" s="1" customFormat="1" x14ac:dyDescent="0.25">
      <c r="A11" s="17" t="s">
        <v>8</v>
      </c>
      <c r="B11" s="18"/>
      <c r="C11" s="19">
        <v>0.75</v>
      </c>
      <c r="H11" s="65" t="s">
        <v>35</v>
      </c>
      <c r="I11" s="66"/>
      <c r="J11" s="66">
        <v>0.9</v>
      </c>
      <c r="K11" s="69"/>
    </row>
    <row r="12" spans="1:13" s="1" customFormat="1" x14ac:dyDescent="0.25"/>
    <row r="13" spans="1:13" s="1" customFormat="1" ht="15.75" thickBot="1" x14ac:dyDescent="0.3">
      <c r="A13" s="20" t="s">
        <v>38</v>
      </c>
      <c r="B13" s="21" t="s">
        <v>14</v>
      </c>
      <c r="C13" s="21" t="s">
        <v>15</v>
      </c>
      <c r="D13" s="21" t="s">
        <v>16</v>
      </c>
      <c r="E13" s="21" t="s">
        <v>17</v>
      </c>
      <c r="F13" s="21" t="s">
        <v>18</v>
      </c>
      <c r="H13" s="51" t="s">
        <v>39</v>
      </c>
      <c r="I13" s="52" t="s">
        <v>14</v>
      </c>
      <c r="J13" s="52" t="s">
        <v>15</v>
      </c>
      <c r="K13" s="52" t="s">
        <v>16</v>
      </c>
      <c r="L13" s="52" t="s">
        <v>17</v>
      </c>
      <c r="M13" s="52" t="s">
        <v>18</v>
      </c>
    </row>
    <row r="14" spans="1:13" s="1" customFormat="1" x14ac:dyDescent="0.25">
      <c r="A14" s="22" t="s">
        <v>59</v>
      </c>
      <c r="B14" s="23">
        <f>INT(Begin)</f>
        <v>1</v>
      </c>
      <c r="C14" s="23">
        <f>B14*(1+Midcase)</f>
        <v>1.76</v>
      </c>
      <c r="D14" s="23">
        <f>C14*(1+Midcase)</f>
        <v>3.0975999999999999</v>
      </c>
      <c r="E14" s="23">
        <f>D14*(1+Midcase)</f>
        <v>5.4517759999999997</v>
      </c>
      <c r="F14" s="23">
        <f>E14*(1+Midcase)</f>
        <v>9.5951257600000002</v>
      </c>
      <c r="H14" s="53" t="s">
        <v>59</v>
      </c>
      <c r="I14" s="54">
        <f>INT(Begin)</f>
        <v>1</v>
      </c>
      <c r="J14" s="54">
        <f>I14*(1+Midcase)</f>
        <v>1.76</v>
      </c>
      <c r="K14" s="54">
        <f>J14*(1+Midcase)</f>
        <v>3.0975999999999999</v>
      </c>
      <c r="L14" s="54">
        <f>K14*(1+Midcase)</f>
        <v>5.4517759999999997</v>
      </c>
      <c r="M14" s="54">
        <f>L14*(1+Midcase)</f>
        <v>9.5951257600000002</v>
      </c>
    </row>
    <row r="15" spans="1:13" s="1" customFormat="1" x14ac:dyDescent="0.25">
      <c r="A15" s="22" t="s">
        <v>31</v>
      </c>
      <c r="B15" s="24">
        <f>B14*dratio</f>
        <v>0.25</v>
      </c>
      <c r="C15" s="24">
        <f>C14*dratio</f>
        <v>0.44</v>
      </c>
      <c r="D15" s="24">
        <f>D14*dratio</f>
        <v>0.77439999999999998</v>
      </c>
      <c r="E15" s="24">
        <f>E14*dratio</f>
        <v>1.3629439999999999</v>
      </c>
      <c r="F15" s="24">
        <f>F14*dratio</f>
        <v>2.39878144</v>
      </c>
      <c r="H15" s="53" t="s">
        <v>31</v>
      </c>
      <c r="I15" s="55">
        <f>I14*d1ratio</f>
        <v>0.1</v>
      </c>
      <c r="J15" s="55">
        <f>J14*d1ratio</f>
        <v>0.17600000000000002</v>
      </c>
      <c r="K15" s="55">
        <f>K14*d1ratio</f>
        <v>0.30976000000000004</v>
      </c>
      <c r="L15" s="55">
        <f>L14*d1ratio</f>
        <v>0.54517760000000004</v>
      </c>
      <c r="M15" s="55">
        <f>M14*d1ratio</f>
        <v>0.95951257600000006</v>
      </c>
    </row>
    <row r="16" spans="1:13" s="1" customFormat="1" x14ac:dyDescent="0.25">
      <c r="A16" s="18" t="s">
        <v>10</v>
      </c>
      <c r="B16" s="25">
        <f>B14*tratio</f>
        <v>0.75</v>
      </c>
      <c r="C16" s="25">
        <f>C14*tratio</f>
        <v>1.32</v>
      </c>
      <c r="D16" s="25">
        <f>D14*tratio</f>
        <v>2.3231999999999999</v>
      </c>
      <c r="E16" s="25">
        <f>E14*tratio</f>
        <v>4.088832</v>
      </c>
      <c r="F16" s="25">
        <f>F14*tratio</f>
        <v>7.1963443199999997</v>
      </c>
      <c r="H16" s="56" t="s">
        <v>32</v>
      </c>
      <c r="I16" s="57">
        <f>I14*d2ratio</f>
        <v>0.9</v>
      </c>
      <c r="J16" s="57">
        <f>J14*d2ratio</f>
        <v>1.5840000000000001</v>
      </c>
      <c r="K16" s="57">
        <f>K14*d2ratio</f>
        <v>2.7878400000000001</v>
      </c>
      <c r="L16" s="57">
        <f>L14*d2ratio</f>
        <v>4.9065984</v>
      </c>
      <c r="M16" s="57">
        <f>M14*d2ratio</f>
        <v>8.6356131840000003</v>
      </c>
    </row>
    <row r="17" spans="1:13" s="1" customFormat="1" ht="15.75" thickBot="1" x14ac:dyDescent="0.3">
      <c r="A17" s="26" t="s">
        <v>21</v>
      </c>
      <c r="B17" s="27">
        <f>SUM(B15:B16)</f>
        <v>1</v>
      </c>
      <c r="C17" s="27">
        <f t="shared" ref="C17:F17" si="0">SUM(C15:C16)</f>
        <v>1.76</v>
      </c>
      <c r="D17" s="27">
        <f t="shared" si="0"/>
        <v>3.0975999999999999</v>
      </c>
      <c r="E17" s="27">
        <f t="shared" si="0"/>
        <v>5.4517759999999997</v>
      </c>
      <c r="F17" s="27">
        <f t="shared" si="0"/>
        <v>9.5951257600000002</v>
      </c>
      <c r="H17" s="58" t="s">
        <v>21</v>
      </c>
      <c r="I17" s="59">
        <f>SUM(I15:I16)</f>
        <v>1</v>
      </c>
      <c r="J17" s="59">
        <f>SUM(J15:J16)</f>
        <v>1.76</v>
      </c>
      <c r="K17" s="59">
        <f>SUM(K15:K16)</f>
        <v>3.0975999999999999</v>
      </c>
      <c r="L17" s="59">
        <f>SUM(L15:L16)</f>
        <v>5.4517759999999997</v>
      </c>
      <c r="M17" s="59">
        <f>SUM(M15:M16)</f>
        <v>9.5951257600000002</v>
      </c>
    </row>
    <row r="18" spans="1:13" s="1" customFormat="1" ht="15.75" thickTop="1" x14ac:dyDescent="0.25"/>
    <row r="19" spans="1:13" s="1" customFormat="1" x14ac:dyDescent="0.25">
      <c r="A19" s="9" t="s">
        <v>55</v>
      </c>
      <c r="B19" s="87">
        <v>5.4</v>
      </c>
      <c r="C19" s="1" t="s">
        <v>56</v>
      </c>
      <c r="D19" s="89" t="s">
        <v>63</v>
      </c>
      <c r="E19" s="90"/>
      <c r="F19" s="90"/>
      <c r="G19" s="90"/>
      <c r="H19" s="84"/>
    </row>
    <row r="20" spans="1:13" s="1" customFormat="1" x14ac:dyDescent="0.25">
      <c r="A20" s="86" t="s">
        <v>57</v>
      </c>
      <c r="B20" s="88">
        <v>1.7</v>
      </c>
      <c r="C20" s="1" t="s">
        <v>56</v>
      </c>
      <c r="D20" s="91" t="s">
        <v>61</v>
      </c>
      <c r="E20" s="92"/>
      <c r="F20" s="92"/>
      <c r="G20" s="92"/>
      <c r="H20" s="93"/>
    </row>
    <row r="21" spans="1:13" x14ac:dyDescent="0.25">
      <c r="A21" s="86" t="s">
        <v>26</v>
      </c>
      <c r="B21" s="100">
        <v>0.25</v>
      </c>
      <c r="C21" s="1"/>
      <c r="D21" s="86"/>
      <c r="E21" s="92"/>
      <c r="F21" s="92"/>
      <c r="G21" s="15"/>
      <c r="H21" s="16"/>
    </row>
    <row r="22" spans="1:13" x14ac:dyDescent="0.25">
      <c r="A22" s="85" t="s">
        <v>65</v>
      </c>
      <c r="B22" s="101">
        <v>15000</v>
      </c>
      <c r="C22" s="1"/>
      <c r="D22" s="85"/>
      <c r="E22" s="94"/>
      <c r="F22" s="94"/>
      <c r="G22" s="18"/>
      <c r="H22" s="19"/>
    </row>
    <row r="24" spans="1:13" x14ac:dyDescent="0.25">
      <c r="A24" s="28" t="s">
        <v>11</v>
      </c>
      <c r="B24" s="29"/>
      <c r="C24" s="30" t="s">
        <v>1</v>
      </c>
      <c r="D24" s="30" t="s">
        <v>2</v>
      </c>
      <c r="E24" s="30" t="s">
        <v>3</v>
      </c>
      <c r="F24" s="30" t="s">
        <v>4</v>
      </c>
      <c r="J24" t="s">
        <v>9</v>
      </c>
    </row>
    <row r="25" spans="1:13" x14ac:dyDescent="0.25">
      <c r="A25" s="31" t="s">
        <v>22</v>
      </c>
      <c r="B25" s="32"/>
      <c r="C25" s="33">
        <v>30000</v>
      </c>
      <c r="D25" s="33">
        <v>40000</v>
      </c>
      <c r="E25" s="33">
        <v>50000</v>
      </c>
      <c r="F25" s="33">
        <v>60000</v>
      </c>
      <c r="J25" t="s">
        <v>9</v>
      </c>
    </row>
    <row r="26" spans="1:13" x14ac:dyDescent="0.25">
      <c r="A26" s="32" t="s">
        <v>12</v>
      </c>
      <c r="B26" s="32"/>
      <c r="C26" s="34">
        <v>0.5</v>
      </c>
      <c r="D26" s="34">
        <v>2</v>
      </c>
      <c r="E26" s="34">
        <v>1</v>
      </c>
      <c r="F26" s="34">
        <v>0.5</v>
      </c>
      <c r="J26" t="s">
        <v>9</v>
      </c>
    </row>
    <row r="27" spans="1:13" x14ac:dyDescent="0.25">
      <c r="A27" s="28" t="s">
        <v>13</v>
      </c>
      <c r="B27" s="28"/>
      <c r="C27" s="35">
        <f>C25*C26</f>
        <v>15000</v>
      </c>
      <c r="D27" s="35">
        <f t="shared" ref="D27:F27" si="1">D25*D26</f>
        <v>80000</v>
      </c>
      <c r="E27" s="35">
        <f t="shared" si="1"/>
        <v>50000</v>
      </c>
      <c r="F27" s="35">
        <f t="shared" si="1"/>
        <v>30000</v>
      </c>
    </row>
    <row r="29" spans="1:13" x14ac:dyDescent="0.25">
      <c r="A29" s="36" t="s">
        <v>23</v>
      </c>
      <c r="B29" s="37">
        <v>0.03</v>
      </c>
    </row>
    <row r="30" spans="1:13" x14ac:dyDescent="0.25">
      <c r="A30" s="38"/>
      <c r="B30" s="39"/>
    </row>
    <row r="31" spans="1:13" ht="15.75" thickBot="1" x14ac:dyDescent="0.3">
      <c r="A31" s="82"/>
      <c r="B31" s="83"/>
      <c r="H31" s="51" t="s">
        <v>48</v>
      </c>
      <c r="I31" s="52" t="s">
        <v>14</v>
      </c>
      <c r="J31" s="52" t="s">
        <v>15</v>
      </c>
      <c r="K31" s="52" t="s">
        <v>16</v>
      </c>
      <c r="L31" s="52" t="s">
        <v>17</v>
      </c>
      <c r="M31" s="52" t="s">
        <v>18</v>
      </c>
    </row>
    <row r="32" spans="1:13" x14ac:dyDescent="0.25">
      <c r="H32" s="53" t="s">
        <v>49</v>
      </c>
      <c r="I32" s="54">
        <f>B15/DiskDen</f>
        <v>0.14705882352941177</v>
      </c>
      <c r="J32" s="54">
        <f>C15/DiskDen</f>
        <v>0.25882352941176473</v>
      </c>
      <c r="K32" s="54">
        <f>D15/DiskDen</f>
        <v>0.4555294117647059</v>
      </c>
      <c r="L32" s="54">
        <f>E15/DiskDen</f>
        <v>0.80173176470588237</v>
      </c>
      <c r="M32" s="54">
        <f>F15/DiskDen</f>
        <v>1.4110479058823531</v>
      </c>
    </row>
    <row r="33" spans="1:17" x14ac:dyDescent="0.25">
      <c r="A33" s="40" t="s">
        <v>5</v>
      </c>
      <c r="B33" s="41"/>
      <c r="C33" s="40" t="s">
        <v>9</v>
      </c>
      <c r="H33" s="53" t="s">
        <v>10</v>
      </c>
      <c r="I33" s="55">
        <f>B16/TapeDen</f>
        <v>0.13888888888888887</v>
      </c>
      <c r="J33" s="55">
        <f>C16/TapeDen</f>
        <v>0.24444444444444444</v>
      </c>
      <c r="K33" s="55">
        <f>D16/TapeDen</f>
        <v>0.43022222222222217</v>
      </c>
      <c r="L33" s="55">
        <f>E16/TapeDen</f>
        <v>0.75719111111111104</v>
      </c>
      <c r="M33" s="55">
        <f>F16/TapeDen</f>
        <v>1.3326563555555555</v>
      </c>
    </row>
    <row r="34" spans="1:17" x14ac:dyDescent="0.25">
      <c r="A34" s="42" t="s">
        <v>24</v>
      </c>
      <c r="B34" s="42"/>
      <c r="C34" s="48">
        <f>0.1*24*365</f>
        <v>876.00000000000011</v>
      </c>
      <c r="D34" s="95" t="s">
        <v>62</v>
      </c>
      <c r="H34" s="56"/>
      <c r="I34" s="57"/>
      <c r="J34" s="57"/>
      <c r="K34" s="57"/>
      <c r="L34" s="57"/>
      <c r="M34" s="57"/>
    </row>
    <row r="35" spans="1:17" ht="15.75" thickBot="1" x14ac:dyDescent="0.3">
      <c r="A35" s="43" t="s">
        <v>25</v>
      </c>
      <c r="B35" s="43"/>
      <c r="C35" s="96">
        <v>2</v>
      </c>
      <c r="H35" s="58" t="s">
        <v>21</v>
      </c>
      <c r="I35" s="59">
        <f>SUM(I32:I34)</f>
        <v>0.28594771241830064</v>
      </c>
      <c r="J35" s="59">
        <f t="shared" ref="J35:M35" si="2">SUM(J32:J34)</f>
        <v>0.50326797385620914</v>
      </c>
      <c r="K35" s="59">
        <f t="shared" si="2"/>
        <v>0.88575163398692802</v>
      </c>
      <c r="L35" s="59">
        <f t="shared" si="2"/>
        <v>1.5589228758169935</v>
      </c>
      <c r="M35" s="59">
        <f t="shared" si="2"/>
        <v>2.7437042614379088</v>
      </c>
    </row>
    <row r="36" spans="1:17" ht="15.75" thickTop="1" x14ac:dyDescent="0.25"/>
    <row r="37" spans="1:17" ht="15.75" thickBot="1" x14ac:dyDescent="0.3">
      <c r="A37" s="60" t="s">
        <v>30</v>
      </c>
      <c r="B37" s="49"/>
      <c r="C37" s="50">
        <v>0.1</v>
      </c>
      <c r="H37" s="51" t="s">
        <v>48</v>
      </c>
      <c r="I37" s="52" t="s">
        <v>14</v>
      </c>
      <c r="J37" s="52" t="s">
        <v>15</v>
      </c>
      <c r="K37" s="52" t="s">
        <v>16</v>
      </c>
      <c r="L37" s="52" t="s">
        <v>17</v>
      </c>
      <c r="M37" s="52" t="s">
        <v>18</v>
      </c>
    </row>
    <row r="38" spans="1:17" x14ac:dyDescent="0.25">
      <c r="H38" s="53" t="s">
        <v>49</v>
      </c>
      <c r="I38" s="54">
        <f>I14/DiskDen</f>
        <v>0.58823529411764708</v>
      </c>
      <c r="J38" s="54">
        <f>J14/DiskDen</f>
        <v>1.0352941176470589</v>
      </c>
      <c r="K38" s="54">
        <f>K14/DiskDen</f>
        <v>1.8221176470588236</v>
      </c>
      <c r="L38" s="54">
        <f>L14/DiskDen</f>
        <v>3.2069270588235295</v>
      </c>
      <c r="M38" s="54">
        <f>M14/DiskDen</f>
        <v>5.6441916235294123</v>
      </c>
    </row>
    <row r="39" spans="1:17" ht="14.45" x14ac:dyDescent="0.3">
      <c r="A39" s="76" t="s">
        <v>54</v>
      </c>
      <c r="B39" s="77"/>
      <c r="C39" s="78">
        <v>1400</v>
      </c>
      <c r="H39" s="53" t="s">
        <v>10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</row>
    <row r="40" spans="1:17" ht="14.45" x14ac:dyDescent="0.3">
      <c r="A40" s="79" t="s">
        <v>44</v>
      </c>
      <c r="B40" s="80"/>
      <c r="C40" s="81">
        <v>0.05</v>
      </c>
      <c r="H40" s="56"/>
      <c r="I40" s="57"/>
      <c r="J40" s="57"/>
      <c r="K40" s="57"/>
      <c r="L40" s="57"/>
      <c r="M40" s="57"/>
    </row>
    <row r="41" spans="1:17" thickBot="1" x14ac:dyDescent="0.35">
      <c r="H41" s="58" t="s">
        <v>21</v>
      </c>
      <c r="I41" s="59">
        <f>SUM(I38:I39)</f>
        <v>0.58823529411764708</v>
      </c>
      <c r="J41" s="59">
        <f t="shared" ref="J41:M41" si="3">SUM(J38:J39)</f>
        <v>1.0352941176470589</v>
      </c>
      <c r="K41" s="59">
        <f t="shared" si="3"/>
        <v>1.8221176470588236</v>
      </c>
      <c r="L41" s="59">
        <f t="shared" si="3"/>
        <v>3.2069270588235295</v>
      </c>
      <c r="M41" s="59">
        <f t="shared" si="3"/>
        <v>5.6441916235294123</v>
      </c>
    </row>
    <row r="42" spans="1:17" thickTop="1" x14ac:dyDescent="0.3">
      <c r="A42" s="46" t="s">
        <v>6</v>
      </c>
      <c r="B42" s="47"/>
      <c r="C42" s="46" t="s">
        <v>40</v>
      </c>
      <c r="D42" s="46" t="s">
        <v>41</v>
      </c>
    </row>
    <row r="43" spans="1:17" ht="14.45" x14ac:dyDescent="0.3">
      <c r="A43" s="15" t="s">
        <v>31</v>
      </c>
      <c r="B43" s="15"/>
      <c r="C43" s="44">
        <v>500000</v>
      </c>
      <c r="D43" s="15">
        <v>12</v>
      </c>
    </row>
    <row r="44" spans="1:17" ht="14.45" x14ac:dyDescent="0.3">
      <c r="A44" s="15" t="s">
        <v>32</v>
      </c>
      <c r="B44" s="15"/>
      <c r="C44" s="44">
        <v>300000</v>
      </c>
      <c r="D44" s="15">
        <v>12</v>
      </c>
    </row>
    <row r="45" spans="1:17" ht="14.45" x14ac:dyDescent="0.3">
      <c r="A45" s="18" t="s">
        <v>10</v>
      </c>
      <c r="B45" s="18"/>
      <c r="C45" s="45">
        <f>100000</f>
        <v>100000</v>
      </c>
      <c r="D45" s="18">
        <v>0.5</v>
      </c>
      <c r="L45" s="5"/>
      <c r="M45" s="4"/>
      <c r="N45" s="4"/>
      <c r="O45" s="4"/>
      <c r="P45" s="4"/>
      <c r="Q45" s="4"/>
    </row>
    <row r="46" spans="1:17" x14ac:dyDescent="0.25">
      <c r="I46" t="s">
        <v>9</v>
      </c>
    </row>
    <row r="47" spans="1:17" x14ac:dyDescent="0.25">
      <c r="A47" s="7" t="s">
        <v>60</v>
      </c>
      <c r="B47" s="70">
        <v>0.15</v>
      </c>
      <c r="C47" s="47" t="s">
        <v>42</v>
      </c>
      <c r="D47" s="8"/>
    </row>
    <row r="48" spans="1:17" x14ac:dyDescent="0.25">
      <c r="C48" t="s">
        <v>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L48"/>
  <sheetViews>
    <sheetView tabSelected="1" topLeftCell="D1" workbookViewId="0">
      <selection activeCell="D2" sqref="D2"/>
    </sheetView>
  </sheetViews>
  <sheetFormatPr defaultRowHeight="15" x14ac:dyDescent="0.25"/>
  <cols>
    <col min="1" max="1" width="17.42578125" customWidth="1"/>
    <col min="4" max="4" width="33.42578125" customWidth="1"/>
    <col min="5" max="5" width="14.28515625" style="72" customWidth="1"/>
    <col min="6" max="6" width="15.7109375" style="72" customWidth="1"/>
    <col min="7" max="7" width="11.7109375" style="72" customWidth="1"/>
    <col min="8" max="8" width="12.5703125" style="72" customWidth="1"/>
    <col min="9" max="9" width="13" style="72" customWidth="1"/>
    <col min="10" max="10" width="10.140625" bestFit="1" customWidth="1"/>
    <col min="11" max="11" width="12.7109375" bestFit="1" customWidth="1"/>
  </cols>
  <sheetData>
    <row r="8" spans="4:10" x14ac:dyDescent="0.25">
      <c r="D8" s="73" t="s">
        <v>36</v>
      </c>
      <c r="E8" s="74" t="s">
        <v>14</v>
      </c>
      <c r="F8" s="74" t="s">
        <v>15</v>
      </c>
      <c r="G8" s="74" t="s">
        <v>16</v>
      </c>
      <c r="H8" s="74" t="s">
        <v>17</v>
      </c>
      <c r="I8" s="74" t="s">
        <v>18</v>
      </c>
    </row>
    <row r="9" spans="4:10" x14ac:dyDescent="0.25">
      <c r="D9" s="1" t="s">
        <v>19</v>
      </c>
      <c r="E9" s="71"/>
      <c r="F9" s="71"/>
      <c r="G9" s="71"/>
      <c r="H9" s="71"/>
      <c r="I9" s="71"/>
    </row>
    <row r="10" spans="4:10" x14ac:dyDescent="0.25">
      <c r="D10" t="s">
        <v>31</v>
      </c>
      <c r="E10" s="71">
        <f>Disk1*Assumptions!B15</f>
        <v>125000</v>
      </c>
      <c r="F10" s="71">
        <f>Disk1*(Assumptions!C15-Assumptions!B15)*(1-StorageRed)</f>
        <v>71250</v>
      </c>
      <c r="G10" s="71">
        <f>(Disk1*(Assumptions!D15-Assumptions!C15)*((1-StorageRed)^2)) + (Disk1*((SUM(Assumptions!B15:'Assumptions'!D15))*((1-StorageRed)^2)))</f>
        <v>505912.49999999994</v>
      </c>
      <c r="H10" s="71">
        <f>Disk1*(Assumptions!E15-Assumptions!D15)*((1-StorageRed)^3)</f>
        <v>124146</v>
      </c>
      <c r="I10" s="71">
        <f>Disk1*(Assumptions!F15-Assumptions!E15)*((1-StorageRed)^4)</f>
        <v>163872.72</v>
      </c>
    </row>
    <row r="11" spans="4:10" x14ac:dyDescent="0.25">
      <c r="D11" t="s">
        <v>32</v>
      </c>
      <c r="E11" s="71"/>
      <c r="F11" s="71"/>
      <c r="G11" s="71"/>
      <c r="H11" s="71"/>
      <c r="I11" s="71"/>
    </row>
    <row r="12" spans="4:10" x14ac:dyDescent="0.25">
      <c r="D12" t="s">
        <v>10</v>
      </c>
      <c r="E12" s="71">
        <f>Tape*Assumptions!B16</f>
        <v>75000</v>
      </c>
      <c r="F12" s="71">
        <f>Tape*(Assumptions!C16-Assumptions!B16)*(1-StorageRed)</f>
        <v>42750.000000000007</v>
      </c>
      <c r="G12" s="71">
        <f>Tape*(Assumptions!D16-Assumptions!C16)*((1-StorageRed)^2)</f>
        <v>56429.999999999993</v>
      </c>
      <c r="H12" s="71">
        <f>Tape*(Assumptions!E16-Assumptions!D16)*((1-StorageRed)^3)</f>
        <v>74487.600000000006</v>
      </c>
      <c r="I12" s="71">
        <f>Tape*(Assumptions!F16-Assumptions!E16)*((1-StorageRed)^4)</f>
        <v>98323.631999999983</v>
      </c>
    </row>
    <row r="13" spans="4:10" x14ac:dyDescent="0.25">
      <c r="D13" t="s">
        <v>64</v>
      </c>
      <c r="E13" s="71">
        <f>Tape*Assumptions!B17</f>
        <v>100000</v>
      </c>
      <c r="F13" s="71">
        <f>Tape*(Assumptions!C17-Assumptions!B17)*(1-StorageRed)</f>
        <v>57000</v>
      </c>
      <c r="G13" s="71">
        <f>Tape*(Assumptions!D17-Assumptions!C17)*((1-StorageRed)^2)</f>
        <v>75240</v>
      </c>
      <c r="H13" s="71">
        <f>Tape*(Assumptions!E17-Assumptions!D17)*((1-StorageRed)^3)</f>
        <v>99316.799999999988</v>
      </c>
      <c r="I13" s="71">
        <f>Tape*(Assumptions!F17-Assumptions!E17)*((1-StorageRed)^4)</f>
        <v>131098.17600000001</v>
      </c>
    </row>
    <row r="14" spans="4:10" x14ac:dyDescent="0.25">
      <c r="D14" t="s">
        <v>58</v>
      </c>
      <c r="E14" s="71">
        <v>40000</v>
      </c>
      <c r="F14" s="71"/>
      <c r="G14" s="71"/>
      <c r="H14" s="71">
        <v>40000</v>
      </c>
      <c r="I14" s="71"/>
    </row>
    <row r="15" spans="4:10" x14ac:dyDescent="0.25">
      <c r="D15" t="s">
        <v>50</v>
      </c>
      <c r="E15" s="71">
        <v>120000</v>
      </c>
      <c r="F15" s="71"/>
      <c r="G15" s="71"/>
      <c r="H15" s="71">
        <v>50000</v>
      </c>
      <c r="I15" s="71"/>
      <c r="J15" s="98" t="s">
        <v>9</v>
      </c>
    </row>
    <row r="16" spans="4:10" x14ac:dyDescent="0.25">
      <c r="D16" s="1" t="s">
        <v>20</v>
      </c>
      <c r="E16" s="71"/>
      <c r="F16" s="71"/>
      <c r="G16" s="71"/>
      <c r="H16" s="71"/>
      <c r="I16" s="71"/>
    </row>
    <row r="17" spans="2:12" x14ac:dyDescent="0.25">
      <c r="D17" t="s">
        <v>33</v>
      </c>
      <c r="E17" s="71">
        <f>Maint*(SUM(E12))</f>
        <v>11250</v>
      </c>
      <c r="F17" s="71">
        <f>Maint*(SUM(F12))+E17</f>
        <v>17662.5</v>
      </c>
      <c r="G17" s="71">
        <f>Maint*(SUM(G12)) + F17</f>
        <v>26127</v>
      </c>
      <c r="H17" s="71">
        <f>Maint*(SUM(H12))+G17</f>
        <v>37300.14</v>
      </c>
      <c r="I17" s="71">
        <f>Maint*(SUM(I12)) + H17</f>
        <v>52048.684799999995</v>
      </c>
    </row>
    <row r="18" spans="2:12" x14ac:dyDescent="0.25">
      <c r="D18" t="s">
        <v>66</v>
      </c>
      <c r="E18" s="71">
        <f>offsite</f>
        <v>15000</v>
      </c>
      <c r="F18" s="71">
        <f>offsite*1.05</f>
        <v>15750</v>
      </c>
      <c r="G18" s="71">
        <f>offsite*1.05^2</f>
        <v>16537.5</v>
      </c>
      <c r="H18" s="71">
        <f>offsite*1.05^3</f>
        <v>17364.375000000004</v>
      </c>
      <c r="I18" s="71">
        <f>offsite*1.05^4</f>
        <v>18232.59375</v>
      </c>
    </row>
    <row r="19" spans="2:12" x14ac:dyDescent="0.25">
      <c r="D19" t="s">
        <v>51</v>
      </c>
      <c r="E19" s="71">
        <f>((Pwractive*Assumptions!B15)+(Pwrtape*Assumptions!B16))*Eleccost*pue</f>
        <v>5913.0000000000009</v>
      </c>
      <c r="F19" s="71">
        <f>((Pwractive*Assumptions!C15)+(Pwrtape*Assumptions!C16))*(Eleccost*(1+ElecInc))*pue</f>
        <v>11447.568000000003</v>
      </c>
      <c r="G19" s="71">
        <f>((Pwractive*Assumptions!D15)+(Pwrtape*Assumptions!D16))*(Eleccost*((1+ElecInc)^2))*pue</f>
        <v>22162.491648000007</v>
      </c>
      <c r="H19" s="71">
        <f>((Pwractive*Assumptions!E15)+(Pwrtape*Assumptions!E16))*(Eleccost*((1+ElecInc)^3))*pue</f>
        <v>42906.583830528019</v>
      </c>
      <c r="I19" s="71">
        <f>((Pwractive*Assumptions!F15)+(Pwrtape*Assumptions!F16))*(Eleccost*((1+ElecInc)^4))*pue</f>
        <v>83067.146295902232</v>
      </c>
    </row>
    <row r="20" spans="2:12" x14ac:dyDescent="0.25">
      <c r="D20" t="s">
        <v>47</v>
      </c>
      <c r="E20" s="71">
        <f>FacOpex*Assumptions!I35</f>
        <v>400.32679738562086</v>
      </c>
      <c r="F20" s="71">
        <f>FacOpex*Assumptions!J35</f>
        <v>704.57516339869278</v>
      </c>
      <c r="G20" s="71">
        <f>FacOpex*Assumptions!K35</f>
        <v>1240.0522875816991</v>
      </c>
      <c r="H20" s="71">
        <f>FacOpex*Assumptions!L35</f>
        <v>2182.492026143791</v>
      </c>
      <c r="I20" s="71">
        <f>FacOpex*Assumptions!M35</f>
        <v>3841.1859660130722</v>
      </c>
    </row>
    <row r="21" spans="2:12" x14ac:dyDescent="0.25">
      <c r="D21" t="s">
        <v>11</v>
      </c>
      <c r="E21" s="71">
        <f>SUM(Assumptions!C27:F27)</f>
        <v>175000</v>
      </c>
      <c r="F21" s="71">
        <f>E21*(1 + Uplift)</f>
        <v>180250</v>
      </c>
      <c r="G21" s="71">
        <f>F21*(1 + Uplift)</f>
        <v>185657.5</v>
      </c>
      <c r="H21" s="71">
        <f>G21*(1 + Uplift)</f>
        <v>191227.22500000001</v>
      </c>
      <c r="I21" s="71">
        <f>H21*(1 + Uplift)</f>
        <v>196964.04175</v>
      </c>
    </row>
    <row r="22" spans="2:12" x14ac:dyDescent="0.25">
      <c r="D22" t="s">
        <v>43</v>
      </c>
      <c r="E22" s="71">
        <v>10000</v>
      </c>
      <c r="F22" s="71"/>
      <c r="G22" s="71">
        <v>10000</v>
      </c>
      <c r="H22" s="71"/>
      <c r="I22" s="71">
        <v>10000</v>
      </c>
      <c r="J22" s="98" t="s">
        <v>9</v>
      </c>
      <c r="K22" t="s">
        <v>9</v>
      </c>
    </row>
    <row r="23" spans="2:12" x14ac:dyDescent="0.25">
      <c r="D23" s="73" t="s">
        <v>52</v>
      </c>
      <c r="E23" s="75">
        <f>SUM(E9:E22)</f>
        <v>677563.3267973857</v>
      </c>
      <c r="F23" s="75">
        <f>SUM(F9:F22)</f>
        <v>396814.64316339872</v>
      </c>
      <c r="G23" s="75">
        <f>SUM(G9:G22)</f>
        <v>899307.04393558158</v>
      </c>
      <c r="H23" s="75">
        <f>SUM(H9:H22)</f>
        <v>678931.2158566718</v>
      </c>
      <c r="I23" s="75">
        <f>SUM(I9:I22)</f>
        <v>757448.18056191527</v>
      </c>
      <c r="J23" s="98" t="s">
        <v>9</v>
      </c>
      <c r="K23" s="102" t="s">
        <v>9</v>
      </c>
      <c r="L23" s="99" t="s">
        <v>9</v>
      </c>
    </row>
    <row r="24" spans="2:12" x14ac:dyDescent="0.25">
      <c r="D24" t="s">
        <v>9</v>
      </c>
      <c r="E24" s="104" t="s">
        <v>9</v>
      </c>
      <c r="K24" t="s">
        <v>9</v>
      </c>
    </row>
    <row r="25" spans="2:12" x14ac:dyDescent="0.25">
      <c r="B25" t="s">
        <v>9</v>
      </c>
    </row>
    <row r="26" spans="2:12" x14ac:dyDescent="0.25">
      <c r="B26" t="s">
        <v>9</v>
      </c>
    </row>
    <row r="27" spans="2:12" x14ac:dyDescent="0.25">
      <c r="D27" s="73" t="s">
        <v>37</v>
      </c>
      <c r="E27" s="74" t="s">
        <v>14</v>
      </c>
      <c r="F27" s="74" t="s">
        <v>15</v>
      </c>
      <c r="G27" s="74" t="s">
        <v>16</v>
      </c>
      <c r="H27" s="74" t="s">
        <v>17</v>
      </c>
      <c r="I27" s="74" t="s">
        <v>18</v>
      </c>
    </row>
    <row r="28" spans="2:12" x14ac:dyDescent="0.25">
      <c r="D28" s="1" t="s">
        <v>19</v>
      </c>
      <c r="E28" s="71"/>
      <c r="F28" s="71"/>
      <c r="G28" s="71"/>
      <c r="H28" s="71"/>
      <c r="I28" s="71"/>
    </row>
    <row r="29" spans="2:12" x14ac:dyDescent="0.25">
      <c r="D29" t="s">
        <v>31</v>
      </c>
      <c r="E29" s="71">
        <f>Disk1*Assumptions!I15</f>
        <v>50000</v>
      </c>
      <c r="F29" s="71">
        <f>Disk1*(Assumptions!J15-Assumptions!I15)*(1-StorageRed)</f>
        <v>28500.000000000007</v>
      </c>
      <c r="G29" s="71">
        <f>(Disk1*(Assumptions!K15-Assumptions!J15)*((1-StorageRed)^2)+(Disk1*((SUM(Assumptions!I15:'Assumptions'!K15))*((1-StorageRed)^2))))</f>
        <v>202365.00000000003</v>
      </c>
      <c r="H29" s="71">
        <f>Disk1*(Assumptions!L15-Assumptions!K15)*((1-StorageRed)^3)</f>
        <v>49658.400000000001</v>
      </c>
      <c r="I29" s="71">
        <f>Disk1*(Assumptions!M15-Assumptions!L15)*((1-StorageRed)^4)</f>
        <v>65549.088000000003</v>
      </c>
    </row>
    <row r="30" spans="2:12" x14ac:dyDescent="0.25">
      <c r="D30" t="s">
        <v>32</v>
      </c>
      <c r="E30" s="71">
        <f>Disk1*Assumptions!I16</f>
        <v>450000</v>
      </c>
      <c r="F30" s="71">
        <f>Disk1*(Assumptions!J16-Assumptions!I16)*(1-StorageRed)</f>
        <v>256500</v>
      </c>
      <c r="G30" s="71">
        <f>Disk1*(Assumptions!K16-Assumptions!J16)*((1-StorageRed)^2) + (Disk1*((SUM(Assumptions!I16:'Assumptions'!K16))*((1-StorageRed)^2)))</f>
        <v>1821285</v>
      </c>
      <c r="H30" s="71">
        <f>Disk1*(Assumptions!L16-Assumptions!K16)*((1-StorageRed)^3)</f>
        <v>446925.6</v>
      </c>
      <c r="I30" s="71">
        <f>Disk1*(Assumptions!M16-Assumptions!L16)*((1-StorageRed)^4)</f>
        <v>589941.79200000002</v>
      </c>
    </row>
    <row r="31" spans="2:12" x14ac:dyDescent="0.25">
      <c r="D31" t="s">
        <v>10</v>
      </c>
      <c r="E31" s="71">
        <v>0</v>
      </c>
      <c r="F31" s="71">
        <v>0</v>
      </c>
      <c r="G31" s="71">
        <v>0</v>
      </c>
      <c r="H31" s="71">
        <v>0</v>
      </c>
      <c r="I31" s="71">
        <v>0</v>
      </c>
    </row>
    <row r="32" spans="2:12" x14ac:dyDescent="0.25">
      <c r="D32" t="s">
        <v>64</v>
      </c>
      <c r="E32" s="71">
        <f>E13</f>
        <v>100000</v>
      </c>
      <c r="F32" s="71">
        <f>F13</f>
        <v>57000</v>
      </c>
      <c r="G32" s="71">
        <f>G13</f>
        <v>75240</v>
      </c>
      <c r="H32" s="71">
        <f>H13</f>
        <v>99316.799999999988</v>
      </c>
      <c r="I32" s="71">
        <f>I13</f>
        <v>131098.17600000001</v>
      </c>
    </row>
    <row r="33" spans="4:11" x14ac:dyDescent="0.25">
      <c r="D33" t="s">
        <v>58</v>
      </c>
      <c r="E33" s="71">
        <v>40000</v>
      </c>
      <c r="F33" s="71"/>
      <c r="G33" s="71"/>
      <c r="H33" s="71">
        <v>40000</v>
      </c>
      <c r="I33" s="71"/>
    </row>
    <row r="34" spans="4:11" x14ac:dyDescent="0.25">
      <c r="D34" t="s">
        <v>50</v>
      </c>
      <c r="E34" s="71">
        <v>120000</v>
      </c>
      <c r="F34" s="71"/>
      <c r="G34" s="71"/>
      <c r="H34" s="71">
        <v>50000</v>
      </c>
      <c r="I34" s="71"/>
      <c r="J34" s="98" t="s">
        <v>9</v>
      </c>
      <c r="K34" t="s">
        <v>9</v>
      </c>
    </row>
    <row r="35" spans="4:11" x14ac:dyDescent="0.25">
      <c r="D35" s="1" t="s">
        <v>20</v>
      </c>
      <c r="E35" s="71" t="s">
        <v>9</v>
      </c>
      <c r="F35" s="71"/>
      <c r="G35" s="71"/>
      <c r="H35" s="71"/>
      <c r="I35" s="71"/>
    </row>
    <row r="36" spans="4:11" x14ac:dyDescent="0.25">
      <c r="D36" t="s">
        <v>33</v>
      </c>
      <c r="E36" s="71">
        <v>0</v>
      </c>
      <c r="F36" s="71">
        <v>0</v>
      </c>
      <c r="G36" s="71">
        <v>0</v>
      </c>
      <c r="H36" s="71">
        <v>0</v>
      </c>
      <c r="I36" s="71">
        <v>0</v>
      </c>
    </row>
    <row r="37" spans="4:11" x14ac:dyDescent="0.25">
      <c r="D37" t="s">
        <v>67</v>
      </c>
      <c r="E37" s="71">
        <f>E18</f>
        <v>15000</v>
      </c>
      <c r="F37" s="71">
        <f t="shared" ref="F37:I37" si="0">F18</f>
        <v>15750</v>
      </c>
      <c r="G37" s="71">
        <f t="shared" si="0"/>
        <v>16537.5</v>
      </c>
      <c r="H37" s="71">
        <f t="shared" si="0"/>
        <v>17364.375000000004</v>
      </c>
      <c r="I37" s="71">
        <f t="shared" si="0"/>
        <v>18232.59375</v>
      </c>
    </row>
    <row r="38" spans="4:11" x14ac:dyDescent="0.25">
      <c r="D38" t="s">
        <v>51</v>
      </c>
      <c r="E38" s="71">
        <f>Pwractive*Eleccost*Assumptions!I14*pue</f>
        <v>21024.000000000004</v>
      </c>
      <c r="F38" s="71">
        <f>Pwractive*(Eleccost*(1+ElecInc))*Assumptions!C14*pue</f>
        <v>40702.464000000007</v>
      </c>
      <c r="G38" s="71">
        <f>Pwractive*(Eleccost*((1+ElecInc)^2)*Assumptions!D14)*pue</f>
        <v>78799.970304000017</v>
      </c>
      <c r="H38" s="71">
        <f>Pwractive*(Eleccost*((1+ElecInc)^3)*Assumptions!E14)*pue</f>
        <v>152556.74250854406</v>
      </c>
      <c r="I38" s="71">
        <f>Pwractive*(Eleccost*((1+ElecInc)^4)*Assumptions!F14)*pue</f>
        <v>295349.85349654127</v>
      </c>
    </row>
    <row r="39" spans="4:11" x14ac:dyDescent="0.25">
      <c r="D39" t="s">
        <v>47</v>
      </c>
      <c r="E39" s="71">
        <f>FacOpex*Assumptions!I41</f>
        <v>823.52941176470586</v>
      </c>
      <c r="F39" s="71">
        <f>FacOpex*Assumptions!J41</f>
        <v>1449.4117647058824</v>
      </c>
      <c r="G39" s="71">
        <f>FacOpex*Assumptions!K41</f>
        <v>2550.964705882353</v>
      </c>
      <c r="H39" s="71">
        <f>FacOpex*Assumptions!L41</f>
        <v>4489.6978823529416</v>
      </c>
      <c r="I39" s="71">
        <f>FacOpex*Assumptions!M41</f>
        <v>7901.8682729411776</v>
      </c>
    </row>
    <row r="40" spans="4:11" x14ac:dyDescent="0.25">
      <c r="D40" t="s">
        <v>11</v>
      </c>
      <c r="E40" s="71">
        <f>SUM(Assumptions!C27:F27)</f>
        <v>175000</v>
      </c>
      <c r="F40" s="71">
        <f>E40*(1 + Uplift)</f>
        <v>180250</v>
      </c>
      <c r="G40" s="71">
        <f>F40*(1 + Uplift)</f>
        <v>185657.5</v>
      </c>
      <c r="H40" s="71">
        <f>G40*(1 + Uplift)</f>
        <v>191227.22500000001</v>
      </c>
      <c r="I40" s="71">
        <f>H40*(1 + Uplift)</f>
        <v>196964.04175</v>
      </c>
    </row>
    <row r="41" spans="4:11" x14ac:dyDescent="0.25">
      <c r="D41" t="s">
        <v>43</v>
      </c>
      <c r="E41" s="71">
        <v>10000</v>
      </c>
      <c r="F41" s="71"/>
      <c r="G41" s="71">
        <v>10000</v>
      </c>
      <c r="H41" s="71"/>
      <c r="I41" s="71">
        <v>10000</v>
      </c>
      <c r="J41" s="98" t="s">
        <v>9</v>
      </c>
      <c r="K41" t="s">
        <v>9</v>
      </c>
    </row>
    <row r="42" spans="4:11" x14ac:dyDescent="0.25">
      <c r="D42" s="73" t="s">
        <v>53</v>
      </c>
      <c r="E42" s="75">
        <f>SUM(E28:E41)</f>
        <v>981847.5294117647</v>
      </c>
      <c r="F42" s="75">
        <f>SUM(F28:F41)</f>
        <v>580151.87576470594</v>
      </c>
      <c r="G42" s="75">
        <f>SUM(G28:G41)</f>
        <v>2392435.9350098823</v>
      </c>
      <c r="H42" s="75">
        <f>SUM(H28:H41)</f>
        <v>1051538.8403908971</v>
      </c>
      <c r="I42" s="75">
        <f>SUM(I28:I41)</f>
        <v>1315037.4132694823</v>
      </c>
      <c r="J42" s="98" t="s">
        <v>9</v>
      </c>
      <c r="K42" s="99" t="s">
        <v>9</v>
      </c>
    </row>
    <row r="44" spans="4:11" x14ac:dyDescent="0.25">
      <c r="D44" s="103"/>
      <c r="E44" s="110" t="s">
        <v>14</v>
      </c>
      <c r="F44" s="110" t="s">
        <v>15</v>
      </c>
      <c r="G44" s="110" t="s">
        <v>16</v>
      </c>
      <c r="H44" s="110" t="s">
        <v>17</v>
      </c>
      <c r="I44" s="110" t="s">
        <v>18</v>
      </c>
    </row>
    <row r="45" spans="4:11" x14ac:dyDescent="0.25">
      <c r="D45" s="105" t="s">
        <v>68</v>
      </c>
      <c r="E45" s="106">
        <f>E23/(Assumptions!B17*1000)</f>
        <v>677.56332679738568</v>
      </c>
      <c r="F45" s="106">
        <f>F23/(Assumptions!C17*1000)</f>
        <v>225.46286543374927</v>
      </c>
      <c r="G45" s="106">
        <f>G23/(Assumptions!D17*1000)</f>
        <v>290.32381325399717</v>
      </c>
      <c r="H45" s="106">
        <f>H23/(Assumptions!E17*1000)</f>
        <v>124.53395294609901</v>
      </c>
      <c r="I45" s="106">
        <f>I23/(Assumptions!F17*1000)</f>
        <v>78.940933084957834</v>
      </c>
    </row>
    <row r="46" spans="4:11" x14ac:dyDescent="0.25">
      <c r="D46" s="108" t="s">
        <v>69</v>
      </c>
      <c r="E46" s="109">
        <f>E42/(Assumptions!B17*1000)</f>
        <v>981.84752941176475</v>
      </c>
      <c r="F46" s="109">
        <f>F42/(Assumptions!C17*1000)</f>
        <v>329.63174759358293</v>
      </c>
      <c r="G46" s="109">
        <f>G42/(Assumptions!D17*1000)</f>
        <v>772.35147695308706</v>
      </c>
      <c r="H46" s="109">
        <f>H42/(Assumptions!E17*1000)</f>
        <v>192.88005237025459</v>
      </c>
      <c r="I46" s="109">
        <f>I42/(Assumptions!F17*1000)</f>
        <v>137.05265008110558</v>
      </c>
    </row>
    <row r="48" spans="4:11" x14ac:dyDescent="0.25">
      <c r="E48" s="72" t="s">
        <v>9</v>
      </c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H15"/>
  <sheetViews>
    <sheetView workbookViewId="0">
      <selection activeCell="F19" sqref="F19"/>
    </sheetView>
  </sheetViews>
  <sheetFormatPr defaultRowHeight="15" x14ac:dyDescent="0.25"/>
  <cols>
    <col min="3" max="3" width="24.7109375" customWidth="1"/>
  </cols>
  <sheetData>
    <row r="3" spans="3:8" x14ac:dyDescent="0.25">
      <c r="C3" s="113"/>
      <c r="D3" s="110" t="s">
        <v>14</v>
      </c>
      <c r="E3" s="110" t="s">
        <v>15</v>
      </c>
      <c r="F3" s="110" t="s">
        <v>16</v>
      </c>
      <c r="G3" s="110" t="s">
        <v>17</v>
      </c>
      <c r="H3" s="111" t="s">
        <v>18</v>
      </c>
    </row>
    <row r="4" spans="3:8" x14ac:dyDescent="0.25">
      <c r="C4" s="105" t="s">
        <v>68</v>
      </c>
      <c r="D4" s="106">
        <v>677.56332679738568</v>
      </c>
      <c r="E4" s="106">
        <v>225.46286543374927</v>
      </c>
      <c r="F4" s="106">
        <v>290.32381325399717</v>
      </c>
      <c r="G4" s="106">
        <v>124.53395294609901</v>
      </c>
      <c r="H4" s="107">
        <v>78.940933084957834</v>
      </c>
    </row>
    <row r="5" spans="3:8" x14ac:dyDescent="0.25">
      <c r="C5" s="108" t="s">
        <v>69</v>
      </c>
      <c r="D5" s="109">
        <v>981.84752941176475</v>
      </c>
      <c r="E5" s="109">
        <v>329.63174759358293</v>
      </c>
      <c r="F5" s="109">
        <v>772.35147695308706</v>
      </c>
      <c r="G5" s="109">
        <v>192.88005237025459</v>
      </c>
      <c r="H5" s="112">
        <v>137.05265008110558</v>
      </c>
    </row>
    <row r="8" spans="3:8" x14ac:dyDescent="0.25">
      <c r="C8" s="113"/>
      <c r="D8" s="110" t="s">
        <v>14</v>
      </c>
      <c r="E8" s="110" t="s">
        <v>15</v>
      </c>
      <c r="F8" s="110" t="s">
        <v>16</v>
      </c>
      <c r="G8" s="110" t="s">
        <v>17</v>
      </c>
      <c r="H8" s="111" t="s">
        <v>18</v>
      </c>
    </row>
    <row r="9" spans="3:8" x14ac:dyDescent="0.25">
      <c r="C9" s="105" t="s">
        <v>70</v>
      </c>
      <c r="D9" s="106">
        <f t="shared" ref="D9:H10" si="0">D4*StorageFactor</f>
        <v>991.17835234360416</v>
      </c>
      <c r="E9" s="106">
        <f t="shared" si="0"/>
        <v>329.81996314879893</v>
      </c>
      <c r="F9" s="106">
        <f t="shared" si="0"/>
        <v>424.702263960133</v>
      </c>
      <c r="G9" s="106">
        <f t="shared" si="0"/>
        <v>182.17538259543625</v>
      </c>
      <c r="H9" s="106">
        <f t="shared" si="0"/>
        <v>115.47930782713831</v>
      </c>
    </row>
    <row r="10" spans="3:8" x14ac:dyDescent="0.25">
      <c r="C10" s="108" t="s">
        <v>70</v>
      </c>
      <c r="D10" s="109">
        <f t="shared" si="0"/>
        <v>1436.3026715966387</v>
      </c>
      <c r="E10" s="109">
        <f t="shared" si="0"/>
        <v>482.20415647975562</v>
      </c>
      <c r="F10" s="109">
        <f t="shared" si="0"/>
        <v>1129.8398748570874</v>
      </c>
      <c r="G10" s="109">
        <f t="shared" si="0"/>
        <v>282.15596232448672</v>
      </c>
      <c r="H10" s="109">
        <f t="shared" si="0"/>
        <v>200.48844811864589</v>
      </c>
    </row>
    <row r="13" spans="3:8" x14ac:dyDescent="0.25">
      <c r="C13" s="9" t="s">
        <v>71</v>
      </c>
      <c r="D13" s="114">
        <f>1/((1-(1-0.25)^4))</f>
        <v>1.4628571428571429</v>
      </c>
    </row>
    <row r="14" spans="3:8" x14ac:dyDescent="0.25">
      <c r="C14" s="14" t="s">
        <v>72</v>
      </c>
      <c r="D14" s="16"/>
    </row>
    <row r="15" spans="3:8" x14ac:dyDescent="0.25">
      <c r="C15" s="17" t="s">
        <v>73</v>
      </c>
      <c r="D15" s="1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20:J21"/>
  <sheetViews>
    <sheetView workbookViewId="0">
      <selection activeCell="H21" sqref="H21"/>
    </sheetView>
  </sheetViews>
  <sheetFormatPr defaultRowHeight="15" x14ac:dyDescent="0.25"/>
  <sheetData>
    <row r="20" spans="10:10" x14ac:dyDescent="0.25">
      <c r="J20" t="s">
        <v>9</v>
      </c>
    </row>
    <row r="21" spans="10:10" x14ac:dyDescent="0.25">
      <c r="J21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26</vt:i4>
      </vt:variant>
    </vt:vector>
  </HeadingPairs>
  <TitlesOfParts>
    <vt:vector size="30" baseType="lpstr">
      <vt:lpstr>Assumptions</vt:lpstr>
      <vt:lpstr>Cost Model</vt:lpstr>
      <vt:lpstr>Store Forever</vt:lpstr>
      <vt:lpstr>Sheet2</vt:lpstr>
      <vt:lpstr>Begin</vt:lpstr>
      <vt:lpstr>d1ratio</vt:lpstr>
      <vt:lpstr>d2ratio</vt:lpstr>
      <vt:lpstr>Disk1</vt:lpstr>
      <vt:lpstr>Disk2</vt:lpstr>
      <vt:lpstr>DiskDen</vt:lpstr>
      <vt:lpstr>dratio</vt:lpstr>
      <vt:lpstr>Eleccost</vt:lpstr>
      <vt:lpstr>ElecInc</vt:lpstr>
      <vt:lpstr>FacOpex</vt:lpstr>
      <vt:lpstr>Incopex</vt:lpstr>
      <vt:lpstr>Maint</vt:lpstr>
      <vt:lpstr>Mid</vt:lpstr>
      <vt:lpstr>Midcase</vt:lpstr>
      <vt:lpstr>offsite</vt:lpstr>
      <vt:lpstr>pue</vt:lpstr>
      <vt:lpstr>Pwractive</vt:lpstr>
      <vt:lpstr>Pwrtape</vt:lpstr>
      <vt:lpstr>Pwrtrans</vt:lpstr>
      <vt:lpstr>Start</vt:lpstr>
      <vt:lpstr>StorageFactor</vt:lpstr>
      <vt:lpstr>StorageRed</vt:lpstr>
      <vt:lpstr>Tape</vt:lpstr>
      <vt:lpstr>TapeDen</vt:lpstr>
      <vt:lpstr>tratio</vt:lpstr>
      <vt:lpstr>Uplift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Parchment O.G.</dc:creator>
  <cp:lastModifiedBy>Whitton M.J.</cp:lastModifiedBy>
  <cp:lastPrinted>2011-08-30T07:44:34Z</cp:lastPrinted>
  <dcterms:created xsi:type="dcterms:W3CDTF">2011-08-22T10:33:40Z</dcterms:created>
  <dcterms:modified xsi:type="dcterms:W3CDTF">2011-09-05T15:12:36Z</dcterms:modified>
</cp:coreProperties>
</file>