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240" yWindow="1305" windowWidth="11685" windowHeight="5100" activeTab="4"/>
  </bookViews>
  <sheets>
    <sheet name="Summary" sheetId="1" r:id="rId1"/>
    <sheet name="Algal Comp Calcs" sheetId="2" r:id="rId2"/>
    <sheet name="Pond Power" sheetId="3" r:id="rId3"/>
    <sheet name="Harvesting" sheetId="4" r:id="rId4"/>
    <sheet name="Gas Power" sheetId="5" r:id="rId5"/>
    <sheet name="Pumping" sheetId="6" r:id="rId6"/>
    <sheet name="AD" sheetId="7" r:id="rId7"/>
    <sheet name="Respiration Outgas" sheetId="8" r:id="rId8"/>
    <sheet name="Data" sheetId="9" r:id="rId9"/>
    <sheet name="Data input and ouput" sheetId="10" r:id="rId10"/>
  </sheets>
  <externalReferences>
    <externalReference r:id="rId11"/>
  </externalReferences>
  <definedNames>
    <definedName name="Blower_Efficiency">'Data input and ouput'!$C$34</definedName>
    <definedName name="Concentration_Factor">Summary!$D$98</definedName>
    <definedName name="Density">Summary!$D$107</definedName>
    <definedName name="Gas_Transfer_Efficiency">'Data input and ouput'!$C$33</definedName>
    <definedName name="Heater_Efficiency">'Data input and ouput'!$C$37</definedName>
    <definedName name="Mixer_Efficiency">'Data input and ouput'!$C$38</definedName>
    <definedName name="Paddlewheel_Efficiency">'Data input and ouput'!$C$32</definedName>
    <definedName name="_xlnm.Print_Area" localSheetId="1">'Algal Comp Calcs'!$A$1:$AD$18</definedName>
    <definedName name="Pump_Efficiency">'Data input and ouput'!$C$35</definedName>
    <definedName name="sa">Data!$G$7</definedName>
    <definedName name="t">Data!$G$9</definedName>
    <definedName name="Viscosity">Summary!$D$108</definedName>
  </definedNames>
  <calcPr calcId="145621"/>
</workbook>
</file>

<file path=xl/calcChain.xml><?xml version="1.0" encoding="utf-8"?>
<calcChain xmlns="http://schemas.openxmlformats.org/spreadsheetml/2006/main">
  <c r="L9" i="7" l="1"/>
  <c r="N8" i="7"/>
  <c r="C3" i="7"/>
  <c r="D85" i="6"/>
  <c r="D104" i="6"/>
  <c r="D119" i="6" l="1"/>
  <c r="D117" i="6"/>
  <c r="M107" i="6"/>
  <c r="M109" i="6"/>
  <c r="M108" i="6"/>
  <c r="M106" i="6"/>
  <c r="M105" i="6"/>
  <c r="R104" i="6"/>
  <c r="M104" i="6" s="1"/>
  <c r="R105" i="6" s="1"/>
  <c r="R106" i="6" l="1"/>
  <c r="R107" i="6" s="1"/>
  <c r="L6" i="7"/>
  <c r="D108" i="6" l="1"/>
  <c r="D114" i="6" s="1"/>
  <c r="D116" i="6" s="1"/>
  <c r="R108" i="6"/>
  <c r="F33" i="4"/>
  <c r="F18" i="10" l="1"/>
  <c r="B10" i="4" l="1"/>
  <c r="B9" i="4"/>
  <c r="B27" i="4"/>
  <c r="F34" i="4" l="1"/>
  <c r="F44" i="4" l="1"/>
  <c r="F49" i="4"/>
  <c r="M52" i="6" l="1"/>
  <c r="M51" i="6"/>
  <c r="D62" i="6"/>
  <c r="D60" i="6"/>
  <c r="M49" i="6"/>
  <c r="M48" i="6"/>
  <c r="R47" i="6"/>
  <c r="R49" i="6" s="1"/>
  <c r="M47" i="6" l="1"/>
  <c r="R48" i="6" s="1"/>
  <c r="B20" i="4"/>
  <c r="B19" i="4"/>
  <c r="C6" i="7"/>
  <c r="E25" i="4" l="1"/>
  <c r="E24" i="4"/>
  <c r="D48" i="1" l="1"/>
  <c r="J19" i="7" l="1"/>
  <c r="J66" i="7" l="1"/>
  <c r="J54" i="7" l="1"/>
  <c r="J45" i="7"/>
  <c r="J43" i="7"/>
  <c r="D136" i="6"/>
  <c r="D98" i="6"/>
  <c r="D79" i="6"/>
  <c r="D18" i="6"/>
  <c r="D41" i="6"/>
  <c r="D31" i="5"/>
  <c r="D75" i="1"/>
  <c r="D55" i="1"/>
  <c r="J18" i="7"/>
  <c r="C19" i="7"/>
  <c r="D98" i="1"/>
  <c r="D97" i="1"/>
  <c r="D63" i="1"/>
  <c r="D51" i="1"/>
  <c r="D45" i="1"/>
  <c r="D91" i="1"/>
  <c r="C16" i="10"/>
  <c r="D72" i="1" s="1"/>
  <c r="D69" i="1"/>
  <c r="D24" i="1"/>
  <c r="G22" i="1"/>
  <c r="D22" i="1"/>
  <c r="H63" i="9" l="1"/>
  <c r="H66" i="9" s="1"/>
  <c r="N66" i="9"/>
  <c r="K66" i="9"/>
  <c r="K63" i="9"/>
  <c r="K60" i="9" l="1"/>
  <c r="H60" i="9"/>
  <c r="N60" i="9"/>
  <c r="N54" i="9"/>
  <c r="D106" i="1"/>
  <c r="K41" i="7" l="1"/>
  <c r="M41" i="7" s="1"/>
  <c r="AO11" i="2" l="1"/>
  <c r="AO17" i="2"/>
  <c r="AO10" i="2"/>
  <c r="AN11" i="2"/>
  <c r="AN17" i="2"/>
  <c r="AN10" i="2"/>
  <c r="Z11" i="2"/>
  <c r="Z17" i="2"/>
  <c r="Z10" i="2"/>
  <c r="C15" i="2"/>
  <c r="C53" i="9"/>
  <c r="C51" i="9"/>
  <c r="C49" i="9"/>
  <c r="C47" i="9"/>
  <c r="C45" i="9"/>
  <c r="C43" i="9"/>
  <c r="AL10" i="2"/>
  <c r="AL11" i="2"/>
  <c r="AL17" i="2"/>
  <c r="AK10" i="2"/>
  <c r="AK11" i="2"/>
  <c r="AK17" i="2"/>
  <c r="AJ17" i="2"/>
  <c r="AJ10" i="2"/>
  <c r="AJ11" i="2"/>
  <c r="AI10" i="2"/>
  <c r="AI11" i="2"/>
  <c r="AI17" i="2"/>
  <c r="AH10" i="2"/>
  <c r="AH11" i="2"/>
  <c r="AH17" i="2"/>
  <c r="AG17" i="2"/>
  <c r="W10" i="2"/>
  <c r="AG10" i="2"/>
  <c r="AG11" i="2"/>
  <c r="D31" i="1" l="1"/>
  <c r="L18" i="7"/>
  <c r="B29" i="10" s="1"/>
  <c r="M38" i="1" l="1"/>
  <c r="J38" i="1"/>
  <c r="E17" i="4"/>
  <c r="E16" i="4"/>
  <c r="D4" i="3" l="1"/>
  <c r="AF11" i="2" l="1"/>
  <c r="AF17" i="2"/>
  <c r="AF10" i="2"/>
  <c r="AE10" i="2"/>
  <c r="AE11" i="2"/>
  <c r="AE17" i="2"/>
  <c r="C31" i="3" l="1"/>
  <c r="N88" i="1" l="1"/>
  <c r="O34" i="8"/>
  <c r="N32" i="8"/>
  <c r="P81" i="1"/>
  <c r="G79" i="1"/>
  <c r="E79" i="1"/>
  <c r="N34" i="8" l="1"/>
  <c r="G27" i="9"/>
  <c r="G28" i="9"/>
  <c r="G29" i="9"/>
  <c r="G30" i="9"/>
  <c r="G31" i="9"/>
  <c r="G32" i="9"/>
  <c r="G33" i="9"/>
  <c r="G34" i="9"/>
  <c r="G35" i="9"/>
  <c r="G36" i="9"/>
  <c r="G37" i="9"/>
  <c r="G38" i="9"/>
  <c r="G26" i="9"/>
  <c r="C27" i="9"/>
  <c r="C28" i="9"/>
  <c r="C29" i="9"/>
  <c r="C30" i="9"/>
  <c r="C31" i="9"/>
  <c r="C32" i="9"/>
  <c r="C33" i="9"/>
  <c r="C34" i="9"/>
  <c r="C35" i="9"/>
  <c r="C36" i="9"/>
  <c r="C37" i="9"/>
  <c r="C38" i="9"/>
  <c r="C26" i="9"/>
  <c r="D22" i="9"/>
  <c r="D108" i="1"/>
  <c r="J76" i="7" s="1"/>
  <c r="D107" i="1"/>
  <c r="C25" i="8" l="1"/>
  <c r="C31" i="8" s="1"/>
  <c r="E31" i="8" s="1"/>
  <c r="E25" i="8" l="1"/>
  <c r="D15" i="2" l="1"/>
  <c r="B15" i="2"/>
  <c r="AD11" i="2"/>
  <c r="AD17" i="2"/>
  <c r="AD10" i="2"/>
  <c r="AB10" i="2"/>
  <c r="AA11" i="2" l="1"/>
  <c r="AA10" i="2"/>
  <c r="X17" i="2"/>
  <c r="Y17" i="2"/>
  <c r="AB17" i="2"/>
  <c r="AC17" i="2" s="1"/>
  <c r="AB11" i="2"/>
  <c r="AC11" i="2" s="1"/>
  <c r="AC10" i="2"/>
  <c r="Y11" i="2"/>
  <c r="X11" i="2"/>
  <c r="Y10" i="2"/>
  <c r="X10" i="2"/>
  <c r="J15" i="5" l="1"/>
  <c r="O10" i="5" l="1"/>
  <c r="J12" i="5"/>
  <c r="J11" i="5"/>
  <c r="J10" i="5"/>
  <c r="O11" i="5" l="1"/>
  <c r="O12" i="5"/>
  <c r="M128" i="6"/>
  <c r="M127" i="6"/>
  <c r="M125" i="6"/>
  <c r="M124" i="6"/>
  <c r="R123" i="6"/>
  <c r="M123" i="6" s="1"/>
  <c r="R124" i="6" s="1"/>
  <c r="M90" i="6"/>
  <c r="M89" i="6"/>
  <c r="M87" i="6"/>
  <c r="M86" i="6"/>
  <c r="R85" i="6"/>
  <c r="M85" i="6"/>
  <c r="M71" i="6"/>
  <c r="M70" i="6"/>
  <c r="M68" i="6"/>
  <c r="M67" i="6"/>
  <c r="R66" i="6"/>
  <c r="M66" i="6" s="1"/>
  <c r="M33" i="6"/>
  <c r="M32" i="6"/>
  <c r="M30" i="6"/>
  <c r="M29" i="6"/>
  <c r="R28" i="6"/>
  <c r="M28" i="6" s="1"/>
  <c r="M6" i="6"/>
  <c r="M7" i="6"/>
  <c r="R5" i="6"/>
  <c r="M5" i="6" s="1"/>
  <c r="M10" i="6"/>
  <c r="M9" i="6"/>
  <c r="R7" i="6" l="1"/>
  <c r="R86" i="6"/>
  <c r="R125" i="6"/>
  <c r="R87" i="6"/>
  <c r="R67" i="6"/>
  <c r="R68" i="6"/>
  <c r="R29" i="6"/>
  <c r="R30" i="6"/>
  <c r="R6" i="6"/>
  <c r="D43" i="6"/>
  <c r="D81" i="6" s="1"/>
  <c r="D100" i="6" s="1"/>
  <c r="D33" i="5"/>
  <c r="H17" i="5" l="1"/>
  <c r="J17" i="5" s="1"/>
  <c r="D6" i="5" l="1"/>
  <c r="D7" i="5" s="1"/>
  <c r="B10" i="3" l="1"/>
  <c r="A10" i="3"/>
  <c r="D83" i="1" l="1"/>
  <c r="D85" i="1" s="1"/>
  <c r="G86" i="1"/>
  <c r="L88" i="1" s="1"/>
  <c r="L53" i="1"/>
  <c r="N53" i="1" s="1"/>
  <c r="L47" i="1"/>
  <c r="L51" i="1" s="1"/>
  <c r="N51" i="1" s="1"/>
  <c r="B77" i="1" l="1"/>
  <c r="G73" i="1" l="1"/>
  <c r="H73" i="1" l="1"/>
  <c r="Q73" i="1" s="1"/>
  <c r="G81" i="1"/>
  <c r="L81" i="1"/>
  <c r="C4" i="3"/>
  <c r="A25" i="3" s="1"/>
  <c r="B4" i="3"/>
  <c r="A4" i="3"/>
  <c r="F47" i="1"/>
  <c r="D49" i="1" l="1"/>
  <c r="D93" i="1" s="1"/>
  <c r="B15" i="4" s="1"/>
  <c r="C9" i="10"/>
  <c r="D64" i="1"/>
  <c r="L79" i="1"/>
  <c r="L84" i="1" s="1"/>
  <c r="J14" i="5" s="1"/>
  <c r="Q75" i="1"/>
  <c r="G84" i="1" s="1"/>
  <c r="A22" i="3"/>
  <c r="A13" i="3"/>
  <c r="A16" i="3" s="1"/>
  <c r="F52" i="4" l="1"/>
  <c r="B43" i="4"/>
  <c r="D28" i="6"/>
  <c r="M31" i="6" s="1"/>
  <c r="R31" i="6" s="1"/>
  <c r="R32" i="6" s="1"/>
  <c r="A19" i="3"/>
  <c r="A28" i="3" s="1"/>
  <c r="F51" i="4" l="1"/>
  <c r="B44" i="4" s="1"/>
  <c r="B46" i="4" s="1"/>
  <c r="B48" i="4" s="1"/>
  <c r="H51" i="4"/>
  <c r="D5" i="6"/>
  <c r="M8" i="6" s="1"/>
  <c r="R8" i="6" s="1"/>
  <c r="R9" i="6" s="1"/>
  <c r="A31" i="3"/>
  <c r="D56" i="1" s="1"/>
  <c r="D58" i="1" s="1"/>
  <c r="D32" i="6"/>
  <c r="D38" i="6" s="1"/>
  <c r="D40" i="6" s="1"/>
  <c r="D42" i="6" s="1"/>
  <c r="D44" i="6" s="1"/>
  <c r="D54" i="1"/>
  <c r="B36" i="3"/>
  <c r="D9" i="6" l="1"/>
  <c r="D15" i="6" s="1"/>
  <c r="D17" i="6" s="1"/>
  <c r="D19" i="6" s="1"/>
  <c r="D21" i="6" s="1"/>
  <c r="D59" i="1"/>
  <c r="D60" i="1"/>
  <c r="F58" i="1"/>
  <c r="D53" i="1"/>
  <c r="L38" i="1"/>
  <c r="N38" i="1" s="1"/>
  <c r="L36" i="1"/>
  <c r="N36" i="1" s="1"/>
  <c r="L37" i="1"/>
  <c r="N37" i="1" s="1"/>
  <c r="L35" i="1"/>
  <c r="N35" i="1" s="1"/>
  <c r="I36" i="1"/>
  <c r="K36" i="1" s="1"/>
  <c r="I37" i="1"/>
  <c r="K37" i="1" s="1"/>
  <c r="I35" i="1"/>
  <c r="K35" i="1" s="1"/>
  <c r="F36" i="1"/>
  <c r="H36" i="1" s="1"/>
  <c r="F35" i="1"/>
  <c r="G35" i="1" s="1"/>
  <c r="D32" i="1"/>
  <c r="D26" i="1"/>
  <c r="C43" i="10" s="1"/>
  <c r="T17" i="2"/>
  <c r="U17" i="2" s="1"/>
  <c r="V17" i="2" s="1"/>
  <c r="R17" i="2"/>
  <c r="Q17" i="2"/>
  <c r="P17" i="2"/>
  <c r="O17" i="2"/>
  <c r="M17" i="2"/>
  <c r="L17" i="2"/>
  <c r="K17" i="2"/>
  <c r="J17" i="2"/>
  <c r="I12" i="2"/>
  <c r="AG12" i="2" s="1"/>
  <c r="H12" i="2"/>
  <c r="G12" i="2"/>
  <c r="K12" i="2" s="1"/>
  <c r="F12" i="2"/>
  <c r="E12" i="2"/>
  <c r="T11" i="2"/>
  <c r="U11" i="2" s="1"/>
  <c r="V11" i="2" s="1"/>
  <c r="M11" i="2"/>
  <c r="L11" i="2"/>
  <c r="K11" i="2"/>
  <c r="J11" i="2"/>
  <c r="E11" i="2"/>
  <c r="T10" i="2"/>
  <c r="U10" i="2" s="1"/>
  <c r="V10" i="2" s="1"/>
  <c r="M10" i="2"/>
  <c r="L10" i="2"/>
  <c r="K10" i="2"/>
  <c r="J10" i="2"/>
  <c r="E10" i="2"/>
  <c r="AB3" i="2"/>
  <c r="AF12" i="2" l="1"/>
  <c r="AD12" i="2"/>
  <c r="J12" i="2"/>
  <c r="X12" i="2"/>
  <c r="Y12" i="2"/>
  <c r="G36" i="1"/>
  <c r="E15" i="2"/>
  <c r="C9" i="7" s="1"/>
  <c r="F26" i="1"/>
  <c r="D61" i="1"/>
  <c r="J39" i="1"/>
  <c r="I39" i="1" s="1"/>
  <c r="K39" i="1" s="1"/>
  <c r="K41" i="1" s="1"/>
  <c r="H35" i="1"/>
  <c r="I38" i="1"/>
  <c r="K38" i="1" s="1"/>
  <c r="M39" i="1"/>
  <c r="L39" i="1" s="1"/>
  <c r="N39" i="1" s="1"/>
  <c r="N41" i="1" s="1"/>
  <c r="N10" i="2"/>
  <c r="N11" i="2"/>
  <c r="R11" i="2" s="1"/>
  <c r="N17" i="2"/>
  <c r="W17" i="2" s="1"/>
  <c r="Q10" i="2"/>
  <c r="L12" i="2"/>
  <c r="S17" i="2"/>
  <c r="R10" i="2"/>
  <c r="T12" i="2"/>
  <c r="U12" i="2" s="1"/>
  <c r="V12" i="2" s="1"/>
  <c r="P10" i="2"/>
  <c r="M12" i="2"/>
  <c r="AO12" i="2" l="1"/>
  <c r="AN12" i="2"/>
  <c r="AK12" i="2"/>
  <c r="AL12" i="2"/>
  <c r="J42" i="1"/>
  <c r="M42" i="1"/>
  <c r="W11" i="2"/>
  <c r="O11" i="2"/>
  <c r="Q11" i="2"/>
  <c r="O10" i="2"/>
  <c r="P11" i="2"/>
  <c r="N12" i="2"/>
  <c r="AH12" i="2" s="1"/>
  <c r="S10" i="2"/>
  <c r="S11" i="2"/>
  <c r="AI12" i="2" l="1"/>
  <c r="AB12" i="2"/>
  <c r="AE12" i="2"/>
  <c r="P12" i="2"/>
  <c r="P15" i="2" s="1"/>
  <c r="G15" i="2" s="1"/>
  <c r="R12" i="2"/>
  <c r="R15" i="2" s="1"/>
  <c r="I15" i="2" s="1"/>
  <c r="AG15" i="2" s="1"/>
  <c r="Q12" i="2"/>
  <c r="W12" i="2"/>
  <c r="O12" i="2"/>
  <c r="O15" i="2" l="1"/>
  <c r="F15" i="2" s="1"/>
  <c r="AC12" i="2"/>
  <c r="L28" i="1"/>
  <c r="J28" i="1"/>
  <c r="S12" i="2"/>
  <c r="AJ12" i="2" s="1"/>
  <c r="Q15" i="2"/>
  <c r="H15" i="2" s="1"/>
  <c r="K15" i="2"/>
  <c r="M15" i="2"/>
  <c r="Z12" i="2" l="1"/>
  <c r="F37" i="1" s="1"/>
  <c r="H37" i="1" s="1"/>
  <c r="F16" i="2"/>
  <c r="AF15" i="2"/>
  <c r="G16" i="2"/>
  <c r="H16" i="2"/>
  <c r="I16" i="2"/>
  <c r="AD15" i="2"/>
  <c r="I28" i="1"/>
  <c r="I30" i="1" s="1"/>
  <c r="Y15" i="2"/>
  <c r="X15" i="2"/>
  <c r="L15" i="2"/>
  <c r="K28" i="1"/>
  <c r="S15" i="2"/>
  <c r="Z15" i="2" s="1"/>
  <c r="J15" i="2"/>
  <c r="T15" i="2"/>
  <c r="U15" i="2" s="1"/>
  <c r="V15" i="2" s="1"/>
  <c r="C22" i="7" s="1"/>
  <c r="AA12" i="2" l="1"/>
  <c r="AO15" i="2"/>
  <c r="AN15" i="2"/>
  <c r="AJ15" i="2"/>
  <c r="AK15" i="2"/>
  <c r="AL15" i="2"/>
  <c r="L30" i="1"/>
  <c r="J30" i="1"/>
  <c r="K30" i="1"/>
  <c r="G37" i="1"/>
  <c r="F38" i="1"/>
  <c r="H38" i="1" s="1"/>
  <c r="AA15" i="2"/>
  <c r="N15" i="2"/>
  <c r="AE15" i="2" l="1"/>
  <c r="C25" i="7" s="1"/>
  <c r="C26" i="7" s="1"/>
  <c r="AH15" i="2"/>
  <c r="AI15" i="2"/>
  <c r="F39" i="1"/>
  <c r="H39" i="1" s="1"/>
  <c r="H41" i="1" s="1"/>
  <c r="G38" i="1"/>
  <c r="W15" i="2"/>
  <c r="C18" i="7" s="1"/>
  <c r="C21" i="7" s="1"/>
  <c r="AB15" i="2"/>
  <c r="C23" i="7" l="1"/>
  <c r="AC15" i="2"/>
  <c r="G39" i="1"/>
  <c r="G42" i="1" s="1"/>
  <c r="C41" i="10" s="1"/>
  <c r="D67" i="1" l="1"/>
  <c r="D68" i="1" s="1"/>
  <c r="D77" i="1" s="1"/>
  <c r="D78" i="1" s="1"/>
  <c r="D80" i="1" s="1"/>
  <c r="G88" i="1" s="1"/>
  <c r="C24" i="8" s="1"/>
  <c r="C26" i="8" s="1"/>
  <c r="E77" i="1" s="1"/>
  <c r="E78" i="1" s="1"/>
  <c r="E80" i="1" s="1"/>
  <c r="D10" i="5" s="1"/>
  <c r="J13" i="5" s="1"/>
  <c r="O13" i="5" s="1"/>
  <c r="C30" i="8"/>
  <c r="C32" i="8" s="1"/>
  <c r="D95" i="1"/>
  <c r="B41" i="4" s="1"/>
  <c r="F95" i="1" l="1"/>
  <c r="C15" i="4" s="1"/>
  <c r="E32" i="8"/>
  <c r="O14" i="5"/>
  <c r="D14" i="5"/>
  <c r="D17" i="5" s="1"/>
  <c r="C16" i="4" l="1"/>
  <c r="C42" i="10"/>
  <c r="D15" i="4"/>
  <c r="D19" i="5"/>
  <c r="L24" i="5"/>
  <c r="D20" i="5"/>
  <c r="D16" i="4" l="1"/>
  <c r="D23" i="4" s="1"/>
  <c r="D24" i="4" s="1"/>
  <c r="C24" i="4"/>
  <c r="E22" i="10" s="1"/>
  <c r="C23" i="4"/>
  <c r="F15" i="4"/>
  <c r="G15" i="4" s="1"/>
  <c r="N24" i="5"/>
  <c r="D22" i="5"/>
  <c r="D32" i="5" s="1"/>
  <c r="D34" i="5" s="1"/>
  <c r="D17" i="4" l="1"/>
  <c r="F17" i="4" s="1"/>
  <c r="F23" i="4"/>
  <c r="B16" i="4"/>
  <c r="B28" i="4" s="1"/>
  <c r="F16" i="4"/>
  <c r="E21" i="10"/>
  <c r="B24" i="4"/>
  <c r="D66" i="6" s="1"/>
  <c r="C4" i="7"/>
  <c r="C44" i="10" s="1"/>
  <c r="L8" i="7" l="1"/>
  <c r="E3" i="7" s="1"/>
  <c r="G16" i="4"/>
  <c r="B23" i="4"/>
  <c r="B17" i="4"/>
  <c r="D28" i="4"/>
  <c r="G23" i="4"/>
  <c r="M69" i="6"/>
  <c r="R69" i="6" s="1"/>
  <c r="R70" i="6" s="1"/>
  <c r="D25" i="4"/>
  <c r="F24" i="4"/>
  <c r="G17" i="4"/>
  <c r="R73" i="6" l="1"/>
  <c r="H69" i="6"/>
  <c r="D70" i="6" s="1"/>
  <c r="C17" i="4"/>
  <c r="D47" i="6"/>
  <c r="M50" i="6" s="1"/>
  <c r="R50" i="6" s="1"/>
  <c r="C7" i="7"/>
  <c r="C50" i="10"/>
  <c r="H50" i="10" s="1"/>
  <c r="C53" i="10"/>
  <c r="H53" i="10" s="1"/>
  <c r="C60" i="10"/>
  <c r="H60" i="10" s="1"/>
  <c r="C5" i="7"/>
  <c r="B25" i="4"/>
  <c r="J21" i="7"/>
  <c r="D29" i="4"/>
  <c r="B29" i="4" s="1"/>
  <c r="C62" i="10" s="1"/>
  <c r="H62" i="10" s="1"/>
  <c r="C25" i="4"/>
  <c r="G24" i="4"/>
  <c r="C8" i="7" s="1"/>
  <c r="F25" i="4"/>
  <c r="J41" i="7"/>
  <c r="J42" i="7" s="1"/>
  <c r="J44" i="7" s="1"/>
  <c r="J46" i="7" s="1"/>
  <c r="R51" i="6" l="1"/>
  <c r="D51" i="6"/>
  <c r="D57" i="6" s="1"/>
  <c r="D59" i="6" s="1"/>
  <c r="M88" i="6"/>
  <c r="R88" i="6" s="1"/>
  <c r="C35" i="7"/>
  <c r="C29" i="7"/>
  <c r="J23" i="7"/>
  <c r="J24" i="7" s="1"/>
  <c r="C33" i="7"/>
  <c r="C27" i="7"/>
  <c r="C34" i="7"/>
  <c r="E34" i="7" s="1"/>
  <c r="G34" i="7" s="1"/>
  <c r="G25" i="4"/>
  <c r="H27" i="7"/>
  <c r="D89" i="6" l="1"/>
  <c r="D95" i="6" s="1"/>
  <c r="D97" i="6" s="1"/>
  <c r="D99" i="6" s="1"/>
  <c r="D101" i="6" s="1"/>
  <c r="R89" i="6"/>
  <c r="J26" i="7"/>
  <c r="J65" i="7" s="1"/>
  <c r="J67" i="7" s="1"/>
  <c r="C47" i="7" s="1"/>
  <c r="C66" i="10" s="1"/>
  <c r="H66" i="10" s="1"/>
  <c r="C31" i="7"/>
  <c r="E31" i="7" s="1"/>
  <c r="D123" i="6" s="1"/>
  <c r="M126" i="6" s="1"/>
  <c r="R126" i="6" s="1"/>
  <c r="D127" i="6" s="1"/>
  <c r="D133" i="6" s="1"/>
  <c r="D135" i="6" s="1"/>
  <c r="D137" i="6" s="1"/>
  <c r="D139" i="6" s="1"/>
  <c r="C57" i="10" s="1"/>
  <c r="H57" i="10" s="1"/>
  <c r="H26" i="7"/>
  <c r="E33" i="7"/>
  <c r="G33" i="7" s="1"/>
  <c r="G37" i="7" s="1"/>
  <c r="C42" i="7"/>
  <c r="C43" i="7" s="1"/>
  <c r="C47" i="10" s="1"/>
  <c r="H47" i="10" s="1"/>
  <c r="C37" i="7"/>
  <c r="J27" i="7"/>
  <c r="J70" i="7"/>
  <c r="J72" i="7" s="1"/>
  <c r="C39" i="7" l="1"/>
  <c r="L74" i="7"/>
  <c r="J75" i="7" s="1"/>
  <c r="R127" i="6"/>
  <c r="J35" i="7"/>
  <c r="J33" i="7"/>
  <c r="K33" i="7" s="1"/>
  <c r="N67" i="7"/>
  <c r="J71" i="7"/>
  <c r="M49" i="7" s="1"/>
  <c r="J49" i="7" s="1"/>
  <c r="M50" i="7"/>
  <c r="J50" i="7" s="1"/>
  <c r="M48" i="7"/>
  <c r="J48" i="7" s="1"/>
  <c r="J74" i="7"/>
  <c r="D74" i="6" l="1"/>
  <c r="D76" i="6" s="1"/>
  <c r="D78" i="6" s="1"/>
  <c r="D80" i="6" s="1"/>
  <c r="D82" i="6" s="1"/>
  <c r="C55" i="10" s="1"/>
  <c r="D61" i="6"/>
  <c r="D63" i="6" s="1"/>
  <c r="C54" i="10" s="1"/>
  <c r="H54" i="10" s="1"/>
  <c r="J51" i="7"/>
  <c r="J55" i="7" s="1"/>
  <c r="J57" i="7" s="1"/>
  <c r="C46" i="7" s="1"/>
  <c r="H55" i="10" l="1"/>
  <c r="D118" i="6"/>
  <c r="D120" i="6" s="1"/>
  <c r="C56" i="10" s="1"/>
  <c r="H56" i="10" s="1"/>
  <c r="J59" i="7"/>
  <c r="C48" i="7"/>
  <c r="C55" i="7" s="1"/>
  <c r="C65" i="10"/>
  <c r="H65" i="10" s="1"/>
  <c r="P57" i="7"/>
  <c r="C58" i="10" l="1"/>
  <c r="H58" i="10" s="1"/>
  <c r="E48" i="7"/>
  <c r="C51" i="7"/>
  <c r="C52" i="7"/>
  <c r="E47" i="7"/>
  <c r="E46" i="7"/>
  <c r="C53" i="7"/>
  <c r="C67" i="10"/>
  <c r="C69" i="10" l="1"/>
  <c r="C73" i="10" s="1"/>
  <c r="H67" i="10"/>
  <c r="C71" i="10" l="1"/>
  <c r="H71" i="10" s="1"/>
</calcChain>
</file>

<file path=xl/comments1.xml><?xml version="1.0" encoding="utf-8"?>
<comments xmlns="http://schemas.openxmlformats.org/spreadsheetml/2006/main">
  <authors>
    <author>Milledge J.J.</author>
  </authors>
  <commentList>
    <comment ref="D73" authorId="0">
      <text>
        <r>
          <rPr>
            <b/>
            <sz val="9"/>
            <color indexed="81"/>
            <rFont val="Tahoma"/>
            <family val="2"/>
          </rPr>
          <t>Milledge J.J.:</t>
        </r>
        <r>
          <rPr>
            <sz val="9"/>
            <color indexed="81"/>
            <rFont val="Tahoma"/>
            <family val="2"/>
          </rPr>
          <t xml:space="preserve">
Note used for gas pumping calculation, but ltemp of medium used for solubility
</t>
        </r>
      </text>
    </comment>
    <comment ref="D106" authorId="0">
      <text>
        <r>
          <rPr>
            <b/>
            <sz val="9"/>
            <color indexed="81"/>
            <rFont val="Tahoma"/>
            <family val="2"/>
          </rPr>
          <t>Milledge J.J.:</t>
        </r>
        <r>
          <rPr>
            <sz val="9"/>
            <color indexed="81"/>
            <rFont val="Tahoma"/>
            <family val="2"/>
          </rPr>
          <t xml:space="preserve">
Set to ambient temp
</t>
        </r>
      </text>
    </comment>
  </commentList>
</comments>
</file>

<file path=xl/comments2.xml><?xml version="1.0" encoding="utf-8"?>
<comments xmlns="http://schemas.openxmlformats.org/spreadsheetml/2006/main">
  <authors>
    <author>Milledge J.J.</author>
  </authors>
  <commentList>
    <comment ref="D33" authorId="0">
      <text>
        <r>
          <rPr>
            <b/>
            <sz val="9"/>
            <color indexed="81"/>
            <rFont val="Tahoma"/>
            <family val="2"/>
          </rPr>
          <t>Milledge J.J.:</t>
        </r>
        <r>
          <rPr>
            <sz val="9"/>
            <color indexed="81"/>
            <rFont val="Tahoma"/>
            <family val="2"/>
          </rPr>
          <t xml:space="preserve">
Shen 2009
Porteous 1983
</t>
        </r>
      </text>
    </comment>
    <comment ref="E33" authorId="0">
      <text>
        <r>
          <rPr>
            <b/>
            <sz val="9"/>
            <color indexed="81"/>
            <rFont val="Tahoma"/>
            <family val="2"/>
          </rPr>
          <t>Milledge J.J.:</t>
        </r>
        <r>
          <rPr>
            <sz val="9"/>
            <color indexed="81"/>
            <rFont val="Tahoma"/>
            <family val="2"/>
          </rPr>
          <t xml:space="preserve">
Molina Grima et al 2003
</t>
        </r>
      </text>
    </comment>
    <comment ref="D35" authorId="0">
      <text>
        <r>
          <rPr>
            <b/>
            <sz val="9"/>
            <color indexed="81"/>
            <rFont val="Tahoma"/>
            <family val="2"/>
          </rPr>
          <t>Milledge J.J.:</t>
        </r>
        <r>
          <rPr>
            <sz val="9"/>
            <color indexed="81"/>
            <rFont val="Tahoma"/>
            <family val="2"/>
          </rPr>
          <t xml:space="preserve">
70 % Pushparaj 1993
50 - 90 Shen 2009
90% Granados et al 2012
</t>
        </r>
      </text>
    </comment>
    <comment ref="E35" authorId="0">
      <text>
        <r>
          <rPr>
            <b/>
            <sz val="9"/>
            <color indexed="81"/>
            <rFont val="Tahoma"/>
            <family val="2"/>
          </rPr>
          <t>Milledge J.J.:</t>
        </r>
        <r>
          <rPr>
            <sz val="9"/>
            <color indexed="81"/>
            <rFont val="Tahoma"/>
            <family val="2"/>
          </rPr>
          <t xml:space="preserve">
Molina Grima et al 2003
35
Knuckey
200-800
</t>
        </r>
      </text>
    </comment>
    <comment ref="F35" authorId="0">
      <text>
        <r>
          <rPr>
            <b/>
            <sz val="9"/>
            <color indexed="81"/>
            <rFont val="Tahoma"/>
            <family val="2"/>
          </rPr>
          <t>Milledge J.J.:</t>
        </r>
        <r>
          <rPr>
            <sz val="9"/>
            <color indexed="81"/>
            <rFont val="Tahoma"/>
            <family val="2"/>
          </rPr>
          <t xml:space="preserve">
settlement 0.05
At low levels of mixing poor separation is due to poor distribution of the flocculant molecules. At high levels of mixing floc attrition occurs which reduces the separation efficiency. Weir et al 2003
</t>
        </r>
      </text>
    </comment>
    <comment ref="A40" authorId="0">
      <text>
        <r>
          <rPr>
            <b/>
            <sz val="9"/>
            <color indexed="81"/>
            <rFont val="Tahoma"/>
            <family val="2"/>
          </rPr>
          <t>Milledge J.J.:</t>
        </r>
        <r>
          <rPr>
            <sz val="9"/>
            <color indexed="81"/>
            <rFont val="Tahoma"/>
            <family val="2"/>
          </rPr>
          <t xml:space="preserve">
Polyelectrolyte EM16 was selected as the most effective because
it allowed a biomass recovery of more than 90%, with a concentration
factor of 26, using only 10 mg/l of flocculant 
Granados, 2012
</t>
        </r>
      </text>
    </comment>
    <comment ref="B40" authorId="0">
      <text>
        <r>
          <rPr>
            <b/>
            <sz val="9"/>
            <color indexed="81"/>
            <rFont val="Tahoma"/>
            <family val="2"/>
          </rPr>
          <t>Milledge J.J.:</t>
        </r>
        <r>
          <rPr>
            <sz val="9"/>
            <color indexed="81"/>
            <rFont val="Tahoma"/>
            <family val="2"/>
          </rPr>
          <t xml:space="preserve">
major inconvenience of using mineral salts is that
high flocculant doses are required, ranging from 120 to 1000 mg
</t>
        </r>
      </text>
    </comment>
    <comment ref="F40" authorId="0">
      <text>
        <r>
          <rPr>
            <b/>
            <sz val="9"/>
            <color indexed="81"/>
            <rFont val="Tahoma"/>
            <family val="2"/>
          </rPr>
          <t>Milledge J.J.:</t>
        </r>
        <r>
          <rPr>
            <sz val="9"/>
            <color indexed="81"/>
            <rFont val="Tahoma"/>
            <family val="2"/>
          </rPr>
          <t xml:space="preserve">
20 MJ kg-1  5.6 kwh kg-1
(Beal et al., 2012). </t>
        </r>
      </text>
    </comment>
    <comment ref="B41" authorId="0">
      <text>
        <r>
          <rPr>
            <b/>
            <sz val="9"/>
            <color indexed="81"/>
            <rFont val="Tahoma"/>
            <family val="2"/>
          </rPr>
          <t>Milledge J.J.:</t>
        </r>
        <r>
          <rPr>
            <sz val="9"/>
            <color indexed="81"/>
            <rFont val="Tahoma"/>
            <family val="2"/>
          </rPr>
          <t xml:space="preserve">
polyelectrolytes allow the efficient recovery of biomass, at doses of 2–25 mg per gram of microalgae
biomass </t>
        </r>
      </text>
    </comment>
    <comment ref="F41" authorId="0">
      <text>
        <r>
          <rPr>
            <b/>
            <sz val="9"/>
            <color indexed="81"/>
            <rFont val="Tahoma"/>
            <family val="2"/>
          </rPr>
          <t>Milledge J.J.:</t>
        </r>
        <r>
          <rPr>
            <sz val="9"/>
            <color indexed="81"/>
            <rFont val="Tahoma"/>
            <family val="2"/>
          </rPr>
          <t xml:space="preserve">
Ferric/Ferrous Chloride 3.2 kWhr kg-1 (11.5 MJ kg-1 ) and Alum 4.04 kWhr  kg-1 (14.5 MJ kg-1) (Maas, 2009)
</t>
        </r>
      </text>
    </comment>
    <comment ref="E47" authorId="0">
      <text>
        <r>
          <rPr>
            <b/>
            <sz val="9"/>
            <color indexed="81"/>
            <rFont val="Tahoma"/>
            <family val="2"/>
          </rPr>
          <t>Milledge J.J.:</t>
        </r>
        <r>
          <rPr>
            <sz val="9"/>
            <color indexed="81"/>
            <rFont val="Tahoma"/>
            <family val="2"/>
          </rPr>
          <t xml:space="preserve">
Flocculation of clay suspensions by polyelectrolytes showed that flocs ruptured at G values &gt; 350 s-1 . In the present work, the optimum stirring condition was found to be at a shear rate of ~300 s-1, a value also recommended by the Environmental Protection Agency for rapid mixing of municipal wastewater. 
Cnen 1998
</t>
        </r>
      </text>
    </comment>
    <comment ref="F48" authorId="0">
      <text>
        <r>
          <rPr>
            <b/>
            <sz val="9"/>
            <color indexed="81"/>
            <rFont val="Tahoma"/>
            <family val="2"/>
          </rPr>
          <t>Milledge J.J.:</t>
        </r>
        <r>
          <rPr>
            <sz val="9"/>
            <color indexed="81"/>
            <rFont val="Tahoma"/>
            <family val="2"/>
          </rPr>
          <t xml:space="preserve">
Flocculant mixer are  designed to provide a 10 to 60 second retention time with a root mean square velocity gradient, G, of the order 300 s-1.
IWAwiki 2010
</t>
        </r>
      </text>
    </comment>
    <comment ref="G48" authorId="0">
      <text>
        <r>
          <rPr>
            <b/>
            <sz val="9"/>
            <color indexed="81"/>
            <rFont val="Tahoma"/>
            <family val="2"/>
          </rPr>
          <t>Milledge J.J.:</t>
        </r>
        <r>
          <rPr>
            <sz val="9"/>
            <color indexed="81"/>
            <rFont val="Tahoma"/>
            <family val="2"/>
          </rPr>
          <t xml:space="preserve">
investigated the effect of mixing intensity, a range of different G values from 100 to 770 s-1 with constant duration of 60 seconds was used during rapid mixing with ferric coagulant in wastewater.
The results indicated that very high intensity of mixing with iron did not improve clarification of wastewater.
There was no apparent change in clarification due to increase in duration of mixing.Neupane, et al 2006</t>
        </r>
      </text>
    </comment>
    <comment ref="H49" authorId="0">
      <text>
        <r>
          <rPr>
            <b/>
            <sz val="9"/>
            <color indexed="81"/>
            <rFont val="Tahoma"/>
            <family val="2"/>
          </rPr>
          <t>Milledge J.J.:</t>
        </r>
        <r>
          <rPr>
            <sz val="9"/>
            <color indexed="81"/>
            <rFont val="Tahoma"/>
            <family val="2"/>
          </rPr>
          <t xml:space="preserve">
Stephenson uded figures rules of thumb from Coulson &amp; Richardson
</t>
        </r>
      </text>
    </comment>
    <comment ref="F50" authorId="0">
      <text>
        <r>
          <rPr>
            <b/>
            <sz val="9"/>
            <color indexed="81"/>
            <rFont val="Tahoma"/>
            <family val="2"/>
          </rPr>
          <t>Milledge J.J.:</t>
        </r>
        <r>
          <rPr>
            <sz val="9"/>
            <color indexed="81"/>
            <rFont val="Tahoma"/>
            <family val="2"/>
          </rPr>
          <t xml:space="preserve">
intense stirring at 150 rpm for 2 min to
ensure complete solubility of the flocculant
Granados et al 2012
flocculation takes place within the period of polymer addition (40 seconds). Chen 1998
</t>
        </r>
      </text>
    </comment>
  </commentList>
</comments>
</file>

<file path=xl/comments3.xml><?xml version="1.0" encoding="utf-8"?>
<comments xmlns="http://schemas.openxmlformats.org/spreadsheetml/2006/main">
  <authors>
    <author>Milledge J.J.</author>
  </authors>
  <commentList>
    <comment ref="C39" authorId="0">
      <text>
        <r>
          <rPr>
            <b/>
            <sz val="9"/>
            <color indexed="81"/>
            <rFont val="Tahoma"/>
            <family val="2"/>
          </rPr>
          <t>Milledge J.J.:</t>
        </r>
        <r>
          <rPr>
            <sz val="9"/>
            <color indexed="81"/>
            <rFont val="Tahoma"/>
            <family val="2"/>
          </rPr>
          <t xml:space="preserve">
Banks 2012
less than 1.5 not satisfactory
2.5 target for energy crops
</t>
        </r>
      </text>
    </comment>
    <comment ref="P48" authorId="0">
      <text>
        <r>
          <rPr>
            <b/>
            <sz val="9"/>
            <color indexed="81"/>
            <rFont val="Tahoma"/>
            <family val="2"/>
          </rPr>
          <t>Milledge J.J.:</t>
        </r>
        <r>
          <rPr>
            <sz val="9"/>
            <color indexed="81"/>
            <rFont val="Tahoma"/>
            <family val="2"/>
          </rPr>
          <t xml:space="preserve">
Banks 2012 100mmm insulation 0.33 w m-2 °K-1
Typical Wang &amp; Baswari 2 w m-2 °K-1
50mm w m-2 °K-1 Spiraxsarco</t>
        </r>
      </text>
    </comment>
    <comment ref="L59" authorId="0">
      <text>
        <r>
          <rPr>
            <b/>
            <sz val="9"/>
            <color indexed="81"/>
            <rFont val="Tahoma"/>
            <family val="2"/>
          </rPr>
          <t>Milledge J.J.:</t>
        </r>
        <r>
          <rPr>
            <sz val="9"/>
            <color indexed="81"/>
            <rFont val="Tahoma"/>
            <family val="2"/>
          </rPr>
          <t xml:space="preserve">
Perrson et al 1979</t>
        </r>
      </text>
    </comment>
    <comment ref="L73" authorId="0">
      <text>
        <r>
          <rPr>
            <b/>
            <sz val="9"/>
            <color indexed="81"/>
            <rFont val="Tahoma"/>
            <family val="2"/>
          </rPr>
          <t>Milledge J.J.:</t>
        </r>
        <r>
          <rPr>
            <sz val="9"/>
            <color indexed="81"/>
            <rFont val="Tahoma"/>
            <family val="2"/>
          </rPr>
          <t xml:space="preserve">
or LOW to MEDIUM viscosity liquids{propeller and °at-blade turbines are recommended.
frequently used impeller for industrial fermentation{6-°at-blade disc-mounted tur-
bine (Rushton turbine) is used. UZIR 2007
</t>
        </r>
      </text>
    </comment>
  </commentList>
</comments>
</file>

<file path=xl/comments4.xml><?xml version="1.0" encoding="utf-8"?>
<comments xmlns="http://schemas.openxmlformats.org/spreadsheetml/2006/main">
  <authors>
    <author>Milledge J.J.</author>
  </authors>
  <commentList>
    <comment ref="O34" authorId="0">
      <text>
        <r>
          <rPr>
            <b/>
            <sz val="9"/>
            <color indexed="81"/>
            <rFont val="Tahoma"/>
            <family val="2"/>
          </rPr>
          <t>Milledge J.J.:</t>
        </r>
        <r>
          <rPr>
            <sz val="9"/>
            <color indexed="81"/>
            <rFont val="Tahoma"/>
            <family val="2"/>
          </rPr>
          <t xml:space="preserve">
Salt water solubility is approx. 80% of fresh water
</t>
        </r>
      </text>
    </comment>
  </commentList>
</comments>
</file>

<file path=xl/comments5.xml><?xml version="1.0" encoding="utf-8"?>
<comments xmlns="http://schemas.openxmlformats.org/spreadsheetml/2006/main">
  <authors>
    <author>Milledge J.J.</author>
  </authors>
  <commentList>
    <comment ref="G41" authorId="0">
      <text>
        <r>
          <rPr>
            <b/>
            <sz val="9"/>
            <color indexed="81"/>
            <rFont val="Tahoma"/>
            <family val="2"/>
          </rPr>
          <t>Milledge J.J.:</t>
        </r>
        <r>
          <rPr>
            <sz val="9"/>
            <color indexed="81"/>
            <rFont val="Tahoma"/>
            <family val="2"/>
          </rPr>
          <t xml:space="preserve">
36.8300° N, 2.4300° W</t>
        </r>
      </text>
    </comment>
    <comment ref="J41" authorId="0">
      <text>
        <r>
          <rPr>
            <b/>
            <sz val="9"/>
            <color indexed="81"/>
            <rFont val="Tahoma"/>
            <family val="2"/>
          </rPr>
          <t>Milledge J.J.:</t>
        </r>
        <r>
          <rPr>
            <sz val="9"/>
            <color indexed="81"/>
            <rFont val="Tahoma"/>
            <family val="2"/>
          </rPr>
          <t xml:space="preserve">
22.5700° S, 17.0836° E</t>
        </r>
      </text>
    </comment>
    <comment ref="M41" authorId="0">
      <text>
        <r>
          <rPr>
            <b/>
            <sz val="9"/>
            <color indexed="81"/>
            <rFont val="Tahoma"/>
            <family val="2"/>
          </rPr>
          <t>Milledge J.J.:</t>
        </r>
        <r>
          <rPr>
            <sz val="9"/>
            <color indexed="81"/>
            <rFont val="Tahoma"/>
            <family val="2"/>
          </rPr>
          <t xml:space="preserve">
50.9339° N, 1.3961° W
Southampton, Coordinates
</t>
        </r>
      </text>
    </comment>
    <comment ref="H57" authorId="0">
      <text>
        <r>
          <rPr>
            <b/>
            <sz val="9"/>
            <color indexed="81"/>
            <rFont val="Tahoma"/>
            <family val="2"/>
          </rPr>
          <t>Milledge J.J.:</t>
        </r>
        <r>
          <rPr>
            <sz val="9"/>
            <color indexed="81"/>
            <rFont val="Tahoma"/>
            <family val="2"/>
          </rPr>
          <t xml:space="preserve">
Worldclimate.com 18/12/12</t>
        </r>
      </text>
    </comment>
    <comment ref="K57" authorId="0">
      <text>
        <r>
          <rPr>
            <b/>
            <sz val="9"/>
            <color indexed="81"/>
            <rFont val="Tahoma"/>
            <family val="2"/>
          </rPr>
          <t>Milledge J.J.:</t>
        </r>
        <r>
          <rPr>
            <sz val="9"/>
            <color indexed="81"/>
            <rFont val="Tahoma"/>
            <family val="2"/>
          </rPr>
          <t xml:space="preserve">
http://weather.namsearch.com/wxbarosummary.php</t>
        </r>
      </text>
    </comment>
    <comment ref="N57" authorId="0">
      <text>
        <r>
          <rPr>
            <b/>
            <sz val="9"/>
            <color indexed="81"/>
            <rFont val="Tahoma"/>
            <family val="2"/>
          </rPr>
          <t>Milledge J.J.:</t>
        </r>
        <r>
          <rPr>
            <sz val="9"/>
            <color indexed="81"/>
            <rFont val="Tahoma"/>
            <family val="2"/>
          </rPr>
          <t xml:space="preserve">
Worldclimate.com 18/12/12</t>
        </r>
      </text>
    </comment>
    <comment ref="K58" authorId="0">
      <text>
        <r>
          <rPr>
            <b/>
            <sz val="9"/>
            <color indexed="81"/>
            <rFont val="Tahoma"/>
            <family val="2"/>
          </rPr>
          <t>Milledge J.J.:</t>
        </r>
        <r>
          <rPr>
            <sz val="9"/>
            <color indexed="81"/>
            <rFont val="Tahoma"/>
            <family val="2"/>
          </rPr>
          <t xml:space="preserve">
Worldclimate.com 18/12/12
</t>
        </r>
      </text>
    </comment>
    <comment ref="G59" authorId="0">
      <text>
        <r>
          <rPr>
            <b/>
            <sz val="9"/>
            <color indexed="81"/>
            <rFont val="Tahoma"/>
            <family val="2"/>
          </rPr>
          <t>Milledge J.J.:</t>
        </r>
        <r>
          <rPr>
            <sz val="9"/>
            <color indexed="81"/>
            <rFont val="Tahoma"/>
            <family val="2"/>
          </rPr>
          <t xml:space="preserve">
Worldclimate.com 18/12/12
</t>
        </r>
      </text>
    </comment>
    <comment ref="H63" authorId="0">
      <text>
        <r>
          <rPr>
            <b/>
            <sz val="9"/>
            <color indexed="81"/>
            <rFont val="Tahoma"/>
            <family val="2"/>
          </rPr>
          <t>Milledge J.J.:</t>
        </r>
        <r>
          <rPr>
            <sz val="9"/>
            <color indexed="81"/>
            <rFont val="Tahoma"/>
            <family val="2"/>
          </rPr>
          <t xml:space="preserve">
Moratiel, R. et al 2010
1500mm yr.
Gallego 2010 1310mm per year
NREL SW USA 6mm day</t>
        </r>
      </text>
    </comment>
    <comment ref="K63" authorId="0">
      <text>
        <r>
          <rPr>
            <b/>
            <sz val="9"/>
            <color indexed="81"/>
            <rFont val="Tahoma"/>
            <family val="2"/>
          </rPr>
          <t>Milledge J.J.:</t>
        </r>
        <r>
          <rPr>
            <sz val="9"/>
            <color indexed="81"/>
            <rFont val="Tahoma"/>
            <family val="2"/>
          </rPr>
          <t xml:space="preserve">
Digital atlas of Namibia
</t>
        </r>
      </text>
    </comment>
    <comment ref="N63" authorId="0">
      <text>
        <r>
          <rPr>
            <b/>
            <sz val="9"/>
            <color indexed="81"/>
            <rFont val="Tahoma"/>
            <family val="2"/>
          </rPr>
          <t>Milledge J.J.:</t>
        </r>
        <r>
          <rPr>
            <sz val="9"/>
            <color indexed="81"/>
            <rFont val="Tahoma"/>
            <family val="2"/>
          </rPr>
          <t xml:space="preserve">
http://utmrd.net/docs/Evaporation%20from%20Reservoirs%20May%202007%20Agreed%20Version%201.pdf</t>
        </r>
      </text>
    </comment>
  </commentList>
</comments>
</file>

<file path=xl/sharedStrings.xml><?xml version="1.0" encoding="utf-8"?>
<sst xmlns="http://schemas.openxmlformats.org/spreadsheetml/2006/main" count="1201" uniqueCount="606">
  <si>
    <t>Growth System</t>
  </si>
  <si>
    <t>Harvesting</t>
  </si>
  <si>
    <t>Anaerobic Digestion</t>
  </si>
  <si>
    <t>Solar Insolation</t>
  </si>
  <si>
    <t>Evaporation</t>
  </si>
  <si>
    <t>Biogas</t>
  </si>
  <si>
    <t>Conc' Algal Suspension</t>
  </si>
  <si>
    <t>Spent Algal Growth Medium</t>
  </si>
  <si>
    <t>Recycled Algal  Growth Medium</t>
  </si>
  <si>
    <t>Spent Digestate</t>
  </si>
  <si>
    <t>Recycled Digestate</t>
  </si>
  <si>
    <t>Water &amp; Nutrients</t>
  </si>
  <si>
    <t>Paddlewheel</t>
  </si>
  <si>
    <t>Photosynthetic Efficiency</t>
  </si>
  <si>
    <t>%</t>
  </si>
  <si>
    <t>Annual Biomass Calorific Yield</t>
  </si>
  <si>
    <t>MJ/m3</t>
  </si>
  <si>
    <t>protein C4.43H7O1.44N1.16 100.1 15.5</t>
  </si>
  <si>
    <t>HHV KJ/g</t>
  </si>
  <si>
    <t>g/mole</t>
  </si>
  <si>
    <t>mole/litre</t>
  </si>
  <si>
    <t>KJ/litre</t>
  </si>
  <si>
    <t>Atomic mass</t>
  </si>
  <si>
    <t>carbohydrate C6H12O6 180 13</t>
  </si>
  <si>
    <t>CH4</t>
  </si>
  <si>
    <t>C</t>
  </si>
  <si>
    <t>H</t>
  </si>
  <si>
    <t>O</t>
  </si>
  <si>
    <t>N</t>
  </si>
  <si>
    <t>lipid C40H7405 634 38.3</t>
  </si>
  <si>
    <t>International Flame Research Foundation Online Combustion Handbook  ISSN 1607-9116 (Method from Combustion File 24)</t>
  </si>
  <si>
    <t>Grobelaar algae CO0.48H1.83N0.11P0.01</t>
  </si>
  <si>
    <t>Higher heat value = 34.1C + 102H + 6.3N + 19.1S - 9.85O / 100</t>
  </si>
  <si>
    <t>Empirical formula</t>
  </si>
  <si>
    <t>Mass per mole g</t>
  </si>
  <si>
    <t>Buswell</t>
  </si>
  <si>
    <t>IFRF</t>
  </si>
  <si>
    <t>Lipid</t>
  </si>
  <si>
    <t>%Protein</t>
  </si>
  <si>
    <t>%Lipid</t>
  </si>
  <si>
    <t>%Carb</t>
  </si>
  <si>
    <t>%total</t>
  </si>
  <si>
    <t>a</t>
  </si>
  <si>
    <t>b</t>
  </si>
  <si>
    <t>c</t>
  </si>
  <si>
    <t>d</t>
  </si>
  <si>
    <t>total</t>
  </si>
  <si>
    <t>%C</t>
  </si>
  <si>
    <t>%H</t>
  </si>
  <si>
    <t>%O</t>
  </si>
  <si>
    <t>%N</t>
  </si>
  <si>
    <t>total%</t>
  </si>
  <si>
    <t>n</t>
  </si>
  <si>
    <t>ratio</t>
  </si>
  <si>
    <t>%CH4 in biogas</t>
  </si>
  <si>
    <t>l CH4/gVS</t>
  </si>
  <si>
    <t>Calc CV MJ/kg</t>
  </si>
  <si>
    <t>Carbohydrate</t>
  </si>
  <si>
    <t>Revised protein</t>
  </si>
  <si>
    <t>Grobelaar general algal (no P)</t>
  </si>
  <si>
    <t>Micro Algal Composition</t>
  </si>
  <si>
    <t>Lipid %</t>
  </si>
  <si>
    <t>Carb %</t>
  </si>
  <si>
    <t>Protein %</t>
  </si>
  <si>
    <t>Total Organic%</t>
  </si>
  <si>
    <t>Algae Empirical formula</t>
  </si>
  <si>
    <t>Calorific Values</t>
  </si>
  <si>
    <t xml:space="preserve">Carb </t>
  </si>
  <si>
    <t xml:space="preserve">Protein </t>
  </si>
  <si>
    <t>Total Inorganic %</t>
  </si>
  <si>
    <t>Flame Res</t>
  </si>
  <si>
    <t xml:space="preserve">Organic Content </t>
  </si>
  <si>
    <t>Total Algae</t>
  </si>
  <si>
    <t>Milledge (2010)</t>
  </si>
  <si>
    <t>Merrill And Watt 1974 Vegetable Values</t>
  </si>
  <si>
    <r>
      <t>kWh kg</t>
    </r>
    <r>
      <rPr>
        <vertAlign val="superscript"/>
        <sz val="11"/>
        <color theme="1"/>
        <rFont val="Times New Roman"/>
        <family val="1"/>
      </rPr>
      <t>-1</t>
    </r>
  </si>
  <si>
    <t>Algal yield</t>
  </si>
  <si>
    <t>Algal Removal %</t>
  </si>
  <si>
    <t>% Algae DW</t>
  </si>
  <si>
    <t>% Moisture Content Algal cell</t>
  </si>
  <si>
    <t>Wet weight algae</t>
  </si>
  <si>
    <t>% Algae WW</t>
  </si>
  <si>
    <t>Algal Feed</t>
  </si>
  <si>
    <t>Algal Concentrate % DW</t>
  </si>
  <si>
    <t>Return for top up</t>
  </si>
  <si>
    <r>
      <t>Flow-rate  M</t>
    </r>
    <r>
      <rPr>
        <vertAlign val="superscript"/>
        <sz val="11"/>
        <color theme="1"/>
        <rFont val="Times New Roman"/>
        <family val="1"/>
      </rPr>
      <t>3</t>
    </r>
    <r>
      <rPr>
        <sz val="11"/>
        <color theme="1"/>
        <rFont val="Times New Roman"/>
        <family val="1"/>
      </rPr>
      <t>hr</t>
    </r>
    <r>
      <rPr>
        <vertAlign val="superscript"/>
        <sz val="11"/>
        <color theme="1"/>
        <rFont val="Times New Roman"/>
        <family val="1"/>
      </rPr>
      <t>-1</t>
    </r>
  </si>
  <si>
    <r>
      <t>Flow rate algae (DW) kghr</t>
    </r>
    <r>
      <rPr>
        <vertAlign val="superscript"/>
        <sz val="11"/>
        <color theme="1"/>
        <rFont val="Times New Roman"/>
        <family val="1"/>
      </rPr>
      <t>-1</t>
    </r>
  </si>
  <si>
    <t>Pond Dimensions</t>
  </si>
  <si>
    <t>Depth of media (y)m</t>
  </si>
  <si>
    <t>Width  of channel (b)m</t>
  </si>
  <si>
    <t>Length channel (L) m</t>
  </si>
  <si>
    <t>Pond Material</t>
  </si>
  <si>
    <t>Manning factor (n)</t>
  </si>
  <si>
    <t>Fluid  Properties</t>
  </si>
  <si>
    <t>Reynolds Number</t>
  </si>
  <si>
    <t>K Factor</t>
  </si>
  <si>
    <t>Paddle Wheel Efficiency %</t>
  </si>
  <si>
    <t>Velocity at edge</t>
  </si>
  <si>
    <t>Lined Pond</t>
  </si>
  <si>
    <t>Pond Dimension</t>
  </si>
  <si>
    <t>Fluid Velocity in Pond</t>
  </si>
  <si>
    <t>Head Drop</t>
  </si>
  <si>
    <t>mm</t>
  </si>
  <si>
    <t xml:space="preserve">Head </t>
  </si>
  <si>
    <t>w</t>
  </si>
  <si>
    <t>Hydraulic Power for Pond</t>
  </si>
  <si>
    <t>Paddlewheel Efficiency</t>
  </si>
  <si>
    <t>Paddlewheel Power</t>
  </si>
  <si>
    <t>Paddlewheel Operating Hours</t>
  </si>
  <si>
    <t>kW</t>
  </si>
  <si>
    <t>Paddlewheel Energy for Pond</t>
  </si>
  <si>
    <t>Paddlewheel Energy per unit area</t>
  </si>
  <si>
    <t>Paddlewheel Energy per unit volume</t>
  </si>
  <si>
    <t xml:space="preserve">Mixing Energy </t>
  </si>
  <si>
    <t>% of Calorific Value of  Algae</t>
  </si>
  <si>
    <t xml:space="preserve">Required Area </t>
  </si>
  <si>
    <t>Total evaporative loss from pond</t>
  </si>
  <si>
    <t>Evaporation Rate</t>
  </si>
  <si>
    <t>Carbon Requirement</t>
  </si>
  <si>
    <t>Carbon Dioxide Requirement</t>
  </si>
  <si>
    <t>Gas Supply Temp</t>
  </si>
  <si>
    <t>Gas Molar/ Volume Mix</t>
  </si>
  <si>
    <t>Argon</t>
  </si>
  <si>
    <t>Mole Weight</t>
  </si>
  <si>
    <t xml:space="preserve">PV = nRT </t>
  </si>
  <si>
    <t>R</t>
  </si>
  <si>
    <t>Volume of one mole of Flue Gas</t>
  </si>
  <si>
    <t>Mole weight Of Flue Gas</t>
  </si>
  <si>
    <t>Litres</t>
  </si>
  <si>
    <t>Gas Density</t>
  </si>
  <si>
    <t>Pure Carbon Dioxide</t>
  </si>
  <si>
    <t>Density CO2</t>
  </si>
  <si>
    <t>Volume of one mole of CO2</t>
  </si>
  <si>
    <t>Yes (1) or No (0)</t>
  </si>
  <si>
    <t>Density of  Gas</t>
  </si>
  <si>
    <t>% (MAX 21%) SET TO no (0)</t>
  </si>
  <si>
    <t>Supply of Gas to pond</t>
  </si>
  <si>
    <t>kPa</t>
  </si>
  <si>
    <t>Hours</t>
  </si>
  <si>
    <t>Gas Flow Rate</t>
  </si>
  <si>
    <t>Gas Pumping Operating Hours</t>
  </si>
  <si>
    <t>Gaseous Transfer</t>
  </si>
  <si>
    <t>Circuit Total Length</t>
  </si>
  <si>
    <t>m</t>
  </si>
  <si>
    <t>Circuit time</t>
  </si>
  <si>
    <t>seconds</t>
  </si>
  <si>
    <t>hrs.:min:sec</t>
  </si>
  <si>
    <t>Max Solubility CO2</t>
  </si>
  <si>
    <t>Max Concentration CO2 Henry's law</t>
  </si>
  <si>
    <t>% w/w CO2 in flue gas</t>
  </si>
  <si>
    <t>Concentration w/w of CO2 in Gas</t>
  </si>
  <si>
    <t>Concentration v/v of CO2 in Gas</t>
  </si>
  <si>
    <t>Sump Depth</t>
  </si>
  <si>
    <t>Sump Width</t>
  </si>
  <si>
    <t>Sump Length</t>
  </si>
  <si>
    <t>Sump Volume</t>
  </si>
  <si>
    <r>
      <t>m</t>
    </r>
    <r>
      <rPr>
        <vertAlign val="superscript"/>
        <sz val="11"/>
        <color theme="1"/>
        <rFont val="Times New Roman"/>
        <family val="1"/>
      </rPr>
      <t>3</t>
    </r>
  </si>
  <si>
    <t>Retention Time</t>
  </si>
  <si>
    <t>days</t>
  </si>
  <si>
    <t>Harvesting Hours per day</t>
  </si>
  <si>
    <t>Hourly Harvesting Rate</t>
  </si>
  <si>
    <t>hours</t>
  </si>
  <si>
    <t>Algal Concentration in Ponds</t>
  </si>
  <si>
    <t>Volumetic Flow Rate</t>
  </si>
  <si>
    <t>Growth Medium Density</t>
  </si>
  <si>
    <t>Growth Medium COD</t>
  </si>
  <si>
    <t>Growth Medium Salinity</t>
  </si>
  <si>
    <t>Growth Medium Nitrogen</t>
  </si>
  <si>
    <t>Growth Medium Viscosity</t>
  </si>
  <si>
    <t>Growth Medium Flow Rate</t>
  </si>
  <si>
    <t>Algal Harvesting %</t>
  </si>
  <si>
    <t>Concentation Factor</t>
  </si>
  <si>
    <t>Gas Transfer Pump</t>
  </si>
  <si>
    <t>Gas Flow</t>
  </si>
  <si>
    <t>Pressure at Sparger outlet</t>
  </si>
  <si>
    <t>Pressure drop across sparger</t>
  </si>
  <si>
    <t>1 psi</t>
  </si>
  <si>
    <t>Weisman &amp; Goebel 1987</t>
  </si>
  <si>
    <t>Length of gas supply pipe</t>
  </si>
  <si>
    <t>Diameter of supply pipe</t>
  </si>
  <si>
    <t>Friction factor</t>
  </si>
  <si>
    <t>Pressure Drop</t>
  </si>
  <si>
    <t>Total pressure drop in Gaseous Exchange</t>
  </si>
  <si>
    <t>Isothermal Entropy Change</t>
  </si>
  <si>
    <t>(Green et al., 1995)</t>
  </si>
  <si>
    <t>(Weissman et al., 1989)</t>
  </si>
  <si>
    <t>Power = P1 * Volumetric Flow rate *  ln P2/P1</t>
  </si>
  <si>
    <t>Blower Power</t>
  </si>
  <si>
    <t>Rogers &amp; Mayhew 1992</t>
  </si>
  <si>
    <t>Temperature Gas</t>
  </si>
  <si>
    <t>°K</t>
  </si>
  <si>
    <t>°C</t>
  </si>
  <si>
    <t>Isothermal Compression Power</t>
  </si>
  <si>
    <t>Adiabatic compression Power</t>
  </si>
  <si>
    <t>Cv</t>
  </si>
  <si>
    <t>∆S = R ln P2/P1</t>
  </si>
  <si>
    <t>Operating Hours</t>
  </si>
  <si>
    <t>Blower Energy for Pond</t>
  </si>
  <si>
    <t xml:space="preserve">Pumping </t>
  </si>
  <si>
    <t>Water &amp; Nutrient supply Pumps</t>
  </si>
  <si>
    <t>Outlet Head</t>
  </si>
  <si>
    <t>Flow rate</t>
  </si>
  <si>
    <t>Friction Head Drop</t>
  </si>
  <si>
    <t>Suction Head</t>
  </si>
  <si>
    <t>Total head</t>
  </si>
  <si>
    <t>Hydraulic Power</t>
  </si>
  <si>
    <t>KW</t>
  </si>
  <si>
    <t>Supply Pump Energy</t>
  </si>
  <si>
    <t>Pump Efficiency</t>
  </si>
  <si>
    <t>Pump Power</t>
  </si>
  <si>
    <t>Harvest Supply Pump Energy</t>
  </si>
  <si>
    <t>AD Supply Pump Energy</t>
  </si>
  <si>
    <t>Reciculation % Algal growth medium</t>
  </si>
  <si>
    <t>Reciculation % AD Digestate</t>
  </si>
  <si>
    <t>Length of pipe</t>
  </si>
  <si>
    <t>Diameter of pipe</t>
  </si>
  <si>
    <t>Length of  pipe</t>
  </si>
  <si>
    <t>Digestate "Return" Pump</t>
  </si>
  <si>
    <t>Anaerbic Digestion</t>
  </si>
  <si>
    <t>Conc Alage</t>
  </si>
  <si>
    <t>Return from Harvest</t>
  </si>
  <si>
    <t>Respiration &amp; Bacterial Growth</t>
  </si>
  <si>
    <t>Digestate COD</t>
  </si>
  <si>
    <t>Harvest Return COD</t>
  </si>
  <si>
    <t>K Factor 180° Bend</t>
  </si>
  <si>
    <t>Roughness</t>
  </si>
  <si>
    <t>Pipe Diameter, D =</t>
  </si>
  <si>
    <t>Pipe Roughness, e =</t>
  </si>
  <si>
    <t>Friction Factor, f =</t>
  </si>
  <si>
    <t>Pipe Length, L =</t>
  </si>
  <si>
    <t>Cross-Sect. Area, A =</t>
  </si>
  <si>
    <t>Pipe Flow Rate, Q =</t>
  </si>
  <si>
    <t>Ave. Velocity, V =</t>
  </si>
  <si>
    <t>Fluid Density, r =</t>
  </si>
  <si>
    <t>Reynolds number, Re =</t>
  </si>
  <si>
    <t>Fluid Viscosity, m =</t>
  </si>
  <si>
    <t>Commercial Pipe Coulson &amp; Richardson’s</t>
  </si>
  <si>
    <t>Pa s</t>
  </si>
  <si>
    <t>Gas Density, r =</t>
  </si>
  <si>
    <t xml:space="preserve">Vicosity Air </t>
  </si>
  <si>
    <t>COD per g VS</t>
  </si>
  <si>
    <t>molCH4/mol VS</t>
  </si>
  <si>
    <t>molCO2/mol VS</t>
  </si>
  <si>
    <t>Calc CV MJ/kg VS</t>
  </si>
  <si>
    <t>Freshwater</t>
  </si>
  <si>
    <t>Saltwater 35 ppt</t>
  </si>
  <si>
    <t xml:space="preserve">Temp </t>
  </si>
  <si>
    <t>Density</t>
  </si>
  <si>
    <t>Kg m-3</t>
  </si>
  <si>
    <t>Kestin et al (1978)</t>
  </si>
  <si>
    <t xml:space="preserve">El-Dessouky, Ettouny (2002): Fundamentals of Sea Water Desalination </t>
  </si>
  <si>
    <t>Density effects due to total dissolved solids are given by Ford and Johnson</t>
  </si>
  <si>
    <t>(1983):</t>
  </si>
  <si>
    <t>in CE-QUAL-W2</t>
  </si>
  <si>
    <t>Bacterial Growth &amp; Respiration</t>
  </si>
  <si>
    <t>Dark Respiration</t>
  </si>
  <si>
    <t>Respiration Q</t>
  </si>
  <si>
    <t>Photosynthetic Q</t>
  </si>
  <si>
    <t>Typical Algae</t>
  </si>
  <si>
    <t>Litre CH of g COD</t>
  </si>
  <si>
    <t>Outgassing</t>
  </si>
  <si>
    <r>
      <t>s</t>
    </r>
    <r>
      <rPr>
        <vertAlign val="superscript"/>
        <sz val="11"/>
        <color theme="1"/>
        <rFont val="Times New Roman"/>
        <family val="1"/>
      </rPr>
      <t>-1</t>
    </r>
  </si>
  <si>
    <t>Required CO2 Concentration</t>
  </si>
  <si>
    <t>e=</t>
  </si>
  <si>
    <t>CO2 Conc = ∆Cout + Solubility CO" in Atmosphere</t>
  </si>
  <si>
    <t>Daytime Oxygen Production</t>
  </si>
  <si>
    <t>Oxygen produced  by algal growth</t>
  </si>
  <si>
    <t>day-1</t>
  </si>
  <si>
    <t>Growth Medim Temperature</t>
  </si>
  <si>
    <t>Salt or Fresh water</t>
  </si>
  <si>
    <t>Fresh (1) Salt (0)</t>
  </si>
  <si>
    <t>Solubility</t>
  </si>
  <si>
    <t>O2</t>
  </si>
  <si>
    <t>CO2</t>
  </si>
  <si>
    <t xml:space="preserve">Fresh </t>
  </si>
  <si>
    <t>Maximum</t>
  </si>
  <si>
    <t>Atmospheric  Pressure</t>
  </si>
  <si>
    <t>Concentration of CO2 after sump required for growth</t>
  </si>
  <si>
    <t>Adjusted for Outgassing</t>
  </si>
  <si>
    <t xml:space="preserve">Adjust for outgassing </t>
  </si>
  <si>
    <t>yes (1) no (0)</t>
  </si>
  <si>
    <t>See  discussion on lower rate of tfr in sump and paddlewheel zones ignored in this calculation</t>
  </si>
  <si>
    <t>% v/v</t>
  </si>
  <si>
    <t>Calculated Length for req' area</t>
  </si>
  <si>
    <t xml:space="preserve"> </t>
  </si>
  <si>
    <t>Water used in gas</t>
  </si>
  <si>
    <t>g/g VS</t>
  </si>
  <si>
    <t xml:space="preserve">Mole of water </t>
  </si>
  <si>
    <t>per moleVS</t>
  </si>
  <si>
    <t>Concentration Factor</t>
  </si>
  <si>
    <t>Yield of CH4</t>
  </si>
  <si>
    <t>Yield of Biogas</t>
  </si>
  <si>
    <t>l/gVS</t>
  </si>
  <si>
    <t>g/gVS</t>
  </si>
  <si>
    <t>Water Usage</t>
  </si>
  <si>
    <t xml:space="preserve">Flow-rate  </t>
  </si>
  <si>
    <t>% VS</t>
  </si>
  <si>
    <t>Temperature of AD</t>
  </si>
  <si>
    <t>Loading Rate Volume</t>
  </si>
  <si>
    <t>Hydraulic Rentention Time</t>
  </si>
  <si>
    <t>Calculated Reactor Volume HRT</t>
  </si>
  <si>
    <t>Loading Rate Calc  of HRT</t>
  </si>
  <si>
    <t xml:space="preserve">Max OLR </t>
  </si>
  <si>
    <t>Total Water Usage</t>
  </si>
  <si>
    <t>Algae Consumed</t>
  </si>
  <si>
    <t>Digestate outflow</t>
  </si>
  <si>
    <t>CH4 Outflow</t>
  </si>
  <si>
    <t>CO2 Outflow</t>
  </si>
  <si>
    <t>Check Inflow % Outflow</t>
  </si>
  <si>
    <t>Note this is consumed VS not total VS</t>
  </si>
  <si>
    <t>molNH3/mol VS</t>
  </si>
  <si>
    <t>g NHg/g VS</t>
  </si>
  <si>
    <t>gCO2/g VS</t>
  </si>
  <si>
    <t>gCH4/ gVS</t>
  </si>
  <si>
    <t>NH3</t>
  </si>
  <si>
    <t>NH3 Outflow</t>
  </si>
  <si>
    <t xml:space="preserve">% </t>
  </si>
  <si>
    <t>Solubility of NH3 in Water</t>
  </si>
  <si>
    <t>Total outflows</t>
  </si>
  <si>
    <t>inc NH3</t>
  </si>
  <si>
    <t>Excluding NH3 in solution</t>
  </si>
  <si>
    <t>Heat Capacity</t>
  </si>
  <si>
    <t>Fresh</t>
  </si>
  <si>
    <t>Salt</t>
  </si>
  <si>
    <t>NPL Data</t>
  </si>
  <si>
    <t>http://www.kayelaby.npl.co.uk</t>
  </si>
  <si>
    <t xml:space="preserve">Heating Requirement </t>
  </si>
  <si>
    <t xml:space="preserve"> kghr-1</t>
  </si>
  <si>
    <t>KJ hr-1</t>
  </si>
  <si>
    <t>Percentage Heat Recovery</t>
  </si>
  <si>
    <t>Calorific Value of CH4 production</t>
  </si>
  <si>
    <t>MJhr-1</t>
  </si>
  <si>
    <t>Heating and Heat Loss</t>
  </si>
  <si>
    <t>Mixing Energy</t>
  </si>
  <si>
    <t xml:space="preserve">Diameter of Tank </t>
  </si>
  <si>
    <t xml:space="preserve">Depth of Tank </t>
  </si>
  <si>
    <t xml:space="preserve">Note Couper et al (2005) Dia Impeller =  0.3 Dia Tank </t>
  </si>
  <si>
    <t xml:space="preserve">Note Couper et al (2005) Depth = Dia Tank </t>
  </si>
  <si>
    <t>Rushton Type Impeller</t>
  </si>
  <si>
    <t>Power number</t>
  </si>
  <si>
    <t>Heat Transfer  Loss Roof Tank</t>
  </si>
  <si>
    <t>Area Roof</t>
  </si>
  <si>
    <t>Heat Transfer  Loss Base Tank</t>
  </si>
  <si>
    <t>Area Side</t>
  </si>
  <si>
    <t>Area Base</t>
  </si>
  <si>
    <t>Heat transfer coefficient</t>
  </si>
  <si>
    <t>Total Heat Transfer Loss</t>
  </si>
  <si>
    <t>Ambient Temp</t>
  </si>
  <si>
    <t>Heat Transfer  Loss Side Tank</t>
  </si>
  <si>
    <t>Heating Requirement after recovery</t>
  </si>
  <si>
    <t>Heater Efficiency</t>
  </si>
  <si>
    <t>Total feed heat required</t>
  </si>
  <si>
    <t>Total Heat required to meet losses</t>
  </si>
  <si>
    <t>Total AD Heating Requirement</t>
  </si>
  <si>
    <t>Ratio of Heat Transfer loss to initial heat requirement</t>
  </si>
  <si>
    <t>Required Mixing Energy</t>
  </si>
  <si>
    <t>Mixer Efficiency</t>
  </si>
  <si>
    <t xml:space="preserve">Mixer Energy </t>
  </si>
  <si>
    <t>Stirrer Spped</t>
  </si>
  <si>
    <t>rps</t>
  </si>
  <si>
    <t>rpm</t>
  </si>
  <si>
    <t>Mixer Power</t>
  </si>
  <si>
    <t>Mixing Reynolds Number</t>
  </si>
  <si>
    <t>Root Mean Square Velocity Gradient G</t>
  </si>
  <si>
    <t xml:space="preserve">Energy Inputs AD </t>
  </si>
  <si>
    <t>Heating</t>
  </si>
  <si>
    <t>Mixing</t>
  </si>
  <si>
    <t>Net Energy Produced from AD</t>
  </si>
  <si>
    <t>Total AD Input Energy</t>
  </si>
  <si>
    <t>Mixer</t>
  </si>
  <si>
    <t>% of  Input Energy</t>
  </si>
  <si>
    <t>Volumetric Power Input Total</t>
  </si>
  <si>
    <t>Temp drop per day if unheated</t>
  </si>
  <si>
    <t>Net Energy  ratio AD plant</t>
  </si>
  <si>
    <t>% operational energy of output</t>
  </si>
  <si>
    <t>Total biogas</t>
  </si>
  <si>
    <t>Average 24 hour daily temperature</t>
  </si>
  <si>
    <t>Worldclimate.com 18/12/12</t>
  </si>
  <si>
    <t>Almeria</t>
  </si>
  <si>
    <t>Windhoek</t>
  </si>
  <si>
    <t>January</t>
  </si>
  <si>
    <t>February</t>
  </si>
  <si>
    <t>March</t>
  </si>
  <si>
    <t>April</t>
  </si>
  <si>
    <t>May</t>
  </si>
  <si>
    <t>June</t>
  </si>
  <si>
    <t>July</t>
  </si>
  <si>
    <t>August</t>
  </si>
  <si>
    <t>September</t>
  </si>
  <si>
    <t>October</t>
  </si>
  <si>
    <t>November</t>
  </si>
  <si>
    <t>December</t>
  </si>
  <si>
    <t>Average</t>
  </si>
  <si>
    <t>Average yearly Barometric Pressure</t>
  </si>
  <si>
    <t>Kpa</t>
  </si>
  <si>
    <t>See Data</t>
  </si>
  <si>
    <t>sea level</t>
  </si>
  <si>
    <t>station level</t>
  </si>
  <si>
    <t>Height of AD tank</t>
  </si>
  <si>
    <t>From AD calculation</t>
  </si>
  <si>
    <t>Energy Input</t>
  </si>
  <si>
    <t>Pumping Energies</t>
  </si>
  <si>
    <t>Harvest "Return" Pump Energy</t>
  </si>
  <si>
    <t>Digestate "Return" Pump Energy</t>
  </si>
  <si>
    <t>Harvesting Energy</t>
  </si>
  <si>
    <t>AD Energy</t>
  </si>
  <si>
    <t>Total AD Input  Energy</t>
  </si>
  <si>
    <t>Data Inputs</t>
  </si>
  <si>
    <t>Ambient Temperature</t>
  </si>
  <si>
    <t>Biomass Yield</t>
  </si>
  <si>
    <t>Biomass Calorific Yield</t>
  </si>
  <si>
    <t>Pond Area</t>
  </si>
  <si>
    <t>Pond depth</t>
  </si>
  <si>
    <t>Pond Fluid Velocity</t>
  </si>
  <si>
    <t>Pond</t>
  </si>
  <si>
    <t>Gaseous Exchange</t>
  </si>
  <si>
    <t>CO2 Concentration in Supply</t>
  </si>
  <si>
    <r>
      <t>kwh m</t>
    </r>
    <r>
      <rPr>
        <vertAlign val="superscript"/>
        <sz val="11"/>
        <color theme="1"/>
        <rFont val="Lucida Sans"/>
        <family val="2"/>
      </rPr>
      <t xml:space="preserve">-2 </t>
    </r>
    <r>
      <rPr>
        <sz val="11"/>
        <color theme="1"/>
        <rFont val="Lucida Sans"/>
        <family val="2"/>
      </rPr>
      <t>year</t>
    </r>
    <r>
      <rPr>
        <vertAlign val="superscript"/>
        <sz val="11"/>
        <color theme="1"/>
        <rFont val="Lucida Sans"/>
        <family val="2"/>
      </rPr>
      <t>-1</t>
    </r>
  </si>
  <si>
    <r>
      <t>°</t>
    </r>
    <r>
      <rPr>
        <sz val="8.25"/>
        <color theme="1"/>
        <rFont val="Lucida Sans"/>
        <family val="2"/>
      </rPr>
      <t>C</t>
    </r>
  </si>
  <si>
    <r>
      <t>mm  day</t>
    </r>
    <r>
      <rPr>
        <vertAlign val="superscript"/>
        <sz val="11"/>
        <color theme="1"/>
        <rFont val="Lucida Sans"/>
        <family val="2"/>
      </rPr>
      <t>-1</t>
    </r>
  </si>
  <si>
    <r>
      <t>m</t>
    </r>
    <r>
      <rPr>
        <vertAlign val="superscript"/>
        <sz val="11"/>
        <color theme="1"/>
        <rFont val="Lucida Sans"/>
        <family val="2"/>
      </rPr>
      <t>2</t>
    </r>
  </si>
  <si>
    <r>
      <t>ms</t>
    </r>
    <r>
      <rPr>
        <vertAlign val="superscript"/>
        <sz val="11"/>
        <color theme="1"/>
        <rFont val="Lucida Sans"/>
        <family val="2"/>
      </rPr>
      <t>-1</t>
    </r>
  </si>
  <si>
    <r>
      <t>g m</t>
    </r>
    <r>
      <rPr>
        <vertAlign val="superscript"/>
        <sz val="11"/>
        <color theme="1"/>
        <rFont val="Lucida Sans"/>
        <family val="2"/>
      </rPr>
      <t xml:space="preserve">-2 </t>
    </r>
    <r>
      <rPr>
        <sz val="11"/>
        <color theme="1"/>
        <rFont val="Lucida Sans"/>
        <family val="2"/>
      </rPr>
      <t>day</t>
    </r>
    <r>
      <rPr>
        <vertAlign val="superscript"/>
        <sz val="11"/>
        <color theme="1"/>
        <rFont val="Lucida Sans"/>
        <family val="2"/>
      </rPr>
      <t>-1</t>
    </r>
  </si>
  <si>
    <r>
      <t>kWhr</t>
    </r>
    <r>
      <rPr>
        <vertAlign val="superscript"/>
        <sz val="11"/>
        <color theme="1"/>
        <rFont val="Lucida Sans"/>
        <family val="2"/>
      </rPr>
      <t>-1</t>
    </r>
    <r>
      <rPr>
        <sz val="11"/>
        <color theme="1"/>
        <rFont val="Lucida Sans"/>
        <family val="2"/>
      </rPr>
      <t xml:space="preserve"> d</t>
    </r>
    <r>
      <rPr>
        <vertAlign val="superscript"/>
        <sz val="11"/>
        <color theme="1"/>
        <rFont val="Lucida Sans"/>
        <family val="2"/>
      </rPr>
      <t>-1</t>
    </r>
  </si>
  <si>
    <t>Hydraulic Retention time</t>
  </si>
  <si>
    <t>Gas Transfer Efficiency</t>
  </si>
  <si>
    <t>Southampton</t>
  </si>
  <si>
    <t>Average Daily Rainfall</t>
  </si>
  <si>
    <t>Average Evaporation</t>
  </si>
  <si>
    <t>Net Evaporation</t>
  </si>
  <si>
    <t xml:space="preserve">see data input max flue gas conc 21% </t>
  </si>
  <si>
    <t>% of "Buswell" estimated CH4</t>
  </si>
  <si>
    <t>Reactor Temperature</t>
  </si>
  <si>
    <t>Efficiencies</t>
  </si>
  <si>
    <t>Energy Output</t>
  </si>
  <si>
    <t>Environmental</t>
  </si>
  <si>
    <t>Blower Efficiency</t>
  </si>
  <si>
    <t>Paddlewheel  Efficiency</t>
  </si>
  <si>
    <t>Photorespiration</t>
  </si>
  <si>
    <t>Total Pumping Energy</t>
  </si>
  <si>
    <t xml:space="preserve">Net Energy </t>
  </si>
  <si>
    <t xml:space="preserve">Total Operational Energy Input </t>
  </si>
  <si>
    <t>Energy Return on Operational Energy Invested</t>
  </si>
  <si>
    <t>% Algae DW Concentration in feed to AD</t>
  </si>
  <si>
    <t>Dry Solids Output Conc'</t>
  </si>
  <si>
    <t>Centrifugation</t>
  </si>
  <si>
    <t>10-12%</t>
  </si>
  <si>
    <t>% Removal</t>
  </si>
  <si>
    <t xml:space="preserve">Harvesting Power </t>
  </si>
  <si>
    <r>
      <t xml:space="preserve"> kWh m</t>
    </r>
    <r>
      <rPr>
        <vertAlign val="superscript"/>
        <sz val="11"/>
        <color theme="1"/>
        <rFont val="Times New Roman"/>
        <family val="1"/>
      </rPr>
      <t>-3</t>
    </r>
  </si>
  <si>
    <r>
      <t>kWhr day</t>
    </r>
    <r>
      <rPr>
        <vertAlign val="superscript"/>
        <sz val="11"/>
        <color theme="1"/>
        <rFont val="Times New Roman"/>
        <family val="1"/>
      </rPr>
      <t>-1</t>
    </r>
  </si>
  <si>
    <t>Typical Data</t>
  </si>
  <si>
    <t>Settlement</t>
  </si>
  <si>
    <t>Harvesting Energy Settlement</t>
  </si>
  <si>
    <t>Algal Harvesting Settlement</t>
  </si>
  <si>
    <t>Concentration Factor Settlement</t>
  </si>
  <si>
    <t>Algal Harvesting Centrifugation</t>
  </si>
  <si>
    <t>Concentration Factor Centrifugation</t>
  </si>
  <si>
    <t>Harvesting Equipment Settlement</t>
  </si>
  <si>
    <t>Total Harvesting Energy</t>
  </si>
  <si>
    <t>Harvest "Returns" Pump Energy</t>
  </si>
  <si>
    <t>Harvest Supply Pumps 1 &amp; 2 Energy</t>
  </si>
  <si>
    <t>Flocculant 1-= organic</t>
  </si>
  <si>
    <t>Embedded energy</t>
  </si>
  <si>
    <t>Flocculant Dose</t>
  </si>
  <si>
    <t>mg l-1</t>
  </si>
  <si>
    <t>Organic Flocculant</t>
  </si>
  <si>
    <t>Flocculant Dose per gram algae</t>
  </si>
  <si>
    <r>
      <t>mg g</t>
    </r>
    <r>
      <rPr>
        <vertAlign val="superscript"/>
        <sz val="11"/>
        <color theme="1"/>
        <rFont val="Times New Roman"/>
        <family val="1"/>
      </rPr>
      <t>-1</t>
    </r>
  </si>
  <si>
    <t>Alum</t>
  </si>
  <si>
    <t>Ferric Chloride</t>
  </si>
  <si>
    <t>Embedded Flocculant Energy</t>
  </si>
  <si>
    <t>Flocculant Mixing energy</t>
  </si>
  <si>
    <t>Embedded &amp; Operational Energy</t>
  </si>
  <si>
    <t>Suggested Flocculant Mix</t>
  </si>
  <si>
    <r>
      <t>kWhr m</t>
    </r>
    <r>
      <rPr>
        <vertAlign val="superscript"/>
        <sz val="11"/>
        <color theme="1"/>
        <rFont val="Times New Roman"/>
        <family val="1"/>
      </rPr>
      <t>-3</t>
    </r>
  </si>
  <si>
    <t>G</t>
  </si>
  <si>
    <t>Mixing energy</t>
  </si>
  <si>
    <r>
      <t>W m</t>
    </r>
    <r>
      <rPr>
        <vertAlign val="superscript"/>
        <sz val="11"/>
        <color theme="1"/>
        <rFont val="Times New Roman"/>
        <family val="1"/>
      </rPr>
      <t>-3</t>
    </r>
  </si>
  <si>
    <t>Residence time</t>
  </si>
  <si>
    <t>s</t>
  </si>
  <si>
    <t>Mixer Volume</t>
  </si>
  <si>
    <t>Flocculant 1 =yes</t>
  </si>
  <si>
    <r>
      <t>Energy input per m</t>
    </r>
    <r>
      <rPr>
        <vertAlign val="superscript"/>
        <sz val="11"/>
        <color theme="1"/>
        <rFont val="Times New Roman"/>
        <family val="1"/>
      </rPr>
      <t>3</t>
    </r>
    <r>
      <rPr>
        <sz val="11"/>
        <color theme="1"/>
        <rFont val="Times New Roman"/>
        <family val="1"/>
      </rPr>
      <t xml:space="preserve"> of feed</t>
    </r>
  </si>
  <si>
    <t>Flocculation</t>
  </si>
  <si>
    <t>3-8%</t>
  </si>
  <si>
    <t>Flocculant</t>
  </si>
  <si>
    <t>Required reactor Volume</t>
  </si>
  <si>
    <t>flow Rate fot HRT</t>
  </si>
  <si>
    <t>Number pond Required</t>
  </si>
  <si>
    <t>Rounded n umber ponds</t>
  </si>
  <si>
    <t>Harvest "Return" Pump 1</t>
  </si>
  <si>
    <t>Harvest "Return" Pump 2</t>
  </si>
  <si>
    <t>Laminar flow below 2000</t>
  </si>
  <si>
    <t>Laminar</t>
  </si>
  <si>
    <t>Rounded Number</t>
  </si>
  <si>
    <t>Single pond system</t>
  </si>
  <si>
    <t>Harvest System can be more than one process.</t>
  </si>
  <si>
    <t>Note k. Cp &amp; Cv Air (ideal gas).</t>
  </si>
  <si>
    <t>Harvesting Equipment Centrifugation</t>
  </si>
  <si>
    <t>Viscosity</t>
  </si>
  <si>
    <t>% CH4 in Biogas V/V</t>
  </si>
  <si>
    <t>Calculated Water Usage</t>
  </si>
  <si>
    <t>Specific biogas yield</t>
  </si>
  <si>
    <t>Harvest Supply Pump 1</t>
  </si>
  <si>
    <t>Harvest Supply Pump 2</t>
  </si>
  <si>
    <t>AD Supply Pump</t>
  </si>
  <si>
    <t>Gas Viscosity, m =</t>
  </si>
  <si>
    <t>Harvesting Energy Centrifuge</t>
  </si>
  <si>
    <t>Race Way Details</t>
  </si>
  <si>
    <t>If NH3 remains in solution</t>
  </si>
  <si>
    <r>
      <t>Optimum velocity ~10 m s</t>
    </r>
    <r>
      <rPr>
        <vertAlign val="superscript"/>
        <sz val="11"/>
        <color theme="1"/>
        <rFont val="Lucida Sans"/>
        <family val="2"/>
      </rPr>
      <t xml:space="preserve">-1 </t>
    </r>
    <r>
      <rPr>
        <sz val="11"/>
        <color theme="1"/>
        <rFont val="Lucida Sans"/>
        <family val="2"/>
      </rPr>
      <t>Coulson &amp; Richardson</t>
    </r>
  </si>
  <si>
    <r>
      <t>m</t>
    </r>
    <r>
      <rPr>
        <vertAlign val="superscript"/>
        <sz val="11"/>
        <color theme="1"/>
        <rFont val="Lucida Sans"/>
        <family val="2"/>
      </rPr>
      <t>3</t>
    </r>
    <r>
      <rPr>
        <sz val="11"/>
        <color theme="1"/>
        <rFont val="Lucida Sans"/>
        <family val="2"/>
      </rPr>
      <t xml:space="preserve"> hour</t>
    </r>
    <r>
      <rPr>
        <vertAlign val="superscript"/>
        <sz val="11"/>
        <color theme="1"/>
        <rFont val="Lucida Sans"/>
        <family val="2"/>
      </rPr>
      <t>-1</t>
    </r>
  </si>
  <si>
    <r>
      <t>m</t>
    </r>
    <r>
      <rPr>
        <vertAlign val="superscript"/>
        <sz val="11"/>
        <color theme="1"/>
        <rFont val="Lucida Sans"/>
        <family val="2"/>
      </rPr>
      <t xml:space="preserve">2 </t>
    </r>
  </si>
  <si>
    <r>
      <t>m</t>
    </r>
    <r>
      <rPr>
        <vertAlign val="superscript"/>
        <sz val="11"/>
        <color theme="1"/>
        <rFont val="Lucida Sans"/>
        <family val="2"/>
      </rPr>
      <t xml:space="preserve">3 </t>
    </r>
    <r>
      <rPr>
        <sz val="11"/>
        <color theme="1"/>
        <rFont val="Lucida Sans"/>
        <family val="2"/>
      </rPr>
      <t>s</t>
    </r>
    <r>
      <rPr>
        <vertAlign val="superscript"/>
        <sz val="11"/>
        <color theme="1"/>
        <rFont val="Lucida Sans"/>
        <family val="2"/>
      </rPr>
      <t>-1</t>
    </r>
  </si>
  <si>
    <r>
      <t>m s</t>
    </r>
    <r>
      <rPr>
        <vertAlign val="superscript"/>
        <sz val="11"/>
        <color theme="1"/>
        <rFont val="Lucida Sans"/>
        <family val="2"/>
      </rPr>
      <t>-1</t>
    </r>
  </si>
  <si>
    <r>
      <t>kg m</t>
    </r>
    <r>
      <rPr>
        <vertAlign val="superscript"/>
        <sz val="11"/>
        <color theme="1"/>
        <rFont val="Lucida Sans"/>
        <family val="2"/>
      </rPr>
      <t xml:space="preserve">3 </t>
    </r>
  </si>
  <si>
    <r>
      <t>C</t>
    </r>
    <r>
      <rPr>
        <vertAlign val="subscript"/>
        <sz val="11"/>
        <color theme="1"/>
        <rFont val="Lucida Sans"/>
        <family val="2"/>
      </rPr>
      <t>p</t>
    </r>
  </si>
  <si>
    <r>
      <t>kJ kg</t>
    </r>
    <r>
      <rPr>
        <vertAlign val="superscript"/>
        <sz val="11"/>
        <color theme="1"/>
        <rFont val="Lucida Sans"/>
        <family val="2"/>
      </rPr>
      <t xml:space="preserve">-1 </t>
    </r>
    <r>
      <rPr>
        <sz val="11"/>
        <color theme="1"/>
        <rFont val="Lucida Sans"/>
        <family val="2"/>
      </rPr>
      <t>K</t>
    </r>
    <r>
      <rPr>
        <vertAlign val="superscript"/>
        <sz val="11"/>
        <color theme="1"/>
        <rFont val="Lucida Sans"/>
        <family val="2"/>
      </rPr>
      <t>-1</t>
    </r>
  </si>
  <si>
    <r>
      <t>k = Ratio of specific heat at constant pressure to specific heat at constant volume, C</t>
    </r>
    <r>
      <rPr>
        <vertAlign val="subscript"/>
        <sz val="10"/>
        <rFont val="Lucida Sans"/>
        <family val="2"/>
      </rPr>
      <t>p</t>
    </r>
    <r>
      <rPr>
        <sz val="10"/>
        <rFont val="Lucida Sans"/>
        <family val="2"/>
      </rPr>
      <t>/C</t>
    </r>
    <r>
      <rPr>
        <vertAlign val="subscript"/>
        <sz val="10"/>
        <rFont val="Lucida Sans"/>
        <family val="2"/>
      </rPr>
      <t>v</t>
    </r>
  </si>
  <si>
    <r>
      <t>Temperature after Adiabatic compression: T1*[P2/P1]</t>
    </r>
    <r>
      <rPr>
        <vertAlign val="superscript"/>
        <sz val="11"/>
        <color theme="1"/>
        <rFont val="Lucida Sans"/>
        <family val="2"/>
      </rPr>
      <t>((k - 1)/k)</t>
    </r>
  </si>
  <si>
    <r>
      <t>Adiabatic Power (Ideal gas)  = Mass flow * C</t>
    </r>
    <r>
      <rPr>
        <vertAlign val="subscript"/>
        <sz val="11"/>
        <color theme="1"/>
        <rFont val="Lucida Sans"/>
        <family val="2"/>
      </rPr>
      <t>p</t>
    </r>
    <r>
      <rPr>
        <sz val="11"/>
        <color theme="1"/>
        <rFont val="Lucida Sans"/>
        <family val="2"/>
      </rPr>
      <t xml:space="preserve"> * (T</t>
    </r>
    <r>
      <rPr>
        <vertAlign val="subscript"/>
        <sz val="11"/>
        <color theme="1"/>
        <rFont val="Lucida Sans"/>
        <family val="2"/>
      </rPr>
      <t>2</t>
    </r>
    <r>
      <rPr>
        <sz val="11"/>
        <color theme="1"/>
        <rFont val="Lucida Sans"/>
        <family val="2"/>
      </rPr>
      <t>-T</t>
    </r>
    <r>
      <rPr>
        <vertAlign val="subscript"/>
        <sz val="11"/>
        <color theme="1"/>
        <rFont val="Lucida Sans"/>
        <family val="2"/>
      </rPr>
      <t>1</t>
    </r>
    <r>
      <rPr>
        <sz val="11"/>
        <color theme="1"/>
        <rFont val="Lucida Sans"/>
        <family val="2"/>
      </rPr>
      <t>)</t>
    </r>
  </si>
  <si>
    <r>
      <t>kWh day</t>
    </r>
    <r>
      <rPr>
        <vertAlign val="superscript"/>
        <sz val="11"/>
        <color theme="1"/>
        <rFont val="Lucida Sans"/>
        <family val="2"/>
      </rPr>
      <t>-1</t>
    </r>
  </si>
  <si>
    <r>
      <t>Suggested optimum velocity 3.0 m s</t>
    </r>
    <r>
      <rPr>
        <vertAlign val="superscript"/>
        <sz val="11"/>
        <color theme="1"/>
        <rFont val="Lucida Sans"/>
        <family val="2"/>
      </rPr>
      <t>-1</t>
    </r>
    <r>
      <rPr>
        <sz val="11"/>
        <color theme="1"/>
        <rFont val="Lucida Sans"/>
        <family val="2"/>
      </rPr>
      <t xml:space="preserve"> Coulson &amp; Richardson’s</t>
    </r>
  </si>
  <si>
    <r>
      <t>Friction Factor, f, assuming completely turbulent flow   f = 1.14 + 2 log</t>
    </r>
    <r>
      <rPr>
        <vertAlign val="subscript"/>
        <sz val="11"/>
        <rFont val="Lucida Sans"/>
        <family val="2"/>
      </rPr>
      <t>10</t>
    </r>
    <r>
      <rPr>
        <sz val="11"/>
        <rFont val="Lucida Sans"/>
        <family val="2"/>
      </rPr>
      <t>(D/e)</t>
    </r>
    <r>
      <rPr>
        <vertAlign val="superscript"/>
        <sz val="11"/>
        <rFont val="Lucida Sans"/>
        <family val="2"/>
      </rPr>
      <t>-2</t>
    </r>
  </si>
  <si>
    <r>
      <t>Head loss  =  f (L/D) (V</t>
    </r>
    <r>
      <rPr>
        <vertAlign val="superscript"/>
        <sz val="11"/>
        <color theme="1"/>
        <rFont val="Lucida Sans"/>
        <family val="2"/>
      </rPr>
      <t>2</t>
    </r>
    <r>
      <rPr>
        <sz val="11"/>
        <color theme="1"/>
        <rFont val="Lucida Sans"/>
        <family val="2"/>
      </rPr>
      <t xml:space="preserve">/2g)  </t>
    </r>
  </si>
  <si>
    <r>
      <t>M</t>
    </r>
    <r>
      <rPr>
        <vertAlign val="superscript"/>
        <sz val="11"/>
        <color theme="1"/>
        <rFont val="Lucida Sans"/>
        <family val="2"/>
      </rPr>
      <t>3</t>
    </r>
    <r>
      <rPr>
        <sz val="11"/>
        <color theme="1"/>
        <rFont val="Lucida Sans"/>
        <family val="2"/>
      </rPr>
      <t>hr</t>
    </r>
    <r>
      <rPr>
        <vertAlign val="superscript"/>
        <sz val="11"/>
        <color theme="1"/>
        <rFont val="Lucida Sans"/>
        <family val="2"/>
      </rPr>
      <t>-1</t>
    </r>
  </si>
  <si>
    <r>
      <t xml:space="preserve"> kghr</t>
    </r>
    <r>
      <rPr>
        <vertAlign val="superscript"/>
        <sz val="11"/>
        <color theme="1"/>
        <rFont val="Lucida Sans"/>
        <family val="2"/>
      </rPr>
      <t>-1</t>
    </r>
  </si>
  <si>
    <r>
      <t>Flow rate algae (DW) kghr</t>
    </r>
    <r>
      <rPr>
        <vertAlign val="superscript"/>
        <sz val="11"/>
        <color theme="1"/>
        <rFont val="Lucida Sans"/>
        <family val="2"/>
      </rPr>
      <t>-1</t>
    </r>
  </si>
  <si>
    <r>
      <t>m</t>
    </r>
    <r>
      <rPr>
        <vertAlign val="superscript"/>
        <sz val="11"/>
        <color theme="1"/>
        <rFont val="Lucida Sans"/>
        <family val="2"/>
      </rPr>
      <t>3</t>
    </r>
  </si>
  <si>
    <r>
      <t>m</t>
    </r>
    <r>
      <rPr>
        <vertAlign val="superscript"/>
        <sz val="11"/>
        <color theme="1"/>
        <rFont val="Lucida Sans"/>
        <family val="2"/>
      </rPr>
      <t>3</t>
    </r>
    <r>
      <rPr>
        <sz val="11"/>
        <color theme="1"/>
        <rFont val="Lucida Sans"/>
        <family val="2"/>
      </rPr>
      <t xml:space="preserve"> hr</t>
    </r>
    <r>
      <rPr>
        <vertAlign val="superscript"/>
        <sz val="11"/>
        <color theme="1"/>
        <rFont val="Lucida Sans"/>
        <family val="2"/>
      </rPr>
      <t>-1</t>
    </r>
  </si>
  <si>
    <r>
      <t>Calculated CH</t>
    </r>
    <r>
      <rPr>
        <b/>
        <vertAlign val="subscript"/>
        <sz val="11"/>
        <color theme="1"/>
        <rFont val="Lucida Sans"/>
        <family val="2"/>
      </rPr>
      <t>4</t>
    </r>
    <r>
      <rPr>
        <b/>
        <sz val="11"/>
        <color theme="1"/>
        <rFont val="Lucida Sans"/>
        <family val="2"/>
      </rPr>
      <t xml:space="preserve"> production</t>
    </r>
  </si>
  <si>
    <r>
      <t>% of "Buswell" estimated CH</t>
    </r>
    <r>
      <rPr>
        <b/>
        <vertAlign val="subscript"/>
        <sz val="11"/>
        <color theme="1"/>
        <rFont val="Lucida Sans"/>
        <family val="2"/>
      </rPr>
      <t>4</t>
    </r>
  </si>
  <si>
    <r>
      <t>Kg VS m</t>
    </r>
    <r>
      <rPr>
        <vertAlign val="superscript"/>
        <sz val="11"/>
        <color theme="1"/>
        <rFont val="Lucida Sans"/>
        <family val="2"/>
      </rPr>
      <t>-3</t>
    </r>
    <r>
      <rPr>
        <sz val="11"/>
        <color theme="1"/>
        <rFont val="Lucida Sans"/>
        <family val="2"/>
      </rPr>
      <t xml:space="preserve"> day</t>
    </r>
    <r>
      <rPr>
        <vertAlign val="superscript"/>
        <sz val="11"/>
        <color theme="1"/>
        <rFont val="Lucida Sans"/>
        <family val="2"/>
      </rPr>
      <t>-1</t>
    </r>
  </si>
  <si>
    <r>
      <t>mol hr</t>
    </r>
    <r>
      <rPr>
        <vertAlign val="superscript"/>
        <sz val="11"/>
        <color theme="1"/>
        <rFont val="Lucida Sans"/>
        <family val="2"/>
      </rPr>
      <t>-1</t>
    </r>
  </si>
  <si>
    <r>
      <t>m3 day</t>
    </r>
    <r>
      <rPr>
        <vertAlign val="superscript"/>
        <sz val="11"/>
        <color theme="1"/>
        <rFont val="Lucida Sans"/>
        <family val="2"/>
      </rPr>
      <t>-1</t>
    </r>
  </si>
  <si>
    <r>
      <t>m</t>
    </r>
    <r>
      <rPr>
        <vertAlign val="superscript"/>
        <sz val="11"/>
        <color theme="1"/>
        <rFont val="Lucida Sans"/>
        <family val="2"/>
      </rPr>
      <t>3</t>
    </r>
    <r>
      <rPr>
        <sz val="11"/>
        <color theme="1"/>
        <rFont val="Lucida Sans"/>
        <family val="2"/>
      </rPr>
      <t xml:space="preserve"> m</t>
    </r>
    <r>
      <rPr>
        <vertAlign val="superscript"/>
        <sz val="11"/>
        <color theme="1"/>
        <rFont val="Lucida Sans"/>
        <family val="2"/>
      </rPr>
      <t>-3</t>
    </r>
  </si>
  <si>
    <r>
      <t>KJ kg</t>
    </r>
    <r>
      <rPr>
        <vertAlign val="superscript"/>
        <sz val="11"/>
        <color theme="1"/>
        <rFont val="Lucida Sans"/>
        <family val="2"/>
      </rPr>
      <t>-1</t>
    </r>
  </si>
  <si>
    <r>
      <t>kWhr</t>
    </r>
    <r>
      <rPr>
        <vertAlign val="superscript"/>
        <sz val="11"/>
        <color theme="1"/>
        <rFont val="Lucida Sans"/>
        <family val="2"/>
      </rPr>
      <t>-1</t>
    </r>
    <r>
      <rPr>
        <sz val="11"/>
        <color theme="1"/>
        <rFont val="Lucida Sans"/>
        <family val="2"/>
      </rPr>
      <t xml:space="preserve"> day</t>
    </r>
    <r>
      <rPr>
        <vertAlign val="superscript"/>
        <sz val="11"/>
        <color theme="1"/>
        <rFont val="Lucida Sans"/>
        <family val="2"/>
      </rPr>
      <t>-1</t>
    </r>
  </si>
  <si>
    <r>
      <t>w m</t>
    </r>
    <r>
      <rPr>
        <vertAlign val="superscript"/>
        <sz val="11"/>
        <color theme="1"/>
        <rFont val="Lucida Sans"/>
        <family val="2"/>
      </rPr>
      <t>-2</t>
    </r>
    <r>
      <rPr>
        <sz val="11"/>
        <color theme="1"/>
        <rFont val="Lucida Sans"/>
        <family val="2"/>
      </rPr>
      <t xml:space="preserve"> °K</t>
    </r>
    <r>
      <rPr>
        <vertAlign val="superscript"/>
        <sz val="11"/>
        <color theme="1"/>
        <rFont val="Lucida Sans"/>
        <family val="2"/>
      </rPr>
      <t>-1</t>
    </r>
  </si>
  <si>
    <r>
      <t>kWm</t>
    </r>
    <r>
      <rPr>
        <vertAlign val="superscript"/>
        <sz val="11"/>
        <color theme="1"/>
        <rFont val="Lucida Sans"/>
        <family val="2"/>
      </rPr>
      <t>-3</t>
    </r>
  </si>
  <si>
    <t>No more than 1° C per day drop in temp if unheated</t>
  </si>
  <si>
    <r>
      <t>Wm</t>
    </r>
    <r>
      <rPr>
        <vertAlign val="superscript"/>
        <sz val="11"/>
        <color theme="1"/>
        <rFont val="Lucida Sans"/>
        <family val="2"/>
      </rPr>
      <t>-3</t>
    </r>
  </si>
  <si>
    <r>
      <t>Diameter of Impeller d</t>
    </r>
    <r>
      <rPr>
        <vertAlign val="subscript"/>
        <sz val="11"/>
        <color theme="1"/>
        <rFont val="Lucida Sans"/>
        <family val="2"/>
      </rPr>
      <t>l</t>
    </r>
  </si>
  <si>
    <r>
      <t>s</t>
    </r>
    <r>
      <rPr>
        <vertAlign val="superscript"/>
        <sz val="11"/>
        <color theme="1"/>
        <rFont val="Lucida Sans"/>
        <family val="2"/>
      </rPr>
      <t>-1</t>
    </r>
  </si>
  <si>
    <r>
      <t>CO</t>
    </r>
    <r>
      <rPr>
        <vertAlign val="subscript"/>
        <sz val="11"/>
        <color theme="1"/>
        <rFont val="Lucida Sans"/>
        <family val="2"/>
      </rPr>
      <t xml:space="preserve">2 </t>
    </r>
    <r>
      <rPr>
        <sz val="11"/>
        <color theme="1"/>
        <rFont val="Lucida Sans"/>
        <family val="2"/>
      </rPr>
      <t>Supply</t>
    </r>
  </si>
  <si>
    <r>
      <t>Concentration CO</t>
    </r>
    <r>
      <rPr>
        <b/>
        <vertAlign val="subscript"/>
        <sz val="11"/>
        <color theme="1"/>
        <rFont val="Lucida Sans"/>
        <family val="2"/>
      </rPr>
      <t>2</t>
    </r>
    <r>
      <rPr>
        <b/>
        <sz val="11"/>
        <color theme="1"/>
        <rFont val="Lucida Sans"/>
        <family val="2"/>
      </rPr>
      <t xml:space="preserve"> for algal growth</t>
    </r>
  </si>
  <si>
    <r>
      <t>gl</t>
    </r>
    <r>
      <rPr>
        <vertAlign val="superscript"/>
        <sz val="11"/>
        <color theme="1"/>
        <rFont val="Lucida Sans"/>
        <family val="2"/>
      </rPr>
      <t>-1</t>
    </r>
  </si>
  <si>
    <r>
      <t>K</t>
    </r>
    <r>
      <rPr>
        <vertAlign val="subscript"/>
        <sz val="11"/>
        <color theme="1"/>
        <rFont val="Lucida Sans"/>
        <family val="2"/>
      </rPr>
      <t xml:space="preserve">2 (O2) </t>
    </r>
    <r>
      <rPr>
        <sz val="11"/>
        <color theme="1"/>
        <rFont val="Lucida Sans"/>
        <family val="2"/>
      </rPr>
      <t>*0.932  = K</t>
    </r>
    <r>
      <rPr>
        <vertAlign val="superscript"/>
        <sz val="11"/>
        <color theme="1"/>
        <rFont val="Lucida Sans"/>
        <family val="2"/>
      </rPr>
      <t xml:space="preserve"> </t>
    </r>
    <r>
      <rPr>
        <vertAlign val="subscript"/>
        <sz val="11"/>
        <color theme="1"/>
        <rFont val="Lucida Sans"/>
        <family val="2"/>
      </rPr>
      <t>2 (CO2)</t>
    </r>
  </si>
  <si>
    <r>
      <t>Gas Transfer Coefficient CO</t>
    </r>
    <r>
      <rPr>
        <b/>
        <vertAlign val="subscript"/>
        <sz val="11"/>
        <color theme="1"/>
        <rFont val="Lucida Sans"/>
        <family val="2"/>
      </rPr>
      <t xml:space="preserve">2 </t>
    </r>
    <r>
      <rPr>
        <b/>
        <sz val="11"/>
        <color theme="1"/>
        <rFont val="Lucida Sans"/>
        <family val="2"/>
      </rPr>
      <t>K</t>
    </r>
    <r>
      <rPr>
        <b/>
        <vertAlign val="subscript"/>
        <sz val="11"/>
        <color theme="1"/>
        <rFont val="Lucida Sans"/>
        <family val="2"/>
      </rPr>
      <t>2</t>
    </r>
  </si>
  <si>
    <r>
      <t>day</t>
    </r>
    <r>
      <rPr>
        <vertAlign val="superscript"/>
        <sz val="11"/>
        <color theme="1"/>
        <rFont val="Lucida Sans"/>
        <family val="2"/>
      </rPr>
      <t>-1</t>
    </r>
  </si>
  <si>
    <r>
      <t>K</t>
    </r>
    <r>
      <rPr>
        <vertAlign val="subscript"/>
        <sz val="11"/>
        <color theme="1"/>
        <rFont val="Lucida Sans"/>
        <family val="2"/>
      </rPr>
      <t>2 (O2)</t>
    </r>
    <r>
      <rPr>
        <sz val="11"/>
        <color theme="1"/>
        <rFont val="Lucida Sans"/>
        <family val="2"/>
      </rPr>
      <t xml:space="preserve"> =5.32  v^0.67/d^1.85 </t>
    </r>
  </si>
  <si>
    <r>
      <t>∆Cout = ∆Cin e</t>
    </r>
    <r>
      <rPr>
        <vertAlign val="superscript"/>
        <sz val="11"/>
        <color theme="1"/>
        <rFont val="Lucida Sans"/>
        <family val="2"/>
      </rPr>
      <t>-kt</t>
    </r>
    <r>
      <rPr>
        <sz val="11"/>
        <color theme="1"/>
        <rFont val="Lucida Sans"/>
        <family val="2"/>
      </rPr>
      <t xml:space="preserve"> - ∆C due to algal growth</t>
    </r>
  </si>
  <si>
    <r>
      <t>if ∆Cout = 0 then ∆Cin  = ∆C due to algal growth/e</t>
    </r>
    <r>
      <rPr>
        <vertAlign val="superscript"/>
        <sz val="11"/>
        <color theme="1"/>
        <rFont val="Lucida Sans"/>
        <family val="2"/>
      </rPr>
      <t>-kt</t>
    </r>
  </si>
  <si>
    <r>
      <t>gm</t>
    </r>
    <r>
      <rPr>
        <vertAlign val="superscript"/>
        <sz val="11"/>
        <color theme="1"/>
        <rFont val="Lucida Sans"/>
        <family val="2"/>
      </rPr>
      <t>-3</t>
    </r>
    <r>
      <rPr>
        <sz val="11"/>
        <color theme="1"/>
        <rFont val="Lucida Sans"/>
        <family val="2"/>
      </rPr>
      <t>s</t>
    </r>
    <r>
      <rPr>
        <vertAlign val="superscript"/>
        <sz val="11"/>
        <color theme="1"/>
        <rFont val="Lucida Sans"/>
        <family val="2"/>
      </rPr>
      <t>-1</t>
    </r>
  </si>
  <si>
    <r>
      <t>At equilibrium O</t>
    </r>
    <r>
      <rPr>
        <vertAlign val="subscript"/>
        <sz val="11"/>
        <color theme="1"/>
        <rFont val="Lucida Sans"/>
        <family val="2"/>
      </rPr>
      <t>2</t>
    </r>
    <r>
      <rPr>
        <sz val="11"/>
        <color theme="1"/>
        <rFont val="Lucida Sans"/>
        <family val="2"/>
      </rPr>
      <t xml:space="preserve"> produce by algal growth = K</t>
    </r>
    <r>
      <rPr>
        <vertAlign val="superscript"/>
        <sz val="11"/>
        <color theme="1"/>
        <rFont val="Lucida Sans"/>
        <family val="2"/>
      </rPr>
      <t>2</t>
    </r>
    <r>
      <rPr>
        <sz val="11"/>
        <color theme="1"/>
        <rFont val="Lucida Sans"/>
        <family val="2"/>
      </rPr>
      <t xml:space="preserve"> (C</t>
    </r>
    <r>
      <rPr>
        <vertAlign val="subscript"/>
        <sz val="11"/>
        <color theme="1"/>
        <rFont val="Lucida Sans"/>
        <family val="2"/>
      </rPr>
      <t>s</t>
    </r>
    <r>
      <rPr>
        <sz val="11"/>
        <color theme="1"/>
        <rFont val="Lucida Sans"/>
        <family val="2"/>
      </rPr>
      <t>-Ci</t>
    </r>
    <r>
      <rPr>
        <vertAlign val="subscript"/>
        <sz val="11"/>
        <color theme="1"/>
        <rFont val="Lucida Sans"/>
        <family val="2"/>
      </rPr>
      <t>n</t>
    </r>
    <r>
      <rPr>
        <sz val="11"/>
        <color theme="1"/>
        <rFont val="Lucida Sans"/>
        <family val="2"/>
      </rPr>
      <t>)</t>
    </r>
  </si>
  <si>
    <r>
      <t>Gas Transfer Coefficient O</t>
    </r>
    <r>
      <rPr>
        <b/>
        <vertAlign val="subscript"/>
        <sz val="11"/>
        <color theme="1"/>
        <rFont val="Lucida Sans"/>
        <family val="2"/>
      </rPr>
      <t xml:space="preserve">2 </t>
    </r>
    <r>
      <rPr>
        <b/>
        <sz val="11"/>
        <color theme="1"/>
        <rFont val="Lucida Sans"/>
        <family val="2"/>
      </rPr>
      <t>K</t>
    </r>
    <r>
      <rPr>
        <b/>
        <vertAlign val="subscript"/>
        <sz val="11"/>
        <color theme="1"/>
        <rFont val="Lucida Sans"/>
        <family val="2"/>
      </rPr>
      <t>2</t>
    </r>
  </si>
  <si>
    <r>
      <t>Max Concentration O</t>
    </r>
    <r>
      <rPr>
        <b/>
        <vertAlign val="subscript"/>
        <sz val="11"/>
        <color theme="1"/>
        <rFont val="Lucida Sans"/>
        <family val="2"/>
      </rPr>
      <t>2</t>
    </r>
  </si>
  <si>
    <r>
      <t>g m</t>
    </r>
    <r>
      <rPr>
        <vertAlign val="superscript"/>
        <sz val="11"/>
        <color theme="1"/>
        <rFont val="Lucida Sans"/>
        <family val="2"/>
      </rPr>
      <t>-3</t>
    </r>
    <r>
      <rPr>
        <sz val="11"/>
        <color theme="1"/>
        <rFont val="Lucida Sans"/>
        <family val="2"/>
      </rPr>
      <t xml:space="preserve"> </t>
    </r>
  </si>
  <si>
    <r>
      <t>Max Solubility of  pure O</t>
    </r>
    <r>
      <rPr>
        <vertAlign val="subscript"/>
        <sz val="11"/>
        <color theme="1"/>
        <rFont val="Lucida Sans"/>
        <family val="2"/>
      </rPr>
      <t>2</t>
    </r>
  </si>
  <si>
    <r>
      <t>g m</t>
    </r>
    <r>
      <rPr>
        <vertAlign val="superscript"/>
        <sz val="11"/>
        <color theme="1"/>
        <rFont val="Lucida Sans"/>
        <family val="2"/>
      </rPr>
      <t>-3</t>
    </r>
    <r>
      <rPr>
        <sz val="11"/>
        <color theme="1"/>
        <rFont val="Lucida Sans"/>
        <family val="2"/>
      </rPr>
      <t xml:space="preserve"> bar</t>
    </r>
    <r>
      <rPr>
        <vertAlign val="superscript"/>
        <sz val="11"/>
        <color theme="1"/>
        <rFont val="Lucida Sans"/>
        <family val="2"/>
      </rPr>
      <t>-1</t>
    </r>
  </si>
  <si>
    <r>
      <t>% O</t>
    </r>
    <r>
      <rPr>
        <vertAlign val="subscript"/>
        <sz val="11"/>
        <color theme="1"/>
        <rFont val="Lucida Sans"/>
        <family val="2"/>
      </rPr>
      <t>2</t>
    </r>
    <r>
      <rPr>
        <sz val="11"/>
        <color theme="1"/>
        <rFont val="Lucida Sans"/>
        <family val="2"/>
      </rPr>
      <t xml:space="preserve"> in air</t>
    </r>
  </si>
  <si>
    <r>
      <t>Max Solubility of  atmospheric O</t>
    </r>
    <r>
      <rPr>
        <vertAlign val="subscript"/>
        <sz val="11"/>
        <color theme="1"/>
        <rFont val="Lucida Sans"/>
        <family val="2"/>
      </rPr>
      <t>2</t>
    </r>
  </si>
  <si>
    <t>µ Pa s</t>
  </si>
  <si>
    <t xml:space="preserve"> 20° C</t>
  </si>
  <si>
    <r>
      <t>mol kg</t>
    </r>
    <r>
      <rPr>
        <vertAlign val="superscript"/>
        <sz val="11"/>
        <color theme="1"/>
        <rFont val="Lucida Sans"/>
        <family val="2"/>
      </rPr>
      <t>-1</t>
    </r>
    <r>
      <rPr>
        <sz val="11"/>
        <color theme="1"/>
        <rFont val="Lucida Sans"/>
        <family val="2"/>
      </rPr>
      <t>bar</t>
    </r>
    <r>
      <rPr>
        <vertAlign val="superscript"/>
        <sz val="11"/>
        <color theme="1"/>
        <rFont val="Lucida Sans"/>
        <family val="2"/>
      </rPr>
      <t>-1</t>
    </r>
  </si>
  <si>
    <r>
      <t>Data from NIST for 25° C (T</t>
    </r>
    <r>
      <rPr>
        <vertAlign val="subscript"/>
        <sz val="11"/>
        <color theme="1"/>
        <rFont val="Lucida Sans"/>
        <family val="2"/>
      </rPr>
      <t>Θ</t>
    </r>
    <r>
      <rPr>
        <sz val="11"/>
        <color theme="1"/>
        <rFont val="Lucida Sans"/>
        <family val="2"/>
      </rPr>
      <t>)</t>
    </r>
  </si>
  <si>
    <r>
      <t>Correction for temp  = Solubity * exp (c(1/T -1/T</t>
    </r>
    <r>
      <rPr>
        <vertAlign val="subscript"/>
        <sz val="11"/>
        <color theme="1"/>
        <rFont val="Lucida Sans"/>
        <family val="2"/>
      </rPr>
      <t>Θ</t>
    </r>
    <r>
      <rPr>
        <sz val="11"/>
        <color theme="1"/>
        <rFont val="Lucida Sans"/>
        <family val="2"/>
      </rPr>
      <t>)</t>
    </r>
  </si>
  <si>
    <r>
      <t>C = 1700 for O</t>
    </r>
    <r>
      <rPr>
        <vertAlign val="subscript"/>
        <sz val="11"/>
        <color theme="1"/>
        <rFont val="Lucida Sans"/>
        <family val="2"/>
      </rPr>
      <t>2</t>
    </r>
    <r>
      <rPr>
        <sz val="11"/>
        <color theme="1"/>
        <rFont val="Lucida Sans"/>
        <family val="2"/>
      </rPr>
      <t xml:space="preserve"> and 2400 for CO</t>
    </r>
    <r>
      <rPr>
        <vertAlign val="subscript"/>
        <sz val="11"/>
        <color theme="1"/>
        <rFont val="Lucida Sans"/>
        <family val="2"/>
      </rPr>
      <t>2</t>
    </r>
  </si>
  <si>
    <r>
      <t>g kg</t>
    </r>
    <r>
      <rPr>
        <vertAlign val="superscript"/>
        <sz val="11"/>
        <color theme="1"/>
        <rFont val="Lucida Sans"/>
        <family val="2"/>
      </rPr>
      <t>-1</t>
    </r>
  </si>
  <si>
    <r>
      <t>mm day</t>
    </r>
    <r>
      <rPr>
        <vertAlign val="superscript"/>
        <sz val="11"/>
        <color theme="1"/>
        <rFont val="Lucida Sans"/>
        <family val="2"/>
      </rPr>
      <t>-1</t>
    </r>
  </si>
  <si>
    <r>
      <t>Flow rate (v) ms</t>
    </r>
    <r>
      <rPr>
        <vertAlign val="superscript"/>
        <sz val="11"/>
        <color theme="1"/>
        <rFont val="Lucida Sans"/>
        <family val="2"/>
      </rPr>
      <t>-1</t>
    </r>
  </si>
  <si>
    <r>
      <t>Density (ρ) Kgm</t>
    </r>
    <r>
      <rPr>
        <vertAlign val="superscript"/>
        <sz val="11"/>
        <color theme="1"/>
        <rFont val="Lucida Sans"/>
        <family val="2"/>
      </rPr>
      <t>-3</t>
    </r>
  </si>
  <si>
    <r>
      <t>Viscosity (η) PaS</t>
    </r>
    <r>
      <rPr>
        <vertAlign val="superscript"/>
        <sz val="11"/>
        <color theme="1"/>
        <rFont val="Lucida Sans"/>
        <family val="2"/>
      </rPr>
      <t>-1</t>
    </r>
  </si>
  <si>
    <r>
      <t>Hydraulic Radius (R</t>
    </r>
    <r>
      <rPr>
        <vertAlign val="subscript"/>
        <sz val="11"/>
        <color theme="1"/>
        <rFont val="Lucida Sans"/>
        <family val="2"/>
      </rPr>
      <t>h</t>
    </r>
    <r>
      <rPr>
        <sz val="11"/>
        <color theme="1"/>
        <rFont val="Lucida Sans"/>
        <family val="2"/>
      </rPr>
      <t>) m</t>
    </r>
  </si>
  <si>
    <r>
      <t>Head Loss friction (h</t>
    </r>
    <r>
      <rPr>
        <vertAlign val="subscript"/>
        <sz val="11"/>
        <color theme="1"/>
        <rFont val="Lucida Sans"/>
        <family val="2"/>
      </rPr>
      <t>1</t>
    </r>
    <r>
      <rPr>
        <sz val="11"/>
        <color theme="1"/>
        <rFont val="Lucida Sans"/>
        <family val="2"/>
      </rPr>
      <t>) m</t>
    </r>
  </si>
  <si>
    <r>
      <t>Head Loss bends (h</t>
    </r>
    <r>
      <rPr>
        <vertAlign val="subscript"/>
        <sz val="11"/>
        <color theme="1"/>
        <rFont val="Lucida Sans"/>
        <family val="2"/>
      </rPr>
      <t>2</t>
    </r>
    <r>
      <rPr>
        <sz val="11"/>
        <color theme="1"/>
        <rFont val="Lucida Sans"/>
        <family val="2"/>
      </rPr>
      <t>) m</t>
    </r>
  </si>
  <si>
    <r>
      <t>Head Loss sump (h</t>
    </r>
    <r>
      <rPr>
        <vertAlign val="subscript"/>
        <sz val="11"/>
        <color theme="1"/>
        <rFont val="Lucida Sans"/>
        <family val="2"/>
      </rPr>
      <t>3</t>
    </r>
    <r>
      <rPr>
        <sz val="11"/>
        <color theme="1"/>
        <rFont val="Lucida Sans"/>
        <family val="2"/>
      </rPr>
      <t>) m</t>
    </r>
  </si>
  <si>
    <r>
      <t>Power for Flow (P</t>
    </r>
    <r>
      <rPr>
        <vertAlign val="subscript"/>
        <sz val="11"/>
        <color theme="1"/>
        <rFont val="Lucida Sans"/>
        <family val="2"/>
      </rPr>
      <t>h</t>
    </r>
    <r>
      <rPr>
        <sz val="11"/>
        <color theme="1"/>
        <rFont val="Lucida Sans"/>
        <family val="2"/>
      </rPr>
      <t xml:space="preserve">) </t>
    </r>
    <r>
      <rPr>
        <vertAlign val="superscript"/>
        <sz val="11"/>
        <color theme="1"/>
        <rFont val="Lucida Sans"/>
        <family val="2"/>
      </rPr>
      <t xml:space="preserve"> </t>
    </r>
    <r>
      <rPr>
        <sz val="11"/>
        <color theme="1"/>
        <rFont val="Lucida Sans"/>
        <family val="2"/>
      </rPr>
      <t>w</t>
    </r>
  </si>
  <si>
    <r>
      <t>Paddle Wheel Power P</t>
    </r>
    <r>
      <rPr>
        <vertAlign val="subscript"/>
        <sz val="11"/>
        <color theme="1"/>
        <rFont val="Lucida Sans"/>
        <family val="2"/>
      </rPr>
      <t>w</t>
    </r>
  </si>
  <si>
    <t>Note HHV value from BS EN ISO 6975 0°C</t>
  </si>
  <si>
    <r>
      <t>MJ m</t>
    </r>
    <r>
      <rPr>
        <vertAlign val="superscript"/>
        <sz val="11"/>
        <color theme="1"/>
        <rFont val="Lucida Sans"/>
        <family val="2"/>
      </rPr>
      <t xml:space="preserve">-2 </t>
    </r>
    <r>
      <rPr>
        <sz val="11"/>
        <color theme="1"/>
        <rFont val="Lucida Sans"/>
        <family val="2"/>
      </rPr>
      <t>yr</t>
    </r>
    <r>
      <rPr>
        <vertAlign val="superscript"/>
        <sz val="11"/>
        <color theme="1"/>
        <rFont val="Lucida Sans"/>
        <family val="2"/>
      </rPr>
      <t>-1</t>
    </r>
  </si>
  <si>
    <r>
      <t>KJ g</t>
    </r>
    <r>
      <rPr>
        <vertAlign val="superscript"/>
        <sz val="11"/>
        <color theme="1"/>
        <rFont val="Lucida Sans"/>
        <family val="2"/>
      </rPr>
      <t>-1</t>
    </r>
  </si>
  <si>
    <r>
      <t>kcal g</t>
    </r>
    <r>
      <rPr>
        <vertAlign val="superscript"/>
        <sz val="11"/>
        <color theme="1"/>
        <rFont val="Lucida Sans"/>
        <family val="2"/>
      </rPr>
      <t>-1</t>
    </r>
  </si>
  <si>
    <r>
      <t>kWh kg</t>
    </r>
    <r>
      <rPr>
        <vertAlign val="superscript"/>
        <sz val="11"/>
        <color theme="1"/>
        <rFont val="Lucida Sans"/>
        <family val="2"/>
      </rPr>
      <t>-1</t>
    </r>
  </si>
  <si>
    <r>
      <t>kg m</t>
    </r>
    <r>
      <rPr>
        <vertAlign val="superscript"/>
        <sz val="11"/>
        <color theme="1"/>
        <rFont val="Lucida Sans"/>
        <family val="2"/>
      </rPr>
      <t xml:space="preserve">-2 </t>
    </r>
    <r>
      <rPr>
        <sz val="11"/>
        <color theme="1"/>
        <rFont val="Lucida Sans"/>
        <family val="2"/>
      </rPr>
      <t>year</t>
    </r>
    <r>
      <rPr>
        <vertAlign val="superscript"/>
        <sz val="11"/>
        <color theme="1"/>
        <rFont val="Lucida Sans"/>
        <family val="2"/>
      </rPr>
      <t>-1</t>
    </r>
  </si>
  <si>
    <r>
      <t>Pond Area m</t>
    </r>
    <r>
      <rPr>
        <vertAlign val="superscript"/>
        <sz val="11"/>
        <color theme="1"/>
        <rFont val="Lucida Sans"/>
        <family val="2"/>
      </rPr>
      <t>2</t>
    </r>
  </si>
  <si>
    <r>
      <t>Pond Volume m</t>
    </r>
    <r>
      <rPr>
        <vertAlign val="superscript"/>
        <sz val="11"/>
        <color theme="1"/>
        <rFont val="Lucida Sans"/>
        <family val="2"/>
      </rPr>
      <t>3</t>
    </r>
  </si>
  <si>
    <r>
      <t>Velocity (v) ms</t>
    </r>
    <r>
      <rPr>
        <vertAlign val="superscript"/>
        <sz val="11"/>
        <color theme="1"/>
        <rFont val="Lucida Sans"/>
        <family val="2"/>
      </rPr>
      <t>-1</t>
    </r>
  </si>
  <si>
    <r>
      <t>m</t>
    </r>
    <r>
      <rPr>
        <vertAlign val="superscript"/>
        <sz val="11"/>
        <color theme="1"/>
        <rFont val="Lucida Sans"/>
        <family val="2"/>
      </rPr>
      <t>3</t>
    </r>
    <r>
      <rPr>
        <sz val="11"/>
        <color theme="1"/>
        <rFont val="Lucida Sans"/>
        <family val="2"/>
      </rPr>
      <t>s</t>
    </r>
    <r>
      <rPr>
        <vertAlign val="superscript"/>
        <sz val="11"/>
        <color theme="1"/>
        <rFont val="Lucida Sans"/>
        <family val="2"/>
      </rPr>
      <t>-1</t>
    </r>
  </si>
  <si>
    <r>
      <t>m</t>
    </r>
    <r>
      <rPr>
        <vertAlign val="superscript"/>
        <sz val="11"/>
        <color theme="1"/>
        <rFont val="Lucida Sans"/>
        <family val="2"/>
      </rPr>
      <t xml:space="preserve">3 </t>
    </r>
    <r>
      <rPr>
        <sz val="11"/>
        <color theme="1"/>
        <rFont val="Lucida Sans"/>
        <family val="2"/>
      </rPr>
      <t>hour</t>
    </r>
    <r>
      <rPr>
        <vertAlign val="superscript"/>
        <sz val="11"/>
        <color theme="1"/>
        <rFont val="Lucida Sans"/>
        <family val="2"/>
      </rPr>
      <t>-1</t>
    </r>
  </si>
  <si>
    <r>
      <t>MJ day</t>
    </r>
    <r>
      <rPr>
        <vertAlign val="superscript"/>
        <sz val="11"/>
        <color theme="1"/>
        <rFont val="Lucida Sans"/>
        <family val="2"/>
      </rPr>
      <t>-1</t>
    </r>
  </si>
  <si>
    <r>
      <t>KJ m</t>
    </r>
    <r>
      <rPr>
        <vertAlign val="superscript"/>
        <sz val="11"/>
        <color theme="1"/>
        <rFont val="Lucida Sans"/>
        <family val="2"/>
      </rPr>
      <t xml:space="preserve">-2 </t>
    </r>
    <r>
      <rPr>
        <sz val="11"/>
        <color theme="1"/>
        <rFont val="Lucida Sans"/>
        <family val="2"/>
      </rPr>
      <t>day</t>
    </r>
    <r>
      <rPr>
        <vertAlign val="superscript"/>
        <sz val="11"/>
        <color theme="1"/>
        <rFont val="Lucida Sans"/>
        <family val="2"/>
      </rPr>
      <t>-1</t>
    </r>
  </si>
  <si>
    <r>
      <t>KJ m</t>
    </r>
    <r>
      <rPr>
        <vertAlign val="superscript"/>
        <sz val="11"/>
        <color theme="1"/>
        <rFont val="Lucida Sans"/>
        <family val="2"/>
      </rPr>
      <t xml:space="preserve">-3 </t>
    </r>
    <r>
      <rPr>
        <sz val="11"/>
        <color theme="1"/>
        <rFont val="Lucida Sans"/>
        <family val="2"/>
      </rPr>
      <t>day</t>
    </r>
    <r>
      <rPr>
        <vertAlign val="superscript"/>
        <sz val="11"/>
        <color theme="1"/>
        <rFont val="Lucida Sans"/>
        <family val="2"/>
      </rPr>
      <t>-1</t>
    </r>
  </si>
  <si>
    <r>
      <t>m</t>
    </r>
    <r>
      <rPr>
        <vertAlign val="superscript"/>
        <sz val="11"/>
        <color theme="1"/>
        <rFont val="Lucida Sans"/>
        <family val="2"/>
      </rPr>
      <t>-3</t>
    </r>
    <r>
      <rPr>
        <sz val="11"/>
        <color theme="1"/>
        <rFont val="Lucida Sans"/>
        <family val="2"/>
      </rPr>
      <t xml:space="preserve">  day</t>
    </r>
    <r>
      <rPr>
        <vertAlign val="superscript"/>
        <sz val="11"/>
        <color theme="1"/>
        <rFont val="Lucida Sans"/>
        <family val="2"/>
      </rPr>
      <t>-1</t>
    </r>
  </si>
  <si>
    <r>
      <t>CO</t>
    </r>
    <r>
      <rPr>
        <b/>
        <vertAlign val="subscript"/>
        <sz val="11"/>
        <color theme="1"/>
        <rFont val="Lucida Sans"/>
        <family val="2"/>
      </rPr>
      <t>2</t>
    </r>
    <r>
      <rPr>
        <b/>
        <sz val="11"/>
        <color theme="1"/>
        <rFont val="Lucida Sans"/>
        <family val="2"/>
      </rPr>
      <t xml:space="preserve"> Concentration in Supply</t>
    </r>
  </si>
  <si>
    <r>
      <t>CO</t>
    </r>
    <r>
      <rPr>
        <vertAlign val="subscript"/>
        <sz val="11"/>
        <color theme="1"/>
        <rFont val="Lucida Sans"/>
        <family val="2"/>
      </rPr>
      <t>2</t>
    </r>
  </si>
  <si>
    <r>
      <t>O</t>
    </r>
    <r>
      <rPr>
        <vertAlign val="subscript"/>
        <sz val="11"/>
        <color theme="1"/>
        <rFont val="Lucida Sans"/>
        <family val="2"/>
      </rPr>
      <t>2</t>
    </r>
  </si>
  <si>
    <r>
      <t>N</t>
    </r>
    <r>
      <rPr>
        <vertAlign val="subscript"/>
        <sz val="11"/>
        <color theme="1"/>
        <rFont val="Lucida Sans"/>
        <family val="2"/>
      </rPr>
      <t>2</t>
    </r>
  </si>
  <si>
    <t>Volume of Mole Gas at 273.15 °K at 100 kPa</t>
  </si>
  <si>
    <r>
      <t>kg day</t>
    </r>
    <r>
      <rPr>
        <vertAlign val="superscript"/>
        <sz val="11"/>
        <color theme="1"/>
        <rFont val="Lucida Sans"/>
        <family val="2"/>
      </rPr>
      <t>-1</t>
    </r>
  </si>
  <si>
    <r>
      <t>m</t>
    </r>
    <r>
      <rPr>
        <vertAlign val="superscript"/>
        <sz val="11"/>
        <color theme="1"/>
        <rFont val="Lucida Sans"/>
        <family val="2"/>
      </rPr>
      <t>3</t>
    </r>
    <r>
      <rPr>
        <sz val="11"/>
        <color theme="1"/>
        <rFont val="Lucida Sans"/>
        <family val="2"/>
      </rPr>
      <t xml:space="preserve"> day</t>
    </r>
    <r>
      <rPr>
        <vertAlign val="superscript"/>
        <sz val="11"/>
        <color theme="1"/>
        <rFont val="Lucida Sans"/>
        <family val="2"/>
      </rPr>
      <t>-1</t>
    </r>
  </si>
  <si>
    <r>
      <t>g l</t>
    </r>
    <r>
      <rPr>
        <vertAlign val="superscript"/>
        <sz val="11"/>
        <color theme="1"/>
        <rFont val="Lucida Sans"/>
        <family val="2"/>
      </rPr>
      <t>-1</t>
    </r>
  </si>
  <si>
    <r>
      <t>kg m</t>
    </r>
    <r>
      <rPr>
        <vertAlign val="superscript"/>
        <sz val="11"/>
        <color theme="1"/>
        <rFont val="Lucida Sans"/>
        <family val="2"/>
      </rPr>
      <t>-3</t>
    </r>
  </si>
  <si>
    <r>
      <t>(ρ) Kgm</t>
    </r>
    <r>
      <rPr>
        <vertAlign val="superscript"/>
        <sz val="11"/>
        <color theme="1"/>
        <rFont val="Lucida Sans"/>
        <family val="2"/>
      </rPr>
      <t>-3</t>
    </r>
  </si>
  <si>
    <t>(η) Pa 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</si>
</sst>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5" formatCode="0.000"/>
    <numFmt numFmtId="166" formatCode="0.0000"/>
    <numFmt numFmtId="167" formatCode="&quot;yes&quot;;&quot;&quot;;&quot;no&quot;"/>
    <numFmt numFmtId="168" formatCode="_(* #,##0.00_);_(* \(#,##0.00\);_(* &quot;-&quot;??_);_(@_)"/>
    <numFmt numFmtId="169" formatCode="&quot;fresh&quot;;&quot;&quot;;&quot;salt&quot;"/>
    <numFmt numFmtId="170" formatCode="0.00000"/>
    <numFmt numFmtId="171" formatCode="0.0_ ;[Red]\-0.0\ "/>
    <numFmt numFmtId="172" formatCode="0.0%"/>
    <numFmt numFmtId="173" formatCode="0.000%"/>
    <numFmt numFmtId="174" formatCode="&quot;organic&quot;;&quot;&quot;;&quot;alum&quot;"/>
  </numFmts>
  <fonts count="32" x14ac:knownFonts="1">
    <font>
      <sz val="11"/>
      <color theme="1"/>
      <name val="Calibri"/>
      <family val="2"/>
      <scheme val="minor"/>
    </font>
    <font>
      <sz val="11"/>
      <color theme="1"/>
      <name val="Calibri"/>
      <family val="2"/>
      <scheme val="minor"/>
    </font>
    <font>
      <sz val="11"/>
      <color theme="1"/>
      <name val="Times New Roman"/>
      <family val="1"/>
    </font>
    <font>
      <vertAlign val="superscript"/>
      <sz val="11"/>
      <color theme="1"/>
      <name val="Times New Roman"/>
      <family val="1"/>
    </font>
    <font>
      <sz val="11"/>
      <color rgb="FFFF0000"/>
      <name val="Times New Roman"/>
      <family val="1"/>
    </font>
    <font>
      <u/>
      <sz val="11"/>
      <color theme="10"/>
      <name val="Calibri"/>
      <family val="2"/>
      <scheme val="minor"/>
    </font>
    <font>
      <sz val="10"/>
      <name val="Arial"/>
      <family val="2"/>
    </font>
    <font>
      <sz val="9"/>
      <color indexed="81"/>
      <name val="Tahoma"/>
      <family val="2"/>
    </font>
    <font>
      <b/>
      <sz val="9"/>
      <color indexed="81"/>
      <name val="Tahoma"/>
      <family val="2"/>
    </font>
    <font>
      <b/>
      <u/>
      <sz val="11"/>
      <color theme="1"/>
      <name val="Lucida Sans"/>
      <family val="2"/>
    </font>
    <font>
      <sz val="11"/>
      <color theme="1"/>
      <name val="Lucida Sans"/>
      <family val="2"/>
    </font>
    <font>
      <vertAlign val="superscript"/>
      <sz val="11"/>
      <color theme="1"/>
      <name val="Lucida Sans"/>
      <family val="2"/>
    </font>
    <font>
      <sz val="8.25"/>
      <color theme="1"/>
      <name val="Lucida Sans"/>
      <family val="2"/>
    </font>
    <font>
      <b/>
      <sz val="11"/>
      <color theme="1"/>
      <name val="Lucida Sans"/>
      <family val="2"/>
    </font>
    <font>
      <vertAlign val="subscript"/>
      <sz val="11"/>
      <color theme="1"/>
      <name val="Lucida Sans"/>
      <family val="2"/>
    </font>
    <font>
      <sz val="11"/>
      <color rgb="FFFF0000"/>
      <name val="Lucida Sans"/>
      <family val="2"/>
    </font>
    <font>
      <sz val="10"/>
      <name val="Lucida Sans"/>
      <family val="2"/>
    </font>
    <font>
      <vertAlign val="subscript"/>
      <sz val="10"/>
      <name val="Lucida Sans"/>
      <family val="2"/>
    </font>
    <font>
      <sz val="11"/>
      <name val="Lucida Sans"/>
      <family val="2"/>
    </font>
    <font>
      <b/>
      <sz val="10"/>
      <name val="Lucida Sans"/>
      <family val="2"/>
    </font>
    <font>
      <sz val="10"/>
      <color rgb="FF333333"/>
      <name val="Lucida Sans"/>
      <family val="2"/>
    </font>
    <font>
      <vertAlign val="subscript"/>
      <sz val="11"/>
      <name val="Lucida Sans"/>
      <family val="2"/>
    </font>
    <font>
      <vertAlign val="superscript"/>
      <sz val="11"/>
      <name val="Lucida Sans"/>
      <family val="2"/>
    </font>
    <font>
      <b/>
      <vertAlign val="subscript"/>
      <sz val="11"/>
      <color theme="1"/>
      <name val="Lucida Sans"/>
      <family val="2"/>
    </font>
    <font>
      <sz val="10"/>
      <color theme="1"/>
      <name val="Lucida Sans"/>
      <family val="2"/>
    </font>
    <font>
      <u/>
      <sz val="11"/>
      <color theme="10"/>
      <name val="Lucida Sans"/>
      <family val="2"/>
    </font>
    <font>
      <sz val="10"/>
      <color rgb="FF000000"/>
      <name val="Lucida Sans"/>
      <family val="2"/>
    </font>
    <font>
      <b/>
      <sz val="9"/>
      <name val="Lucida Sans"/>
      <family val="2"/>
    </font>
    <font>
      <sz val="9"/>
      <color theme="1"/>
      <name val="Lucida Sans"/>
      <family val="2"/>
    </font>
    <font>
      <sz val="9"/>
      <name val="Lucida Sans"/>
      <family val="2"/>
    </font>
    <font>
      <sz val="9"/>
      <color indexed="8"/>
      <name val="Lucida Sans"/>
      <family val="2"/>
    </font>
    <font>
      <b/>
      <sz val="16"/>
      <color theme="1"/>
      <name val="Lucida Sans"/>
      <family val="2"/>
    </font>
  </fonts>
  <fills count="1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22"/>
        <bgColor indexed="64"/>
      </patternFill>
    </fill>
    <fill>
      <patternFill patternType="solid">
        <fgColor theme="0" tint="-0.14996795556505021"/>
        <bgColor indexed="64"/>
      </patternFill>
    </fill>
    <fill>
      <patternFill patternType="solid">
        <fgColor rgb="FF7030A0"/>
        <bgColor indexed="64"/>
      </patternFill>
    </fill>
    <fill>
      <patternFill patternType="solid">
        <fgColor theme="6" tint="-0.24994659260841701"/>
        <bgColor indexed="64"/>
      </patternFill>
    </fill>
    <fill>
      <patternFill patternType="solid">
        <fgColor theme="8" tint="0.39994506668294322"/>
        <bgColor indexed="64"/>
      </patternFill>
    </fill>
    <fill>
      <patternFill patternType="solid">
        <fgColor theme="0"/>
        <bgColor indexed="64"/>
      </patternFill>
    </fill>
    <fill>
      <patternFill patternType="solid">
        <fgColor theme="4"/>
        <bgColor indexed="64"/>
      </patternFill>
    </fill>
    <fill>
      <gradientFill degree="270">
        <stop position="0">
          <color theme="6" tint="-0.49803155613879818"/>
        </stop>
        <stop position="1">
          <color theme="6" tint="0.59999389629810485"/>
        </stop>
      </gradientFill>
    </fill>
    <fill>
      <patternFill patternType="solid">
        <fgColor theme="0" tint="-0.24994659260841701"/>
        <bgColor indexed="64"/>
      </patternFill>
    </fill>
    <fill>
      <patternFill patternType="solid">
        <fgColor theme="6" tint="-0.499984740745262"/>
        <bgColor indexed="64"/>
      </patternFill>
    </fill>
    <fill>
      <patternFill patternType="solid">
        <fgColor theme="6" tint="0.59996337778862885"/>
        <bgColor indexed="64"/>
      </patternFill>
    </fill>
    <fill>
      <patternFill patternType="solid">
        <fgColor theme="9" tint="-0.499984740745262"/>
        <bgColor indexed="64"/>
      </patternFill>
    </fill>
  </fills>
  <borders count="2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s>
  <cellStyleXfs count="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168" fontId="6" fillId="0" borderId="0" applyFont="0" applyFill="0" applyBorder="0" applyAlignment="0" applyProtection="0"/>
    <xf numFmtId="0" fontId="6" fillId="0" borderId="0"/>
  </cellStyleXfs>
  <cellXfs count="138">
    <xf numFmtId="0" fontId="0" fillId="0" borderId="0" xfId="0"/>
    <xf numFmtId="0" fontId="2" fillId="0" borderId="0" xfId="0" applyFont="1"/>
    <xf numFmtId="0" fontId="2" fillId="5" borderId="0" xfId="0" applyFont="1" applyFill="1"/>
    <xf numFmtId="1" fontId="2" fillId="0" borderId="0" xfId="0" applyNumberFormat="1" applyFont="1"/>
    <xf numFmtId="10" fontId="2" fillId="0" borderId="0" xfId="0" applyNumberFormat="1" applyFont="1"/>
    <xf numFmtId="2" fontId="2" fillId="0" borderId="0" xfId="0" applyNumberFormat="1" applyFont="1"/>
    <xf numFmtId="167" fontId="2" fillId="5" borderId="0" xfId="0" applyNumberFormat="1" applyFont="1" applyFill="1" applyProtection="1">
      <protection locked="0" hidden="1"/>
    </xf>
    <xf numFmtId="0" fontId="4" fillId="0" borderId="0" xfId="0" applyFont="1"/>
    <xf numFmtId="0" fontId="2" fillId="9" borderId="0" xfId="0" applyFont="1" applyFill="1"/>
    <xf numFmtId="9" fontId="2" fillId="0" borderId="0" xfId="0" applyNumberFormat="1" applyFont="1"/>
    <xf numFmtId="10" fontId="2" fillId="5" borderId="0" xfId="0" applyNumberFormat="1" applyFont="1" applyFill="1"/>
    <xf numFmtId="0" fontId="9" fillId="0" borderId="0" xfId="0" applyFont="1"/>
    <xf numFmtId="0" fontId="10" fillId="0" borderId="0" xfId="0" applyFont="1"/>
    <xf numFmtId="1" fontId="10" fillId="0" borderId="0" xfId="0" applyNumberFormat="1" applyFont="1"/>
    <xf numFmtId="0" fontId="13" fillId="0" borderId="0" xfId="0" applyFont="1"/>
    <xf numFmtId="2" fontId="10" fillId="0" borderId="0" xfId="0" applyNumberFormat="1" applyFont="1"/>
    <xf numFmtId="4" fontId="10" fillId="0" borderId="0" xfId="0" applyNumberFormat="1" applyFont="1"/>
    <xf numFmtId="0" fontId="10" fillId="5" borderId="0" xfId="0" applyFont="1" applyFill="1"/>
    <xf numFmtId="164" fontId="10" fillId="0" borderId="0" xfId="0" applyNumberFormat="1" applyFont="1"/>
    <xf numFmtId="10" fontId="10" fillId="0" borderId="0" xfId="0" applyNumberFormat="1" applyFont="1"/>
    <xf numFmtId="173" fontId="10" fillId="0" borderId="0" xfId="0" applyNumberFormat="1" applyFont="1"/>
    <xf numFmtId="9" fontId="10" fillId="0" borderId="0" xfId="0" applyNumberFormat="1" applyFont="1"/>
    <xf numFmtId="167" fontId="2" fillId="5" borderId="0" xfId="0" applyNumberFormat="1" applyFont="1" applyFill="1"/>
    <xf numFmtId="174" fontId="2" fillId="5" borderId="0" xfId="0" applyNumberFormat="1" applyFont="1" applyFill="1"/>
    <xf numFmtId="167" fontId="10" fillId="0" borderId="0" xfId="0" applyNumberFormat="1" applyFont="1"/>
    <xf numFmtId="0" fontId="14" fillId="0" borderId="0" xfId="0" applyFont="1"/>
    <xf numFmtId="0" fontId="13" fillId="6" borderId="0" xfId="0" applyFont="1" applyFill="1"/>
    <xf numFmtId="0" fontId="11" fillId="0" borderId="0" xfId="0" applyFont="1"/>
    <xf numFmtId="166" fontId="10" fillId="0" borderId="0" xfId="0" applyNumberFormat="1" applyFont="1"/>
    <xf numFmtId="165" fontId="10" fillId="0" borderId="0" xfId="0" applyNumberFormat="1" applyFont="1"/>
    <xf numFmtId="11" fontId="10" fillId="0" borderId="0" xfId="0" applyNumberFormat="1" applyFont="1"/>
    <xf numFmtId="0" fontId="15" fillId="0" borderId="0" xfId="0" applyFont="1"/>
    <xf numFmtId="0" fontId="16" fillId="0" borderId="0" xfId="0" applyFont="1"/>
    <xf numFmtId="0" fontId="10" fillId="0" borderId="4" xfId="0" applyFont="1" applyBorder="1"/>
    <xf numFmtId="0" fontId="16" fillId="6" borderId="0" xfId="0" applyFont="1" applyFill="1"/>
    <xf numFmtId="2" fontId="10" fillId="0" borderId="4" xfId="0" applyNumberFormat="1" applyFont="1" applyBorder="1" applyAlignment="1">
      <alignment horizontal="center"/>
    </xf>
    <xf numFmtId="0" fontId="19" fillId="0" borderId="0" xfId="0" applyFont="1"/>
    <xf numFmtId="0" fontId="10" fillId="9" borderId="0" xfId="0" applyFont="1" applyFill="1"/>
    <xf numFmtId="0" fontId="13" fillId="10" borderId="0" xfId="0" applyFont="1" applyFill="1"/>
    <xf numFmtId="2" fontId="10" fillId="2" borderId="0" xfId="0" applyNumberFormat="1" applyFont="1" applyFill="1"/>
    <xf numFmtId="0" fontId="20" fillId="0" borderId="0" xfId="0" applyFont="1" applyAlignment="1">
      <alignment horizontal="left" vertical="center" indent="3"/>
    </xf>
    <xf numFmtId="0" fontId="18" fillId="0" borderId="0" xfId="3" applyFont="1"/>
    <xf numFmtId="0" fontId="16" fillId="0" borderId="0" xfId="3" applyFont="1"/>
    <xf numFmtId="0" fontId="13" fillId="7" borderId="0" xfId="0" applyFont="1" applyFill="1"/>
    <xf numFmtId="0" fontId="10" fillId="12" borderId="0" xfId="0" applyFont="1" applyFill="1"/>
    <xf numFmtId="0" fontId="13" fillId="13" borderId="0" xfId="0" applyFont="1" applyFill="1"/>
    <xf numFmtId="170" fontId="10" fillId="0" borderId="0" xfId="0" applyNumberFormat="1" applyFont="1"/>
    <xf numFmtId="0" fontId="13" fillId="14" borderId="0" xfId="0" applyFont="1" applyFill="1"/>
    <xf numFmtId="0" fontId="13" fillId="9" borderId="0" xfId="0" applyFont="1" applyFill="1"/>
    <xf numFmtId="0" fontId="13" fillId="15" borderId="0" xfId="0" applyFont="1" applyFill="1"/>
    <xf numFmtId="2" fontId="10" fillId="0" borderId="0" xfId="0" applyNumberFormat="1" applyFont="1" applyFill="1"/>
    <xf numFmtId="0" fontId="10" fillId="0" borderId="0" xfId="0" applyFont="1" applyAlignment="1">
      <alignment horizontal="center"/>
    </xf>
    <xf numFmtId="0" fontId="10" fillId="13" borderId="0" xfId="0" applyFont="1" applyFill="1"/>
    <xf numFmtId="0" fontId="24" fillId="0" borderId="0" xfId="0" applyFont="1"/>
    <xf numFmtId="0" fontId="10" fillId="0" borderId="0" xfId="0" applyFont="1" applyFill="1"/>
    <xf numFmtId="3" fontId="10" fillId="0" borderId="0" xfId="0" applyNumberFormat="1" applyFont="1"/>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0" xfId="0" applyFont="1" applyBorder="1"/>
    <xf numFmtId="1" fontId="10" fillId="0" borderId="0" xfId="0" applyNumberFormat="1" applyFont="1" applyBorder="1"/>
    <xf numFmtId="169" fontId="10" fillId="0" borderId="0" xfId="0" applyNumberFormat="1" applyFont="1" applyBorder="1"/>
    <xf numFmtId="0" fontId="10" fillId="0" borderId="15" xfId="0" applyFont="1" applyBorder="1"/>
    <xf numFmtId="164" fontId="10" fillId="0" borderId="0" xfId="0" applyNumberFormat="1" applyFont="1" applyBorder="1"/>
    <xf numFmtId="1" fontId="10" fillId="9" borderId="0" xfId="0" applyNumberFormat="1" applyFont="1" applyFill="1" applyBorder="1"/>
    <xf numFmtId="0" fontId="10" fillId="9" borderId="0" xfId="0" applyFont="1" applyFill="1" applyBorder="1"/>
    <xf numFmtId="172" fontId="10" fillId="0" borderId="0" xfId="0" applyNumberFormat="1" applyFont="1"/>
    <xf numFmtId="164" fontId="10" fillId="9" borderId="0" xfId="0" applyNumberFormat="1" applyFont="1" applyFill="1" applyBorder="1"/>
    <xf numFmtId="0" fontId="10" fillId="5" borderId="0" xfId="0" applyFont="1" applyFill="1" applyBorder="1"/>
    <xf numFmtId="171" fontId="10" fillId="0" borderId="0" xfId="0" applyNumberFormat="1" applyFont="1"/>
    <xf numFmtId="10" fontId="10" fillId="0" borderId="0" xfId="0" applyNumberFormat="1" applyFont="1" applyBorder="1"/>
    <xf numFmtId="2" fontId="10" fillId="0" borderId="0" xfId="0" applyNumberFormat="1" applyFont="1" applyBorder="1"/>
    <xf numFmtId="0" fontId="10" fillId="0" borderId="16" xfId="0" applyFont="1" applyBorder="1"/>
    <xf numFmtId="0" fontId="10" fillId="0" borderId="17" xfId="0" applyFont="1" applyBorder="1"/>
    <xf numFmtId="0" fontId="10" fillId="0" borderId="18" xfId="0" applyFont="1" applyBorder="1"/>
    <xf numFmtId="0" fontId="10" fillId="0" borderId="19" xfId="0" applyFont="1" applyBorder="1"/>
    <xf numFmtId="0" fontId="10" fillId="0" borderId="20" xfId="0" applyFont="1" applyBorder="1"/>
    <xf numFmtId="0" fontId="10" fillId="0" borderId="21" xfId="0" applyFont="1" applyBorder="1"/>
    <xf numFmtId="0" fontId="10" fillId="0" borderId="22" xfId="0" applyFont="1" applyBorder="1"/>
    <xf numFmtId="0" fontId="10" fillId="0" borderId="23" xfId="0" applyFont="1" applyBorder="1"/>
    <xf numFmtId="1" fontId="10" fillId="5" borderId="0" xfId="0" applyNumberFormat="1" applyFont="1" applyFill="1" applyBorder="1"/>
    <xf numFmtId="165" fontId="10" fillId="0" borderId="0" xfId="0" applyNumberFormat="1" applyFont="1" applyBorder="1"/>
    <xf numFmtId="0" fontId="10" fillId="0" borderId="24" xfId="0" applyFont="1" applyBorder="1"/>
    <xf numFmtId="0" fontId="10" fillId="0" borderId="25" xfId="0" applyFont="1" applyBorder="1"/>
    <xf numFmtId="0" fontId="10" fillId="0" borderId="26" xfId="0" applyFont="1" applyBorder="1"/>
    <xf numFmtId="169" fontId="10" fillId="0" borderId="0" xfId="0" applyNumberFormat="1" applyFont="1"/>
    <xf numFmtId="0" fontId="25" fillId="0" borderId="0" xfId="2" applyFont="1"/>
    <xf numFmtId="0" fontId="10" fillId="0" borderId="0" xfId="0" applyFont="1" applyAlignment="1">
      <alignment horizontal="right"/>
    </xf>
    <xf numFmtId="0" fontId="10" fillId="0" borderId="0" xfId="0" applyFont="1" applyBorder="1" applyAlignment="1">
      <alignment horizontal="right" vertical="center" wrapText="1"/>
    </xf>
    <xf numFmtId="0" fontId="26" fillId="0" borderId="0" xfId="0" applyFont="1" applyAlignment="1">
      <alignment horizontal="right" vertical="center" wrapText="1"/>
    </xf>
    <xf numFmtId="164" fontId="10" fillId="9" borderId="0" xfId="0" applyNumberFormat="1" applyFont="1" applyFill="1"/>
    <xf numFmtId="0" fontId="27" fillId="0" borderId="0" xfId="0" applyFont="1"/>
    <xf numFmtId="0" fontId="28" fillId="0" borderId="0" xfId="0" applyFont="1"/>
    <xf numFmtId="0" fontId="29" fillId="0" borderId="0" xfId="0" applyFont="1"/>
    <xf numFmtId="0" fontId="28" fillId="0" borderId="0" xfId="0" applyFont="1" applyAlignment="1">
      <alignment wrapText="1"/>
    </xf>
    <xf numFmtId="164" fontId="28" fillId="0" borderId="0" xfId="0" applyNumberFormat="1" applyFont="1"/>
    <xf numFmtId="2" fontId="29" fillId="0" borderId="0" xfId="0" applyNumberFormat="1" applyFont="1"/>
    <xf numFmtId="0" fontId="28" fillId="0" borderId="0" xfId="0" applyFont="1" applyAlignment="1">
      <alignment horizontal="left"/>
    </xf>
    <xf numFmtId="0" fontId="28" fillId="3" borderId="0" xfId="0" applyFont="1" applyFill="1"/>
    <xf numFmtId="164" fontId="30" fillId="0" borderId="0" xfId="0" applyNumberFormat="1" applyFont="1"/>
    <xf numFmtId="164" fontId="29" fillId="0" borderId="0" xfId="0" applyNumberFormat="1" applyFont="1"/>
    <xf numFmtId="0" fontId="28" fillId="9" borderId="0" xfId="0" applyFont="1" applyFill="1"/>
    <xf numFmtId="164" fontId="28" fillId="9" borderId="0" xfId="0" applyNumberFormat="1" applyFont="1" applyFill="1"/>
    <xf numFmtId="1" fontId="28" fillId="0" borderId="0" xfId="0" applyNumberFormat="1" applyFont="1"/>
    <xf numFmtId="9" fontId="28" fillId="0" borderId="0" xfId="1" applyFont="1"/>
    <xf numFmtId="165" fontId="28" fillId="0" borderId="0" xfId="0" applyNumberFormat="1" applyFont="1"/>
    <xf numFmtId="164" fontId="28" fillId="0" borderId="0" xfId="0" applyNumberFormat="1" applyFont="1" applyFill="1"/>
    <xf numFmtId="2" fontId="28" fillId="0" borderId="0" xfId="0" applyNumberFormat="1" applyFont="1"/>
    <xf numFmtId="9" fontId="28" fillId="0" borderId="0" xfId="0" applyNumberFormat="1" applyFont="1"/>
    <xf numFmtId="0" fontId="28" fillId="4" borderId="0" xfId="0" applyFont="1" applyFill="1"/>
    <xf numFmtId="164" fontId="28" fillId="4" borderId="0" xfId="0" applyNumberFormat="1" applyFont="1" applyFill="1"/>
    <xf numFmtId="165" fontId="28" fillId="4" borderId="0" xfId="0" applyNumberFormat="1" applyFont="1" applyFill="1"/>
    <xf numFmtId="165" fontId="28" fillId="12" borderId="0" xfId="0" applyNumberFormat="1" applyFont="1" applyFill="1"/>
    <xf numFmtId="164" fontId="28" fillId="12" borderId="0" xfId="0" applyNumberFormat="1" applyFont="1" applyFill="1"/>
    <xf numFmtId="2" fontId="28" fillId="12" borderId="0" xfId="0" applyNumberFormat="1" applyFont="1" applyFill="1"/>
    <xf numFmtId="2" fontId="28" fillId="4" borderId="0" xfId="0" applyNumberFormat="1" applyFont="1" applyFill="1"/>
    <xf numFmtId="9" fontId="28" fillId="4" borderId="0" xfId="0" applyNumberFormat="1" applyFont="1" applyFill="1"/>
    <xf numFmtId="165" fontId="28" fillId="9" borderId="0" xfId="0" applyNumberFormat="1" applyFont="1" applyFill="1"/>
    <xf numFmtId="0" fontId="31" fillId="0" borderId="0" xfId="0" applyFont="1"/>
    <xf numFmtId="0" fontId="13" fillId="2" borderId="0" xfId="0" applyFont="1" applyFill="1"/>
    <xf numFmtId="21" fontId="10" fillId="0" borderId="0" xfId="0" applyNumberFormat="1" applyFont="1"/>
    <xf numFmtId="0" fontId="13" fillId="8" borderId="0" xfId="0" applyFont="1" applyFill="1"/>
    <xf numFmtId="167" fontId="10" fillId="0" borderId="0" xfId="0" applyNumberFormat="1" applyFont="1" applyProtection="1">
      <protection locked="0" hidden="1"/>
    </xf>
    <xf numFmtId="167" fontId="10" fillId="9" borderId="0" xfId="0" applyNumberFormat="1" applyFont="1" applyFill="1" applyProtection="1">
      <protection locked="0" hidden="1"/>
    </xf>
    <xf numFmtId="0" fontId="10" fillId="0" borderId="5" xfId="0" applyFont="1" applyBorder="1"/>
    <xf numFmtId="0" fontId="10" fillId="0" borderId="6" xfId="0" applyFont="1" applyBorder="1"/>
    <xf numFmtId="3" fontId="10" fillId="0" borderId="7" xfId="0" applyNumberFormat="1" applyFont="1" applyBorder="1"/>
    <xf numFmtId="0" fontId="10" fillId="0" borderId="8" xfId="0" applyFont="1" applyBorder="1"/>
    <xf numFmtId="1" fontId="10" fillId="5" borderId="0" xfId="0" applyNumberFormat="1" applyFont="1" applyFill="1"/>
    <xf numFmtId="3" fontId="10" fillId="0" borderId="9" xfId="0" applyNumberFormat="1" applyFont="1" applyBorder="1"/>
    <xf numFmtId="0" fontId="10" fillId="0" borderId="10" xfId="0" applyFont="1" applyBorder="1"/>
    <xf numFmtId="0" fontId="13" fillId="11" borderId="0" xfId="0" applyFont="1" applyFill="1"/>
    <xf numFmtId="169" fontId="10" fillId="5" borderId="0" xfId="0" applyNumberFormat="1" applyFont="1" applyFill="1"/>
    <xf numFmtId="170" fontId="10" fillId="9" borderId="0" xfId="0" applyNumberFormat="1" applyFont="1" applyFill="1"/>
    <xf numFmtId="0" fontId="18" fillId="0" borderId="1" xfId="0" applyFont="1" applyBorder="1" applyAlignment="1"/>
    <xf numFmtId="0" fontId="10" fillId="0" borderId="2" xfId="0" applyFont="1" applyBorder="1" applyAlignment="1"/>
    <xf numFmtId="0" fontId="10" fillId="0" borderId="3" xfId="0" applyFont="1" applyBorder="1" applyAlignment="1"/>
  </cellXfs>
  <cellStyles count="6">
    <cellStyle name="Comma 2" xfId="4"/>
    <cellStyle name="Hyperlink" xfId="2" builtinId="8"/>
    <cellStyle name="Normal" xfId="0" builtinId="0"/>
    <cellStyle name="Normal 2" xfId="3"/>
    <cellStyle name="Normal 3"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504824</xdr:colOff>
      <xdr:row>9</xdr:row>
      <xdr:rowOff>133349</xdr:rowOff>
    </xdr:from>
    <xdr:to>
      <xdr:col>8</xdr:col>
      <xdr:colOff>95249</xdr:colOff>
      <xdr:row>14</xdr:row>
      <xdr:rowOff>44849</xdr:rowOff>
    </xdr:to>
    <xdr:sp macro="" textlink="">
      <xdr:nvSpPr>
        <xdr:cNvPr id="2" name="Flowchart: Magnetic Disk 1"/>
        <xdr:cNvSpPr/>
      </xdr:nvSpPr>
      <xdr:spPr>
        <a:xfrm>
          <a:off x="1724024" y="1085849"/>
          <a:ext cx="2028825" cy="864000"/>
        </a:xfrm>
        <a:prstGeom prst="flowChartMagneticDisk">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19050</xdr:colOff>
      <xdr:row>9</xdr:row>
      <xdr:rowOff>104775</xdr:rowOff>
    </xdr:from>
    <xdr:to>
      <xdr:col>13</xdr:col>
      <xdr:colOff>95250</xdr:colOff>
      <xdr:row>13</xdr:row>
      <xdr:rowOff>28575</xdr:rowOff>
    </xdr:to>
    <xdr:sp macro="" textlink="">
      <xdr:nvSpPr>
        <xdr:cNvPr id="3" name="Flowchart: Merge 2"/>
        <xdr:cNvSpPr/>
      </xdr:nvSpPr>
      <xdr:spPr>
        <a:xfrm>
          <a:off x="6115050" y="1057275"/>
          <a:ext cx="685800" cy="685800"/>
        </a:xfrm>
        <a:prstGeom prst="flowChartMerge">
          <a:avLst/>
        </a:prstGeom>
        <a:solidFill>
          <a:schemeClr val="accent3">
            <a:lumMod val="60000"/>
            <a:lumOff val="40000"/>
          </a:schemeClr>
        </a:solidFill>
        <a:ln>
          <a:solidFill>
            <a:schemeClr val="accent3">
              <a:lumMod val="50000"/>
            </a:schemeClr>
          </a:solidFill>
        </a:ln>
        <a:effectLst>
          <a:innerShdw blurRad="63500" dist="2032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133350</xdr:colOff>
      <xdr:row>8</xdr:row>
      <xdr:rowOff>180975</xdr:rowOff>
    </xdr:from>
    <xdr:to>
      <xdr:col>18</xdr:col>
      <xdr:colOff>266700</xdr:colOff>
      <xdr:row>13</xdr:row>
      <xdr:rowOff>142875</xdr:rowOff>
    </xdr:to>
    <xdr:sp macro="" textlink="">
      <xdr:nvSpPr>
        <xdr:cNvPr id="4" name="Flowchart: Direct Access Storage 3"/>
        <xdr:cNvSpPr/>
      </xdr:nvSpPr>
      <xdr:spPr>
        <a:xfrm rot="16200000">
          <a:off x="14668500" y="1943100"/>
          <a:ext cx="914400" cy="742950"/>
        </a:xfrm>
        <a:prstGeom prst="flowChartMagneticDrum">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361949</xdr:colOff>
      <xdr:row>9</xdr:row>
      <xdr:rowOff>104775</xdr:rowOff>
    </xdr:from>
    <xdr:to>
      <xdr:col>17</xdr:col>
      <xdr:colOff>200024</xdr:colOff>
      <xdr:row>13</xdr:row>
      <xdr:rowOff>28575</xdr:rowOff>
    </xdr:to>
    <xdr:cxnSp macro="">
      <xdr:nvCxnSpPr>
        <xdr:cNvPr id="13" name="Elbow Connector 12"/>
        <xdr:cNvCxnSpPr>
          <a:stCxn id="3" idx="2"/>
        </xdr:cNvCxnSpPr>
      </xdr:nvCxnSpPr>
      <xdr:spPr>
        <a:xfrm rot="5400000" flipH="1" flipV="1">
          <a:off x="7558087" y="-42863"/>
          <a:ext cx="685800" cy="2886075"/>
        </a:xfrm>
        <a:prstGeom prst="bentConnector4">
          <a:avLst>
            <a:gd name="adj1" fmla="val 1389"/>
            <a:gd name="adj2" fmla="val 55941"/>
          </a:avLst>
        </a:prstGeom>
        <a:ln w="38100">
          <a:solidFill>
            <a:schemeClr val="accent3">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200025</xdr:colOff>
      <xdr:row>6</xdr:row>
      <xdr:rowOff>171450</xdr:rowOff>
    </xdr:from>
    <xdr:to>
      <xdr:col>18</xdr:col>
      <xdr:colOff>200025</xdr:colOff>
      <xdr:row>9</xdr:row>
      <xdr:rowOff>95250</xdr:rowOff>
    </xdr:to>
    <xdr:cxnSp macro="">
      <xdr:nvCxnSpPr>
        <xdr:cNvPr id="17" name="Straight Arrow Connector 16"/>
        <xdr:cNvCxnSpPr/>
      </xdr:nvCxnSpPr>
      <xdr:spPr>
        <a:xfrm flipV="1">
          <a:off x="15430500" y="1466850"/>
          <a:ext cx="0" cy="49530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12</xdr:row>
      <xdr:rowOff>95250</xdr:rowOff>
    </xdr:from>
    <xdr:to>
      <xdr:col>15</xdr:col>
      <xdr:colOff>271050</xdr:colOff>
      <xdr:row>13</xdr:row>
      <xdr:rowOff>156750</xdr:rowOff>
    </xdr:to>
    <xdr:sp macro="" textlink="">
      <xdr:nvSpPr>
        <xdr:cNvPr id="18" name="Flowchart: Summing Junction 17"/>
        <xdr:cNvSpPr>
          <a:spLocks noChangeAspect="1"/>
        </xdr:cNvSpPr>
      </xdr:nvSpPr>
      <xdr:spPr>
        <a:xfrm>
          <a:off x="7943850" y="1619250"/>
          <a:ext cx="252000" cy="252000"/>
        </a:xfrm>
        <a:prstGeom prst="flowChartSummingJunction">
          <a:avLst/>
        </a:prstGeom>
        <a:solidFill>
          <a:schemeClr val="accent3">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114300</xdr:colOff>
      <xdr:row>9</xdr:row>
      <xdr:rowOff>95250</xdr:rowOff>
    </xdr:from>
    <xdr:to>
      <xdr:col>12</xdr:col>
      <xdr:colOff>142875</xdr:colOff>
      <xdr:row>13</xdr:row>
      <xdr:rowOff>76203</xdr:rowOff>
    </xdr:to>
    <xdr:cxnSp macro="">
      <xdr:nvCxnSpPr>
        <xdr:cNvPr id="27" name="Elbow Connector 26"/>
        <xdr:cNvCxnSpPr/>
      </xdr:nvCxnSpPr>
      <xdr:spPr>
        <a:xfrm flipV="1">
          <a:off x="3771900" y="1047750"/>
          <a:ext cx="2466975" cy="742953"/>
        </a:xfrm>
        <a:prstGeom prst="bentConnector3">
          <a:avLst/>
        </a:prstGeom>
        <a:ln w="38100">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12</xdr:row>
      <xdr:rowOff>152400</xdr:rowOff>
    </xdr:from>
    <xdr:to>
      <xdr:col>10</xdr:col>
      <xdr:colOff>223425</xdr:colOff>
      <xdr:row>14</xdr:row>
      <xdr:rowOff>23400</xdr:rowOff>
    </xdr:to>
    <xdr:sp macro="" textlink="">
      <xdr:nvSpPr>
        <xdr:cNvPr id="32" name="Flowchart: Summing Junction 31"/>
        <xdr:cNvSpPr>
          <a:spLocks noChangeAspect="1"/>
        </xdr:cNvSpPr>
      </xdr:nvSpPr>
      <xdr:spPr>
        <a:xfrm>
          <a:off x="4848225" y="1676400"/>
          <a:ext cx="252000" cy="252000"/>
        </a:xfrm>
        <a:prstGeom prst="flowChartSummingJunction">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361950</xdr:colOff>
      <xdr:row>7</xdr:row>
      <xdr:rowOff>28575</xdr:rowOff>
    </xdr:from>
    <xdr:to>
      <xdr:col>12</xdr:col>
      <xdr:colOff>361950</xdr:colOff>
      <xdr:row>9</xdr:row>
      <xdr:rowOff>104775</xdr:rowOff>
    </xdr:to>
    <xdr:cxnSp macro="">
      <xdr:nvCxnSpPr>
        <xdr:cNvPr id="45" name="Straight Connector 44"/>
        <xdr:cNvCxnSpPr>
          <a:stCxn id="3" idx="0"/>
        </xdr:cNvCxnSpPr>
      </xdr:nvCxnSpPr>
      <xdr:spPr>
        <a:xfrm flipV="1">
          <a:off x="8334375" y="1514475"/>
          <a:ext cx="0" cy="457200"/>
        </a:xfrm>
        <a:prstGeom prst="line">
          <a:avLst/>
        </a:prstGeom>
        <a:ln w="38100">
          <a:solidFill>
            <a:schemeClr val="accent3">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76203</xdr:colOff>
      <xdr:row>7</xdr:row>
      <xdr:rowOff>9525</xdr:rowOff>
    </xdr:from>
    <xdr:to>
      <xdr:col>12</xdr:col>
      <xdr:colOff>371476</xdr:colOff>
      <xdr:row>10</xdr:row>
      <xdr:rowOff>123823</xdr:rowOff>
    </xdr:to>
    <xdr:cxnSp macro="">
      <xdr:nvCxnSpPr>
        <xdr:cNvPr id="47" name="Elbow Connector 46"/>
        <xdr:cNvCxnSpPr/>
      </xdr:nvCxnSpPr>
      <xdr:spPr>
        <a:xfrm rot="10800000" flipV="1">
          <a:off x="5610228" y="1495425"/>
          <a:ext cx="2733673" cy="685798"/>
        </a:xfrm>
        <a:prstGeom prst="bentConnector3">
          <a:avLst>
            <a:gd name="adj1" fmla="val 84146"/>
          </a:avLst>
        </a:prstGeom>
        <a:ln w="38100">
          <a:solidFill>
            <a:schemeClr val="accent3">
              <a:lumMod val="40000"/>
              <a:lumOff val="6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514352</xdr:colOff>
      <xdr:row>13</xdr:row>
      <xdr:rowOff>161925</xdr:rowOff>
    </xdr:from>
    <xdr:to>
      <xdr:col>17</xdr:col>
      <xdr:colOff>552450</xdr:colOff>
      <xdr:row>21</xdr:row>
      <xdr:rowOff>9525</xdr:rowOff>
    </xdr:to>
    <xdr:cxnSp macro="">
      <xdr:nvCxnSpPr>
        <xdr:cNvPr id="52" name="Straight Arrow Connector 51"/>
        <xdr:cNvCxnSpPr/>
      </xdr:nvCxnSpPr>
      <xdr:spPr>
        <a:xfrm flipH="1">
          <a:off x="15135227" y="2790825"/>
          <a:ext cx="38098" cy="1371600"/>
        </a:xfrm>
        <a:prstGeom prst="straightConnector1">
          <a:avLst/>
        </a:prstGeom>
        <a:ln w="38100">
          <a:solidFill>
            <a:schemeClr val="accent6">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11</xdr:row>
      <xdr:rowOff>19050</xdr:rowOff>
    </xdr:from>
    <xdr:to>
      <xdr:col>4</xdr:col>
      <xdr:colOff>495300</xdr:colOff>
      <xdr:row>11</xdr:row>
      <xdr:rowOff>19050</xdr:rowOff>
    </xdr:to>
    <xdr:cxnSp macro="">
      <xdr:nvCxnSpPr>
        <xdr:cNvPr id="6" name="Straight Arrow Connector 5"/>
        <xdr:cNvCxnSpPr/>
      </xdr:nvCxnSpPr>
      <xdr:spPr>
        <a:xfrm>
          <a:off x="828675" y="1352550"/>
          <a:ext cx="885825" cy="0"/>
        </a:xfrm>
        <a:prstGeom prst="straightConnector1">
          <a:avLst/>
        </a:prstGeom>
        <a:ln w="38100">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581025</xdr:colOff>
      <xdr:row>10</xdr:row>
      <xdr:rowOff>76200</xdr:rowOff>
    </xdr:from>
    <xdr:to>
      <xdr:col>3</xdr:col>
      <xdr:colOff>223425</xdr:colOff>
      <xdr:row>11</xdr:row>
      <xdr:rowOff>137700</xdr:rowOff>
    </xdr:to>
    <xdr:sp macro="" textlink="">
      <xdr:nvSpPr>
        <xdr:cNvPr id="7" name="Flowchart: Summing Junction 6"/>
        <xdr:cNvSpPr>
          <a:spLocks noChangeAspect="1"/>
        </xdr:cNvSpPr>
      </xdr:nvSpPr>
      <xdr:spPr>
        <a:xfrm>
          <a:off x="581025" y="1219200"/>
          <a:ext cx="252000" cy="252000"/>
        </a:xfrm>
        <a:prstGeom prst="flowChartSummingJunction">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781050</xdr:colOff>
      <xdr:row>11</xdr:row>
      <xdr:rowOff>19050</xdr:rowOff>
    </xdr:from>
    <xdr:to>
      <xdr:col>6</xdr:col>
      <xdr:colOff>497700</xdr:colOff>
      <xdr:row>14</xdr:row>
      <xdr:rowOff>60198</xdr:rowOff>
    </xdr:to>
    <xdr:sp macro="" textlink="">
      <xdr:nvSpPr>
        <xdr:cNvPr id="8" name="Flowchart: Or 7"/>
        <xdr:cNvSpPr/>
      </xdr:nvSpPr>
      <xdr:spPr>
        <a:xfrm>
          <a:off x="7477125" y="2266950"/>
          <a:ext cx="612000" cy="612648"/>
        </a:xfrm>
        <a:prstGeom prst="flowChartOr">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438151</xdr:colOff>
      <xdr:row>5</xdr:row>
      <xdr:rowOff>76199</xdr:rowOff>
    </xdr:from>
    <xdr:to>
      <xdr:col>5</xdr:col>
      <xdr:colOff>295275</xdr:colOff>
      <xdr:row>13</xdr:row>
      <xdr:rowOff>133353</xdr:rowOff>
    </xdr:to>
    <xdr:cxnSp macro="">
      <xdr:nvCxnSpPr>
        <xdr:cNvPr id="10" name="Elbow Connector 9"/>
        <xdr:cNvCxnSpPr/>
      </xdr:nvCxnSpPr>
      <xdr:spPr>
        <a:xfrm rot="16200000" flipH="1">
          <a:off x="795336" y="519114"/>
          <a:ext cx="1581154" cy="1076324"/>
        </a:xfrm>
        <a:prstGeom prst="bentConnector3">
          <a:avLst>
            <a:gd name="adj1" fmla="val 32530"/>
          </a:avLst>
        </a:prstGeom>
        <a:ln w="381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11</xdr:row>
      <xdr:rowOff>38100</xdr:rowOff>
    </xdr:from>
    <xdr:to>
      <xdr:col>5</xdr:col>
      <xdr:colOff>178875</xdr:colOff>
      <xdr:row>11</xdr:row>
      <xdr:rowOff>74100</xdr:rowOff>
    </xdr:to>
    <xdr:sp macro="" textlink="">
      <xdr:nvSpPr>
        <xdr:cNvPr id="19" name="Flowchart: Connector 18"/>
        <xdr:cNvSpPr>
          <a:spLocks noChangeAspect="1"/>
        </xdr:cNvSpPr>
      </xdr:nvSpPr>
      <xdr:spPr>
        <a:xfrm>
          <a:off x="1971675" y="1371600"/>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571499</xdr:colOff>
      <xdr:row>12</xdr:row>
      <xdr:rowOff>19049</xdr:rowOff>
    </xdr:from>
    <xdr:to>
      <xdr:col>4</xdr:col>
      <xdr:colOff>607499</xdr:colOff>
      <xdr:row>12</xdr:row>
      <xdr:rowOff>55049</xdr:rowOff>
    </xdr:to>
    <xdr:sp macro="" textlink="">
      <xdr:nvSpPr>
        <xdr:cNvPr id="20" name="Flowchart: Connector 19"/>
        <xdr:cNvSpPr>
          <a:spLocks noChangeAspect="1"/>
        </xdr:cNvSpPr>
      </xdr:nvSpPr>
      <xdr:spPr>
        <a:xfrm>
          <a:off x="1790699" y="1543049"/>
          <a:ext cx="36000" cy="36000"/>
        </a:xfrm>
        <a:prstGeom prst="flowChartConnector">
          <a:avLst/>
        </a:prstGeom>
        <a:solidFill>
          <a:schemeClr val="bg1"/>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104775</xdr:colOff>
      <xdr:row>12</xdr:row>
      <xdr:rowOff>152400</xdr:rowOff>
    </xdr:from>
    <xdr:to>
      <xdr:col>5</xdr:col>
      <xdr:colOff>140775</xdr:colOff>
      <xdr:row>12</xdr:row>
      <xdr:rowOff>188400</xdr:rowOff>
    </xdr:to>
    <xdr:sp macro="" textlink="">
      <xdr:nvSpPr>
        <xdr:cNvPr id="21" name="Flowchart: Connector 20"/>
        <xdr:cNvSpPr>
          <a:spLocks noChangeAspect="1"/>
        </xdr:cNvSpPr>
      </xdr:nvSpPr>
      <xdr:spPr>
        <a:xfrm>
          <a:off x="1933575" y="1676400"/>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428624</xdr:colOff>
      <xdr:row>11</xdr:row>
      <xdr:rowOff>133349</xdr:rowOff>
    </xdr:from>
    <xdr:to>
      <xdr:col>5</xdr:col>
      <xdr:colOff>464624</xdr:colOff>
      <xdr:row>11</xdr:row>
      <xdr:rowOff>169349</xdr:rowOff>
    </xdr:to>
    <xdr:sp macro="" textlink="">
      <xdr:nvSpPr>
        <xdr:cNvPr id="22" name="Flowchart: Connector 21"/>
        <xdr:cNvSpPr>
          <a:spLocks noChangeAspect="1"/>
        </xdr:cNvSpPr>
      </xdr:nvSpPr>
      <xdr:spPr>
        <a:xfrm>
          <a:off x="2257424" y="1466849"/>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161925</xdr:colOff>
      <xdr:row>7</xdr:row>
      <xdr:rowOff>85725</xdr:rowOff>
    </xdr:from>
    <xdr:to>
      <xdr:col>4</xdr:col>
      <xdr:colOff>413925</xdr:colOff>
      <xdr:row>8</xdr:row>
      <xdr:rowOff>147225</xdr:rowOff>
    </xdr:to>
    <xdr:sp macro="" textlink="">
      <xdr:nvSpPr>
        <xdr:cNvPr id="23" name="Flowchart: Summing Junction 22"/>
        <xdr:cNvSpPr>
          <a:spLocks noChangeAspect="1"/>
        </xdr:cNvSpPr>
      </xdr:nvSpPr>
      <xdr:spPr>
        <a:xfrm>
          <a:off x="1381125" y="657225"/>
          <a:ext cx="252000" cy="252000"/>
        </a:xfrm>
        <a:prstGeom prst="flowChartSummingJunction">
          <a:avLst/>
        </a:prstGeom>
        <a:solidFill>
          <a:srgbClr val="7030A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152400</xdr:colOff>
      <xdr:row>4</xdr:row>
      <xdr:rowOff>104775</xdr:rowOff>
    </xdr:from>
    <xdr:to>
      <xdr:col>6</xdr:col>
      <xdr:colOff>584400</xdr:colOff>
      <xdr:row>6</xdr:row>
      <xdr:rowOff>155775</xdr:rowOff>
    </xdr:to>
    <xdr:sp macro="" textlink="">
      <xdr:nvSpPr>
        <xdr:cNvPr id="25" name="Sun 24"/>
        <xdr:cNvSpPr>
          <a:spLocks noChangeAspect="1"/>
        </xdr:cNvSpPr>
      </xdr:nvSpPr>
      <xdr:spPr>
        <a:xfrm>
          <a:off x="2590800" y="104775"/>
          <a:ext cx="432000" cy="432000"/>
        </a:xfrm>
        <a:prstGeom prst="sun">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300037</xdr:colOff>
      <xdr:row>6</xdr:row>
      <xdr:rowOff>155775</xdr:rowOff>
    </xdr:from>
    <xdr:to>
      <xdr:col>6</xdr:col>
      <xdr:colOff>368400</xdr:colOff>
      <xdr:row>9</xdr:row>
      <xdr:rowOff>133349</xdr:rowOff>
    </xdr:to>
    <xdr:cxnSp macro="">
      <xdr:nvCxnSpPr>
        <xdr:cNvPr id="30" name="Straight Arrow Connector 29"/>
        <xdr:cNvCxnSpPr>
          <a:stCxn id="25" idx="2"/>
          <a:endCxn id="2" idx="1"/>
        </xdr:cNvCxnSpPr>
      </xdr:nvCxnSpPr>
      <xdr:spPr>
        <a:xfrm flipH="1">
          <a:off x="2738437" y="536775"/>
          <a:ext cx="68363" cy="549074"/>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368400</xdr:colOff>
      <xdr:row>6</xdr:row>
      <xdr:rowOff>155775</xdr:rowOff>
    </xdr:from>
    <xdr:to>
      <xdr:col>7</xdr:col>
      <xdr:colOff>371475</xdr:colOff>
      <xdr:row>10</xdr:row>
      <xdr:rowOff>123825</xdr:rowOff>
    </xdr:to>
    <xdr:cxnSp macro="">
      <xdr:nvCxnSpPr>
        <xdr:cNvPr id="33" name="Straight Arrow Connector 32"/>
        <xdr:cNvCxnSpPr>
          <a:stCxn id="25" idx="2"/>
        </xdr:cNvCxnSpPr>
      </xdr:nvCxnSpPr>
      <xdr:spPr>
        <a:xfrm>
          <a:off x="2806800" y="536775"/>
          <a:ext cx="612675" cy="730050"/>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438150</xdr:colOff>
      <xdr:row>6</xdr:row>
      <xdr:rowOff>155775</xdr:rowOff>
    </xdr:from>
    <xdr:to>
      <xdr:col>6</xdr:col>
      <xdr:colOff>368400</xdr:colOff>
      <xdr:row>10</xdr:row>
      <xdr:rowOff>76200</xdr:rowOff>
    </xdr:to>
    <xdr:cxnSp macro="">
      <xdr:nvCxnSpPr>
        <xdr:cNvPr id="35" name="Straight Arrow Connector 34"/>
        <xdr:cNvCxnSpPr>
          <a:stCxn id="25" idx="2"/>
        </xdr:cNvCxnSpPr>
      </xdr:nvCxnSpPr>
      <xdr:spPr>
        <a:xfrm flipH="1">
          <a:off x="2266950" y="536775"/>
          <a:ext cx="539850" cy="682425"/>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390525</xdr:colOff>
      <xdr:row>7</xdr:row>
      <xdr:rowOff>161925</xdr:rowOff>
    </xdr:from>
    <xdr:to>
      <xdr:col>7</xdr:col>
      <xdr:colOff>400050</xdr:colOff>
      <xdr:row>9</xdr:row>
      <xdr:rowOff>152402</xdr:rowOff>
    </xdr:to>
    <xdr:cxnSp macro="">
      <xdr:nvCxnSpPr>
        <xdr:cNvPr id="37" name="Straight Arrow Connector 36"/>
        <xdr:cNvCxnSpPr/>
      </xdr:nvCxnSpPr>
      <xdr:spPr>
        <a:xfrm flipH="1" flipV="1">
          <a:off x="3438525" y="733425"/>
          <a:ext cx="9525" cy="37147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323850</xdr:colOff>
      <xdr:row>7</xdr:row>
      <xdr:rowOff>9525</xdr:rowOff>
    </xdr:from>
    <xdr:to>
      <xdr:col>13</xdr:col>
      <xdr:colOff>561975</xdr:colOff>
      <xdr:row>7</xdr:row>
      <xdr:rowOff>19050</xdr:rowOff>
    </xdr:to>
    <xdr:cxnSp macro="">
      <xdr:nvCxnSpPr>
        <xdr:cNvPr id="42" name="Straight Arrow Connector 41"/>
        <xdr:cNvCxnSpPr/>
      </xdr:nvCxnSpPr>
      <xdr:spPr>
        <a:xfrm>
          <a:off x="8296275" y="1495425"/>
          <a:ext cx="847725" cy="9525"/>
        </a:xfrm>
        <a:prstGeom prst="straightConnector1">
          <a:avLst/>
        </a:prstGeom>
        <a:ln w="38100">
          <a:solidFill>
            <a:schemeClr val="accent3">
              <a:lumMod val="40000"/>
              <a:lumOff val="6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15</xdr:row>
      <xdr:rowOff>171450</xdr:rowOff>
    </xdr:from>
    <xdr:to>
      <xdr:col>17</xdr:col>
      <xdr:colOff>533400</xdr:colOff>
      <xdr:row>16</xdr:row>
      <xdr:rowOff>0</xdr:rowOff>
    </xdr:to>
    <xdr:cxnSp macro="">
      <xdr:nvCxnSpPr>
        <xdr:cNvPr id="36" name="Straight Connector 35"/>
        <xdr:cNvCxnSpPr/>
      </xdr:nvCxnSpPr>
      <xdr:spPr>
        <a:xfrm flipV="1">
          <a:off x="1238250" y="2266950"/>
          <a:ext cx="8439150" cy="19050"/>
        </a:xfrm>
        <a:prstGeom prst="line">
          <a:avLst/>
        </a:prstGeom>
        <a:ln w="38100">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13</xdr:row>
      <xdr:rowOff>133350</xdr:rowOff>
    </xdr:from>
    <xdr:to>
      <xdr:col>4</xdr:col>
      <xdr:colOff>542925</xdr:colOff>
      <xdr:row>16</xdr:row>
      <xdr:rowOff>0</xdr:rowOff>
    </xdr:to>
    <xdr:cxnSp macro="">
      <xdr:nvCxnSpPr>
        <xdr:cNvPr id="39" name="Elbow Connector 38"/>
        <xdr:cNvCxnSpPr/>
      </xdr:nvCxnSpPr>
      <xdr:spPr>
        <a:xfrm flipV="1">
          <a:off x="2486025" y="2743200"/>
          <a:ext cx="495300" cy="438150"/>
        </a:xfrm>
        <a:prstGeom prst="bentConnector3">
          <a:avLst>
            <a:gd name="adj1" fmla="val -57692"/>
          </a:avLst>
        </a:prstGeom>
        <a:ln w="38100">
          <a:solidFill>
            <a:schemeClr val="accent6">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371475</xdr:colOff>
      <xdr:row>14</xdr:row>
      <xdr:rowOff>9525</xdr:rowOff>
    </xdr:from>
    <xdr:to>
      <xdr:col>18</xdr:col>
      <xdr:colOff>80550</xdr:colOff>
      <xdr:row>15</xdr:row>
      <xdr:rowOff>71025</xdr:rowOff>
    </xdr:to>
    <xdr:sp macro="" textlink="">
      <xdr:nvSpPr>
        <xdr:cNvPr id="41" name="Flowchart: Summing Junction 40"/>
        <xdr:cNvSpPr>
          <a:spLocks noChangeAspect="1"/>
        </xdr:cNvSpPr>
      </xdr:nvSpPr>
      <xdr:spPr>
        <a:xfrm>
          <a:off x="14992350" y="2828925"/>
          <a:ext cx="318675" cy="252000"/>
        </a:xfrm>
        <a:prstGeom prst="flowChartSummingJunction">
          <a:avLst/>
        </a:prstGeom>
        <a:solidFill>
          <a:schemeClr val="accent6">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1971675</xdr:colOff>
      <xdr:row>68</xdr:row>
      <xdr:rowOff>161925</xdr:rowOff>
    </xdr:from>
    <xdr:to>
      <xdr:col>3</xdr:col>
      <xdr:colOff>171450</xdr:colOff>
      <xdr:row>71</xdr:row>
      <xdr:rowOff>171450</xdr:rowOff>
    </xdr:to>
    <xdr:sp macro="" textlink="">
      <xdr:nvSpPr>
        <xdr:cNvPr id="5" name="Up Arrow 4"/>
        <xdr:cNvSpPr/>
      </xdr:nvSpPr>
      <xdr:spPr>
        <a:xfrm>
          <a:off x="4505325" y="13649325"/>
          <a:ext cx="1076325" cy="619125"/>
        </a:xfrm>
        <a:prstGeom prst="up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219075</xdr:colOff>
      <xdr:row>7</xdr:row>
      <xdr:rowOff>66675</xdr:rowOff>
    </xdr:from>
    <xdr:to>
      <xdr:col>12</xdr:col>
      <xdr:colOff>471075</xdr:colOff>
      <xdr:row>8</xdr:row>
      <xdr:rowOff>128175</xdr:rowOff>
    </xdr:to>
    <xdr:sp macro="" textlink="">
      <xdr:nvSpPr>
        <xdr:cNvPr id="38" name="Flowchart: Summing Junction 37"/>
        <xdr:cNvSpPr>
          <a:spLocks noChangeAspect="1"/>
        </xdr:cNvSpPr>
      </xdr:nvSpPr>
      <xdr:spPr>
        <a:xfrm>
          <a:off x="11249025" y="1552575"/>
          <a:ext cx="252000" cy="252000"/>
        </a:xfrm>
        <a:prstGeom prst="flowChartSummingJunction">
          <a:avLst/>
        </a:prstGeom>
        <a:solidFill>
          <a:schemeClr val="accent3">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66675</xdr:colOff>
      <xdr:row>6</xdr:row>
      <xdr:rowOff>85725</xdr:rowOff>
    </xdr:from>
    <xdr:to>
      <xdr:col>12</xdr:col>
      <xdr:colOff>174675</xdr:colOff>
      <xdr:row>7</xdr:row>
      <xdr:rowOff>111225</xdr:rowOff>
    </xdr:to>
    <xdr:sp macro="" textlink="">
      <xdr:nvSpPr>
        <xdr:cNvPr id="9" name="Flowchart: Collate 8"/>
        <xdr:cNvSpPr>
          <a:spLocks noChangeAspect="1"/>
        </xdr:cNvSpPr>
      </xdr:nvSpPr>
      <xdr:spPr>
        <a:xfrm>
          <a:off x="11096625" y="1381125"/>
          <a:ext cx="108000" cy="216000"/>
        </a:xfrm>
        <a:prstGeom prst="flowChartCollat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12</xdr:col>
      <xdr:colOff>542925</xdr:colOff>
      <xdr:row>6</xdr:row>
      <xdr:rowOff>85725</xdr:rowOff>
    </xdr:from>
    <xdr:to>
      <xdr:col>13</xdr:col>
      <xdr:colOff>41325</xdr:colOff>
      <xdr:row>7</xdr:row>
      <xdr:rowOff>111225</xdr:rowOff>
    </xdr:to>
    <xdr:sp macro="" textlink="">
      <xdr:nvSpPr>
        <xdr:cNvPr id="46" name="Flowchart: Collate 45"/>
        <xdr:cNvSpPr>
          <a:spLocks noChangeAspect="1"/>
        </xdr:cNvSpPr>
      </xdr:nvSpPr>
      <xdr:spPr>
        <a:xfrm>
          <a:off x="11572875" y="1381125"/>
          <a:ext cx="108000" cy="216000"/>
        </a:xfrm>
        <a:prstGeom prst="flowChartCollat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552450</xdr:colOff>
      <xdr:row>15</xdr:row>
      <xdr:rowOff>57150</xdr:rowOff>
    </xdr:from>
    <xdr:to>
      <xdr:col>17</xdr:col>
      <xdr:colOff>50850</xdr:colOff>
      <xdr:row>16</xdr:row>
      <xdr:rowOff>82650</xdr:rowOff>
    </xdr:to>
    <xdr:sp macro="" textlink="">
      <xdr:nvSpPr>
        <xdr:cNvPr id="60" name="Flowchart: Collate 59"/>
        <xdr:cNvSpPr>
          <a:spLocks noChangeAspect="1"/>
        </xdr:cNvSpPr>
      </xdr:nvSpPr>
      <xdr:spPr>
        <a:xfrm>
          <a:off x="14020800" y="3067050"/>
          <a:ext cx="108000" cy="216000"/>
        </a:xfrm>
        <a:prstGeom prst="flowChartCollate">
          <a:avLst/>
        </a:prstGeom>
        <a:solidFill>
          <a:schemeClr val="accent6">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17</xdr:col>
      <xdr:colOff>485775</xdr:colOff>
      <xdr:row>16</xdr:row>
      <xdr:rowOff>85725</xdr:rowOff>
    </xdr:from>
    <xdr:to>
      <xdr:col>17</xdr:col>
      <xdr:colOff>593775</xdr:colOff>
      <xdr:row>17</xdr:row>
      <xdr:rowOff>111225</xdr:rowOff>
    </xdr:to>
    <xdr:sp macro="" textlink="">
      <xdr:nvSpPr>
        <xdr:cNvPr id="63" name="Flowchart: Collate 62"/>
        <xdr:cNvSpPr>
          <a:spLocks noChangeAspect="1"/>
        </xdr:cNvSpPr>
      </xdr:nvSpPr>
      <xdr:spPr>
        <a:xfrm>
          <a:off x="14563725" y="3286125"/>
          <a:ext cx="108000" cy="216000"/>
        </a:xfrm>
        <a:prstGeom prst="flowChartCollate">
          <a:avLst/>
        </a:prstGeom>
        <a:solidFill>
          <a:schemeClr val="accent6">
            <a:lumMod val="50000"/>
          </a:schemeClr>
        </a:solidFill>
        <a:ln w="9525">
          <a:solidFill>
            <a:schemeClr val="tx1"/>
          </a:solidFill>
        </a:ln>
        <a:scene3d>
          <a:camera prst="orthographicFront">
            <a:rot lat="54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17</xdr:col>
      <xdr:colOff>485775</xdr:colOff>
      <xdr:row>16</xdr:row>
      <xdr:rowOff>76200</xdr:rowOff>
    </xdr:from>
    <xdr:to>
      <xdr:col>17</xdr:col>
      <xdr:colOff>593775</xdr:colOff>
      <xdr:row>17</xdr:row>
      <xdr:rowOff>101700</xdr:rowOff>
    </xdr:to>
    <xdr:sp macro="" textlink="">
      <xdr:nvSpPr>
        <xdr:cNvPr id="65" name="Flowchart: Collate 64"/>
        <xdr:cNvSpPr>
          <a:spLocks noChangeAspect="1"/>
        </xdr:cNvSpPr>
      </xdr:nvSpPr>
      <xdr:spPr>
        <a:xfrm>
          <a:off x="14563725" y="3276600"/>
          <a:ext cx="108000" cy="216000"/>
        </a:xfrm>
        <a:prstGeom prst="flowChartCollate">
          <a:avLst/>
        </a:prstGeom>
        <a:solidFill>
          <a:schemeClr val="accent6">
            <a:lumMod val="50000"/>
          </a:schemeClr>
        </a:solidFill>
        <a:ln w="9525">
          <a:solidFill>
            <a:schemeClr val="tx1"/>
          </a:solidFill>
        </a:ln>
        <a:scene3d>
          <a:camera prst="orthographicFront">
            <a:rot lat="0" lon="0" rev="5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17</xdr:col>
      <xdr:colOff>344318</xdr:colOff>
      <xdr:row>11</xdr:row>
      <xdr:rowOff>38182</xdr:rowOff>
    </xdr:from>
    <xdr:to>
      <xdr:col>18</xdr:col>
      <xdr:colOff>94718</xdr:colOff>
      <xdr:row>13</xdr:row>
      <xdr:rowOff>17182</xdr:rowOff>
    </xdr:to>
    <xdr:sp macro="" textlink="">
      <xdr:nvSpPr>
        <xdr:cNvPr id="28" name="Cross 27"/>
        <xdr:cNvSpPr>
          <a:spLocks noChangeAspect="1"/>
        </xdr:cNvSpPr>
      </xdr:nvSpPr>
      <xdr:spPr>
        <a:xfrm rot="19242547">
          <a:off x="14965193" y="2286082"/>
          <a:ext cx="360000" cy="360000"/>
        </a:xfrm>
        <a:prstGeom prst="plus">
          <a:avLst>
            <a:gd name="adj" fmla="val 4479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515768</xdr:colOff>
      <xdr:row>6</xdr:row>
      <xdr:rowOff>9607</xdr:rowOff>
    </xdr:from>
    <xdr:to>
      <xdr:col>17</xdr:col>
      <xdr:colOff>544343</xdr:colOff>
      <xdr:row>12</xdr:row>
      <xdr:rowOff>47707</xdr:rowOff>
    </xdr:to>
    <xdr:cxnSp macro="">
      <xdr:nvCxnSpPr>
        <xdr:cNvPr id="49" name="Straight Connector 48"/>
        <xdr:cNvCxnSpPr/>
      </xdr:nvCxnSpPr>
      <xdr:spPr>
        <a:xfrm flipV="1">
          <a:off x="15136643" y="1305007"/>
          <a:ext cx="28575" cy="118110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285750</xdr:colOff>
      <xdr:row>4</xdr:row>
      <xdr:rowOff>95249</xdr:rowOff>
    </xdr:from>
    <xdr:to>
      <xdr:col>4</xdr:col>
      <xdr:colOff>361950</xdr:colOff>
      <xdr:row>10</xdr:row>
      <xdr:rowOff>47624</xdr:rowOff>
    </xdr:to>
    <xdr:sp macro="" textlink="">
      <xdr:nvSpPr>
        <xdr:cNvPr id="6" name="Flowchart: Merge 5"/>
        <xdr:cNvSpPr/>
      </xdr:nvSpPr>
      <xdr:spPr>
        <a:xfrm>
          <a:off x="4029075" y="857249"/>
          <a:ext cx="1638300" cy="1095375"/>
        </a:xfrm>
        <a:prstGeom prst="flowChartMerge">
          <a:avLst/>
        </a:prstGeom>
        <a:solidFill>
          <a:schemeClr val="accent3">
            <a:lumMod val="60000"/>
            <a:lumOff val="40000"/>
          </a:schemeClr>
        </a:solidFill>
        <a:effectLst>
          <a:innerShdw blurRad="63500" dist="2540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Settlement</a:t>
          </a:r>
        </a:p>
        <a:p>
          <a:pPr algn="ctr"/>
          <a:r>
            <a:rPr lang="en-GB" sz="1100"/>
            <a:t>Tank</a:t>
          </a:r>
        </a:p>
      </xdr:txBody>
    </xdr:sp>
    <xdr:clientData/>
  </xdr:twoCellAnchor>
  <xdr:twoCellAnchor>
    <xdr:from>
      <xdr:col>1</xdr:col>
      <xdr:colOff>523875</xdr:colOff>
      <xdr:row>3</xdr:row>
      <xdr:rowOff>57150</xdr:rowOff>
    </xdr:from>
    <xdr:to>
      <xdr:col>3</xdr:col>
      <xdr:colOff>283083</xdr:colOff>
      <xdr:row>5</xdr:row>
      <xdr:rowOff>160782</xdr:rowOff>
    </xdr:to>
    <xdr:sp macro="" textlink="">
      <xdr:nvSpPr>
        <xdr:cNvPr id="7" name="Right Arrow 6"/>
        <xdr:cNvSpPr/>
      </xdr:nvSpPr>
      <xdr:spPr>
        <a:xfrm>
          <a:off x="2190750" y="628650"/>
          <a:ext cx="1835658" cy="484632"/>
        </a:xfrm>
        <a:prstGeom prst="rightArrow">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0000"/>
              </a:solidFill>
            </a:rPr>
            <a:t>Algal  Feed</a:t>
          </a:r>
        </a:p>
      </xdr:txBody>
    </xdr:sp>
    <xdr:clientData/>
  </xdr:twoCellAnchor>
  <xdr:twoCellAnchor>
    <xdr:from>
      <xdr:col>4</xdr:col>
      <xdr:colOff>390525</xdr:colOff>
      <xdr:row>2</xdr:row>
      <xdr:rowOff>114300</xdr:rowOff>
    </xdr:from>
    <xdr:to>
      <xdr:col>6</xdr:col>
      <xdr:colOff>149733</xdr:colOff>
      <xdr:row>5</xdr:row>
      <xdr:rowOff>27432</xdr:rowOff>
    </xdr:to>
    <xdr:sp macro="" textlink="">
      <xdr:nvSpPr>
        <xdr:cNvPr id="8" name="Right Arrow 7"/>
        <xdr:cNvSpPr/>
      </xdr:nvSpPr>
      <xdr:spPr>
        <a:xfrm>
          <a:off x="5695950" y="495300"/>
          <a:ext cx="2721483" cy="484632"/>
        </a:xfrm>
        <a:prstGeom prst="rightArrow">
          <a:avLst/>
        </a:prstGeom>
        <a:solidFill>
          <a:schemeClr val="accent3">
            <a:lumMod val="40000"/>
            <a:lumOff val="60000"/>
          </a:schemeClr>
        </a:solidFill>
        <a:ln>
          <a:solidFill>
            <a:schemeClr val="accent3">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Returns</a:t>
          </a:r>
        </a:p>
      </xdr:txBody>
    </xdr:sp>
    <xdr:clientData/>
  </xdr:twoCellAnchor>
  <xdr:twoCellAnchor>
    <xdr:from>
      <xdr:col>3</xdr:col>
      <xdr:colOff>1123950</xdr:colOff>
      <xdr:row>9</xdr:row>
      <xdr:rowOff>104775</xdr:rowOff>
    </xdr:from>
    <xdr:to>
      <xdr:col>4</xdr:col>
      <xdr:colOff>1730883</xdr:colOff>
      <xdr:row>12</xdr:row>
      <xdr:rowOff>17907</xdr:rowOff>
    </xdr:to>
    <xdr:sp macro="" textlink="">
      <xdr:nvSpPr>
        <xdr:cNvPr id="9" name="Right Arrow 8"/>
        <xdr:cNvSpPr/>
      </xdr:nvSpPr>
      <xdr:spPr>
        <a:xfrm>
          <a:off x="4867275" y="1819275"/>
          <a:ext cx="2169033" cy="484632"/>
        </a:xfrm>
        <a:prstGeom prst="rightArrow">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Algal Conc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585788</xdr:colOff>
      <xdr:row>3</xdr:row>
      <xdr:rowOff>176212</xdr:rowOff>
    </xdr:from>
    <xdr:to>
      <xdr:col>7</xdr:col>
      <xdr:colOff>52388</xdr:colOff>
      <xdr:row>10</xdr:row>
      <xdr:rowOff>52387</xdr:rowOff>
    </xdr:to>
    <xdr:sp macro="" textlink="">
      <xdr:nvSpPr>
        <xdr:cNvPr id="9" name="Flowchart: Direct Access Storage 8"/>
        <xdr:cNvSpPr/>
      </xdr:nvSpPr>
      <xdr:spPr>
        <a:xfrm rot="16200000">
          <a:off x="5086350" y="1066800"/>
          <a:ext cx="1247775" cy="685800"/>
        </a:xfrm>
        <a:prstGeom prst="flowChartMagneticDrum">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19051</xdr:colOff>
      <xdr:row>3</xdr:row>
      <xdr:rowOff>4</xdr:rowOff>
    </xdr:from>
    <xdr:to>
      <xdr:col>7</xdr:col>
      <xdr:colOff>38100</xdr:colOff>
      <xdr:row>5</xdr:row>
      <xdr:rowOff>57150</xdr:rowOff>
    </xdr:to>
    <xdr:cxnSp macro="">
      <xdr:nvCxnSpPr>
        <xdr:cNvPr id="10" name="Straight Arrow Connector 9"/>
        <xdr:cNvCxnSpPr/>
      </xdr:nvCxnSpPr>
      <xdr:spPr>
        <a:xfrm flipH="1" flipV="1">
          <a:off x="6019801" y="609604"/>
          <a:ext cx="19049" cy="47624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290512</xdr:colOff>
      <xdr:row>10</xdr:row>
      <xdr:rowOff>57150</xdr:rowOff>
    </xdr:from>
    <xdr:to>
      <xdr:col>6</xdr:col>
      <xdr:colOff>295275</xdr:colOff>
      <xdr:row>16</xdr:row>
      <xdr:rowOff>85725</xdr:rowOff>
    </xdr:to>
    <xdr:cxnSp macro="">
      <xdr:nvCxnSpPr>
        <xdr:cNvPr id="11" name="Straight Arrow Connector 10"/>
        <xdr:cNvCxnSpPr/>
      </xdr:nvCxnSpPr>
      <xdr:spPr>
        <a:xfrm>
          <a:off x="5681662" y="2038350"/>
          <a:ext cx="4763" cy="1171575"/>
        </a:xfrm>
        <a:prstGeom prst="straightConnector1">
          <a:avLst/>
        </a:prstGeom>
        <a:ln w="38100">
          <a:solidFill>
            <a:schemeClr val="accent6">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10</xdr:row>
      <xdr:rowOff>180975</xdr:rowOff>
    </xdr:from>
    <xdr:to>
      <xdr:col>6</xdr:col>
      <xdr:colOff>432975</xdr:colOff>
      <xdr:row>12</xdr:row>
      <xdr:rowOff>51975</xdr:rowOff>
    </xdr:to>
    <xdr:sp macro="" textlink="">
      <xdr:nvSpPr>
        <xdr:cNvPr id="12" name="Flowchart: Summing Junction 11"/>
        <xdr:cNvSpPr>
          <a:spLocks noChangeAspect="1"/>
        </xdr:cNvSpPr>
      </xdr:nvSpPr>
      <xdr:spPr>
        <a:xfrm>
          <a:off x="5505450" y="2162175"/>
          <a:ext cx="318675" cy="252000"/>
        </a:xfrm>
        <a:prstGeom prst="flowChartSummingJunction">
          <a:avLst/>
        </a:prstGeom>
        <a:solidFill>
          <a:schemeClr val="accent6">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447675</xdr:colOff>
      <xdr:row>12</xdr:row>
      <xdr:rowOff>9525</xdr:rowOff>
    </xdr:from>
    <xdr:to>
      <xdr:col>5</xdr:col>
      <xdr:colOff>555675</xdr:colOff>
      <xdr:row>13</xdr:row>
      <xdr:rowOff>35025</xdr:rowOff>
    </xdr:to>
    <xdr:sp macro="" textlink="">
      <xdr:nvSpPr>
        <xdr:cNvPr id="13" name="Flowchart: Collate 12"/>
        <xdr:cNvSpPr>
          <a:spLocks noChangeAspect="1"/>
        </xdr:cNvSpPr>
      </xdr:nvSpPr>
      <xdr:spPr>
        <a:xfrm>
          <a:off x="5229225" y="2371725"/>
          <a:ext cx="108000" cy="216000"/>
        </a:xfrm>
        <a:prstGeom prst="flowChartCollate">
          <a:avLst/>
        </a:prstGeom>
        <a:solidFill>
          <a:schemeClr val="accent6">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6</xdr:col>
      <xdr:colOff>485775</xdr:colOff>
      <xdr:row>13</xdr:row>
      <xdr:rowOff>85725</xdr:rowOff>
    </xdr:from>
    <xdr:to>
      <xdr:col>6</xdr:col>
      <xdr:colOff>593775</xdr:colOff>
      <xdr:row>14</xdr:row>
      <xdr:rowOff>111225</xdr:rowOff>
    </xdr:to>
    <xdr:sp macro="" textlink="">
      <xdr:nvSpPr>
        <xdr:cNvPr id="14" name="Flowchart: Collate 13"/>
        <xdr:cNvSpPr>
          <a:spLocks noChangeAspect="1"/>
        </xdr:cNvSpPr>
      </xdr:nvSpPr>
      <xdr:spPr>
        <a:xfrm>
          <a:off x="14563725" y="3286125"/>
          <a:ext cx="108000" cy="216000"/>
        </a:xfrm>
        <a:prstGeom prst="flowChartCollate">
          <a:avLst/>
        </a:prstGeom>
        <a:solidFill>
          <a:schemeClr val="accent6">
            <a:lumMod val="50000"/>
          </a:schemeClr>
        </a:solidFill>
        <a:ln w="9525">
          <a:solidFill>
            <a:schemeClr val="tx1"/>
          </a:solidFill>
        </a:ln>
        <a:scene3d>
          <a:camera prst="orthographicFront">
            <a:rot lat="54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6</xdr:col>
      <xdr:colOff>219075</xdr:colOff>
      <xdr:row>13</xdr:row>
      <xdr:rowOff>95250</xdr:rowOff>
    </xdr:from>
    <xdr:to>
      <xdr:col>6</xdr:col>
      <xdr:colOff>327075</xdr:colOff>
      <xdr:row>14</xdr:row>
      <xdr:rowOff>120750</xdr:rowOff>
    </xdr:to>
    <xdr:sp macro="" textlink="">
      <xdr:nvSpPr>
        <xdr:cNvPr id="15" name="Flowchart: Collate 14"/>
        <xdr:cNvSpPr>
          <a:spLocks noChangeAspect="1"/>
        </xdr:cNvSpPr>
      </xdr:nvSpPr>
      <xdr:spPr>
        <a:xfrm>
          <a:off x="3876675" y="2571750"/>
          <a:ext cx="108000" cy="216000"/>
        </a:xfrm>
        <a:prstGeom prst="flowChartCollate">
          <a:avLst/>
        </a:prstGeom>
        <a:solidFill>
          <a:schemeClr val="accent6">
            <a:lumMod val="50000"/>
          </a:schemeClr>
        </a:solidFill>
        <a:ln w="9525">
          <a:solidFill>
            <a:schemeClr val="tx1"/>
          </a:solidFill>
        </a:ln>
        <a:scene3d>
          <a:camera prst="orthographicFront">
            <a:rot lat="0" lon="0" rev="5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4</xdr:col>
      <xdr:colOff>266700</xdr:colOff>
      <xdr:row>5</xdr:row>
      <xdr:rowOff>28575</xdr:rowOff>
    </xdr:from>
    <xdr:to>
      <xdr:col>5</xdr:col>
      <xdr:colOff>571500</xdr:colOff>
      <xdr:row>5</xdr:row>
      <xdr:rowOff>28575</xdr:rowOff>
    </xdr:to>
    <xdr:cxnSp macro="">
      <xdr:nvCxnSpPr>
        <xdr:cNvPr id="19" name="Straight Arrow Connector 18"/>
        <xdr:cNvCxnSpPr/>
      </xdr:nvCxnSpPr>
      <xdr:spPr>
        <a:xfrm>
          <a:off x="4438650" y="1057275"/>
          <a:ext cx="914400" cy="0"/>
        </a:xfrm>
        <a:prstGeom prst="straightConnector1">
          <a:avLst/>
        </a:prstGeom>
        <a:ln w="38100">
          <a:solidFill>
            <a:schemeClr val="accent3">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12</xdr:row>
      <xdr:rowOff>133350</xdr:rowOff>
    </xdr:from>
    <xdr:to>
      <xdr:col>6</xdr:col>
      <xdr:colOff>314325</xdr:colOff>
      <xdr:row>12</xdr:row>
      <xdr:rowOff>142875</xdr:rowOff>
    </xdr:to>
    <xdr:cxnSp macro="">
      <xdr:nvCxnSpPr>
        <xdr:cNvPr id="21" name="Straight Arrow Connector 20"/>
        <xdr:cNvCxnSpPr/>
      </xdr:nvCxnSpPr>
      <xdr:spPr>
        <a:xfrm flipH="1">
          <a:off x="4848225" y="2495550"/>
          <a:ext cx="857250" cy="9525"/>
        </a:xfrm>
        <a:prstGeom prst="straightConnector1">
          <a:avLst/>
        </a:prstGeom>
        <a:ln w="38100">
          <a:solidFill>
            <a:schemeClr val="accent6">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71</xdr:row>
      <xdr:rowOff>0</xdr:rowOff>
    </xdr:from>
    <xdr:to>
      <xdr:col>17</xdr:col>
      <xdr:colOff>228600</xdr:colOff>
      <xdr:row>73</xdr:row>
      <xdr:rowOff>9525</xdr:rowOff>
    </xdr:to>
    <xdr:pic>
      <xdr:nvPicPr>
        <xdr:cNvPr id="17" name="Picture 16"/>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192250" y="13363575"/>
          <a:ext cx="1638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74</xdr:row>
      <xdr:rowOff>0</xdr:rowOff>
    </xdr:from>
    <xdr:to>
      <xdr:col>18</xdr:col>
      <xdr:colOff>257175</xdr:colOff>
      <xdr:row>76</xdr:row>
      <xdr:rowOff>19050</xdr:rowOff>
    </xdr:to>
    <xdr:pic>
      <xdr:nvPicPr>
        <xdr:cNvPr id="23" name="Picture 2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344650" y="13954125"/>
          <a:ext cx="227647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138114</xdr:colOff>
      <xdr:row>7</xdr:row>
      <xdr:rowOff>80962</xdr:rowOff>
    </xdr:from>
    <xdr:to>
      <xdr:col>6</xdr:col>
      <xdr:colOff>498114</xdr:colOff>
      <xdr:row>9</xdr:row>
      <xdr:rowOff>59962</xdr:rowOff>
    </xdr:to>
    <xdr:sp macro="" textlink="">
      <xdr:nvSpPr>
        <xdr:cNvPr id="18" name="Cross 17"/>
        <xdr:cNvSpPr>
          <a:spLocks noChangeAspect="1"/>
        </xdr:cNvSpPr>
      </xdr:nvSpPr>
      <xdr:spPr>
        <a:xfrm rot="19242547">
          <a:off x="5529264" y="1490662"/>
          <a:ext cx="360000" cy="360000"/>
        </a:xfrm>
        <a:prstGeom prst="plus">
          <a:avLst>
            <a:gd name="adj" fmla="val 44792"/>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333375</xdr:colOff>
      <xdr:row>2</xdr:row>
      <xdr:rowOff>0</xdr:rowOff>
    </xdr:from>
    <xdr:to>
      <xdr:col>6</xdr:col>
      <xdr:colOff>352425</xdr:colOff>
      <xdr:row>8</xdr:row>
      <xdr:rowOff>38100</xdr:rowOff>
    </xdr:to>
    <xdr:cxnSp macro="">
      <xdr:nvCxnSpPr>
        <xdr:cNvPr id="4" name="Straight Connector 3"/>
        <xdr:cNvCxnSpPr/>
      </xdr:nvCxnSpPr>
      <xdr:spPr>
        <a:xfrm flipV="1">
          <a:off x="5724525" y="381000"/>
          <a:ext cx="19050" cy="125730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504824</xdr:colOff>
      <xdr:row>8</xdr:row>
      <xdr:rowOff>133349</xdr:rowOff>
    </xdr:from>
    <xdr:to>
      <xdr:col>11</xdr:col>
      <xdr:colOff>95249</xdr:colOff>
      <xdr:row>13</xdr:row>
      <xdr:rowOff>44849</xdr:rowOff>
    </xdr:to>
    <xdr:sp macro="" textlink="">
      <xdr:nvSpPr>
        <xdr:cNvPr id="18" name="Flowchart: Magnetic Disk 17"/>
        <xdr:cNvSpPr/>
      </xdr:nvSpPr>
      <xdr:spPr>
        <a:xfrm>
          <a:off x="6591299" y="2000249"/>
          <a:ext cx="2028825" cy="864000"/>
        </a:xfrm>
        <a:prstGeom prst="flowChartMagneticDisk">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219075</xdr:colOff>
      <xdr:row>10</xdr:row>
      <xdr:rowOff>19050</xdr:rowOff>
    </xdr:from>
    <xdr:to>
      <xdr:col>7</xdr:col>
      <xdr:colOff>495300</xdr:colOff>
      <xdr:row>10</xdr:row>
      <xdr:rowOff>19050</xdr:rowOff>
    </xdr:to>
    <xdr:cxnSp macro="">
      <xdr:nvCxnSpPr>
        <xdr:cNvPr id="19" name="Straight Arrow Connector 18"/>
        <xdr:cNvCxnSpPr/>
      </xdr:nvCxnSpPr>
      <xdr:spPr>
        <a:xfrm>
          <a:off x="5629275" y="2266950"/>
          <a:ext cx="952500" cy="0"/>
        </a:xfrm>
        <a:prstGeom prst="straightConnector1">
          <a:avLst/>
        </a:prstGeom>
        <a:ln w="38100">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9</xdr:row>
      <xdr:rowOff>76200</xdr:rowOff>
    </xdr:from>
    <xdr:to>
      <xdr:col>6</xdr:col>
      <xdr:colOff>223425</xdr:colOff>
      <xdr:row>10</xdr:row>
      <xdr:rowOff>137700</xdr:rowOff>
    </xdr:to>
    <xdr:sp macro="" textlink="">
      <xdr:nvSpPr>
        <xdr:cNvPr id="20" name="Flowchart: Summing Junction 19"/>
        <xdr:cNvSpPr>
          <a:spLocks noChangeAspect="1"/>
        </xdr:cNvSpPr>
      </xdr:nvSpPr>
      <xdr:spPr>
        <a:xfrm>
          <a:off x="5410200" y="2133600"/>
          <a:ext cx="223425" cy="252000"/>
        </a:xfrm>
        <a:prstGeom prst="flowChartSummingJunction">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581025</xdr:colOff>
      <xdr:row>10</xdr:row>
      <xdr:rowOff>28575</xdr:rowOff>
    </xdr:from>
    <xdr:to>
      <xdr:col>9</xdr:col>
      <xdr:colOff>584073</xdr:colOff>
      <xdr:row>13</xdr:row>
      <xdr:rowOff>69723</xdr:rowOff>
    </xdr:to>
    <xdr:sp macro="" textlink="">
      <xdr:nvSpPr>
        <xdr:cNvPr id="21" name="Flowchart: Or 20"/>
        <xdr:cNvSpPr/>
      </xdr:nvSpPr>
      <xdr:spPr>
        <a:xfrm>
          <a:off x="7277100" y="2276475"/>
          <a:ext cx="612648" cy="612648"/>
        </a:xfrm>
        <a:prstGeom prst="flowChartOr">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438151</xdr:colOff>
      <xdr:row>4</xdr:row>
      <xdr:rowOff>76199</xdr:rowOff>
    </xdr:from>
    <xdr:to>
      <xdr:col>8</xdr:col>
      <xdr:colOff>295275</xdr:colOff>
      <xdr:row>12</xdr:row>
      <xdr:rowOff>133353</xdr:rowOff>
    </xdr:to>
    <xdr:cxnSp macro="">
      <xdr:nvCxnSpPr>
        <xdr:cNvPr id="22" name="Elbow Connector 21"/>
        <xdr:cNvCxnSpPr/>
      </xdr:nvCxnSpPr>
      <xdr:spPr>
        <a:xfrm rot="16200000" flipH="1">
          <a:off x="5629274" y="1400176"/>
          <a:ext cx="1581154" cy="1142999"/>
        </a:xfrm>
        <a:prstGeom prst="bentConnector3">
          <a:avLst>
            <a:gd name="adj1" fmla="val 32530"/>
          </a:avLst>
        </a:prstGeom>
        <a:ln w="381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10</xdr:row>
      <xdr:rowOff>38100</xdr:rowOff>
    </xdr:from>
    <xdr:to>
      <xdr:col>8</xdr:col>
      <xdr:colOff>178875</xdr:colOff>
      <xdr:row>10</xdr:row>
      <xdr:rowOff>74100</xdr:rowOff>
    </xdr:to>
    <xdr:sp macro="" textlink="">
      <xdr:nvSpPr>
        <xdr:cNvPr id="23" name="Flowchart: Connector 22"/>
        <xdr:cNvSpPr>
          <a:spLocks noChangeAspect="1"/>
        </xdr:cNvSpPr>
      </xdr:nvSpPr>
      <xdr:spPr>
        <a:xfrm>
          <a:off x="6838950" y="2286000"/>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571499</xdr:colOff>
      <xdr:row>11</xdr:row>
      <xdr:rowOff>19049</xdr:rowOff>
    </xdr:from>
    <xdr:to>
      <xdr:col>7</xdr:col>
      <xdr:colOff>607499</xdr:colOff>
      <xdr:row>11</xdr:row>
      <xdr:rowOff>55049</xdr:rowOff>
    </xdr:to>
    <xdr:sp macro="" textlink="">
      <xdr:nvSpPr>
        <xdr:cNvPr id="24" name="Flowchart: Connector 23"/>
        <xdr:cNvSpPr>
          <a:spLocks noChangeAspect="1"/>
        </xdr:cNvSpPr>
      </xdr:nvSpPr>
      <xdr:spPr>
        <a:xfrm>
          <a:off x="6657974" y="2457449"/>
          <a:ext cx="36000" cy="36000"/>
        </a:xfrm>
        <a:prstGeom prst="flowChartConnector">
          <a:avLst/>
        </a:prstGeom>
        <a:solidFill>
          <a:schemeClr val="bg1"/>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104775</xdr:colOff>
      <xdr:row>11</xdr:row>
      <xdr:rowOff>152400</xdr:rowOff>
    </xdr:from>
    <xdr:to>
      <xdr:col>8</xdr:col>
      <xdr:colOff>140775</xdr:colOff>
      <xdr:row>11</xdr:row>
      <xdr:rowOff>188400</xdr:rowOff>
    </xdr:to>
    <xdr:sp macro="" textlink="">
      <xdr:nvSpPr>
        <xdr:cNvPr id="25" name="Flowchart: Connector 24"/>
        <xdr:cNvSpPr>
          <a:spLocks noChangeAspect="1"/>
        </xdr:cNvSpPr>
      </xdr:nvSpPr>
      <xdr:spPr>
        <a:xfrm>
          <a:off x="6800850" y="2590800"/>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428624</xdr:colOff>
      <xdr:row>10</xdr:row>
      <xdr:rowOff>133349</xdr:rowOff>
    </xdr:from>
    <xdr:to>
      <xdr:col>8</xdr:col>
      <xdr:colOff>464624</xdr:colOff>
      <xdr:row>10</xdr:row>
      <xdr:rowOff>169349</xdr:rowOff>
    </xdr:to>
    <xdr:sp macro="" textlink="">
      <xdr:nvSpPr>
        <xdr:cNvPr id="26" name="Flowchart: Connector 25"/>
        <xdr:cNvSpPr>
          <a:spLocks noChangeAspect="1"/>
        </xdr:cNvSpPr>
      </xdr:nvSpPr>
      <xdr:spPr>
        <a:xfrm>
          <a:off x="7124699" y="2381249"/>
          <a:ext cx="36000" cy="36000"/>
        </a:xfrm>
        <a:prstGeom prst="flowChartConnector">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161925</xdr:colOff>
      <xdr:row>6</xdr:row>
      <xdr:rowOff>85725</xdr:rowOff>
    </xdr:from>
    <xdr:to>
      <xdr:col>7</xdr:col>
      <xdr:colOff>413925</xdr:colOff>
      <xdr:row>7</xdr:row>
      <xdr:rowOff>147225</xdr:rowOff>
    </xdr:to>
    <xdr:sp macro="" textlink="">
      <xdr:nvSpPr>
        <xdr:cNvPr id="27" name="Flowchart: Summing Junction 26"/>
        <xdr:cNvSpPr>
          <a:spLocks noChangeAspect="1"/>
        </xdr:cNvSpPr>
      </xdr:nvSpPr>
      <xdr:spPr>
        <a:xfrm>
          <a:off x="6248400" y="1571625"/>
          <a:ext cx="252000" cy="252000"/>
        </a:xfrm>
        <a:prstGeom prst="flowChartSummingJunction">
          <a:avLst/>
        </a:prstGeom>
        <a:solidFill>
          <a:srgbClr val="7030A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390525</xdr:colOff>
      <xdr:row>6</xdr:row>
      <xdr:rowOff>161925</xdr:rowOff>
    </xdr:from>
    <xdr:to>
      <xdr:col>10</xdr:col>
      <xdr:colOff>400050</xdr:colOff>
      <xdr:row>8</xdr:row>
      <xdr:rowOff>152402</xdr:rowOff>
    </xdr:to>
    <xdr:cxnSp macro="">
      <xdr:nvCxnSpPr>
        <xdr:cNvPr id="32" name="Straight Arrow Connector 31"/>
        <xdr:cNvCxnSpPr/>
      </xdr:nvCxnSpPr>
      <xdr:spPr>
        <a:xfrm flipH="1" flipV="1">
          <a:off x="8305800" y="1647825"/>
          <a:ext cx="9525" cy="37147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12</xdr:row>
      <xdr:rowOff>133350</xdr:rowOff>
    </xdr:from>
    <xdr:to>
      <xdr:col>7</xdr:col>
      <xdr:colOff>542925</xdr:colOff>
      <xdr:row>15</xdr:row>
      <xdr:rowOff>0</xdr:rowOff>
    </xdr:to>
    <xdr:cxnSp macro="">
      <xdr:nvCxnSpPr>
        <xdr:cNvPr id="33" name="Elbow Connector 32"/>
        <xdr:cNvCxnSpPr/>
      </xdr:nvCxnSpPr>
      <xdr:spPr>
        <a:xfrm flipV="1">
          <a:off x="6134100" y="2762250"/>
          <a:ext cx="495300" cy="438150"/>
        </a:xfrm>
        <a:prstGeom prst="bentConnector3">
          <a:avLst>
            <a:gd name="adj1" fmla="val -57692"/>
          </a:avLst>
        </a:prstGeom>
        <a:ln w="38100">
          <a:solidFill>
            <a:schemeClr val="accent6">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8</xdr:row>
      <xdr:rowOff>180975</xdr:rowOff>
    </xdr:from>
    <xdr:to>
      <xdr:col>13</xdr:col>
      <xdr:colOff>0</xdr:colOff>
      <xdr:row>9</xdr:row>
      <xdr:rowOff>0</xdr:rowOff>
    </xdr:to>
    <xdr:cxnSp macro="">
      <xdr:nvCxnSpPr>
        <xdr:cNvPr id="35" name="Straight Arrow Connector 34"/>
        <xdr:cNvCxnSpPr/>
      </xdr:nvCxnSpPr>
      <xdr:spPr>
        <a:xfrm flipH="1">
          <a:off x="6819900" y="1724025"/>
          <a:ext cx="1104900" cy="9525"/>
        </a:xfrm>
        <a:prstGeom prst="straightConnector1">
          <a:avLst/>
        </a:prstGeom>
        <a:ln w="38100">
          <a:solidFill>
            <a:schemeClr val="accent3">
              <a:lumMod val="40000"/>
              <a:lumOff val="6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Files/Users/jjm1g10/mydocuments/jjm%20papers/Commentson%20Heaven,%20Millledge%20Yua%202011/Sialvecheck100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alve"/>
      <sheetName val="Amino"/>
      <sheetName val="tables4note"/>
    </sheetNames>
    <sheetDataSet>
      <sheetData sheetId="0"/>
      <sheetData sheetId="1">
        <row r="25">
          <cell r="J25">
            <v>2.0307070707070705</v>
          </cell>
          <cell r="K25">
            <v>3.9107070707070712</v>
          </cell>
          <cell r="L25">
            <v>1</v>
          </cell>
          <cell r="M25">
            <v>0.52808080808080804</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hyperlink" Target="http://www.kayelaby.npl.co.uk/"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S113"/>
  <sheetViews>
    <sheetView topLeftCell="A59" zoomScale="75" zoomScaleNormal="75" workbookViewId="0">
      <selection activeCell="L94" sqref="L94"/>
    </sheetView>
  </sheetViews>
  <sheetFormatPr defaultRowHeight="14.25" x14ac:dyDescent="0.2"/>
  <cols>
    <col min="1" max="1" width="38" style="14" customWidth="1"/>
    <col min="2" max="2" width="35.28515625" style="12" customWidth="1"/>
    <col min="3" max="3" width="7.85546875" style="12" customWidth="1"/>
    <col min="4" max="4" width="10.28515625" style="12" bestFit="1" customWidth="1"/>
    <col min="5" max="5" width="9.28515625" style="12" bestFit="1" customWidth="1"/>
    <col min="6" max="6" width="13.42578125" style="12" customWidth="1"/>
    <col min="7" max="7" width="9.7109375" style="12" bestFit="1" customWidth="1"/>
    <col min="8" max="8" width="9.28515625" style="12" bestFit="1" customWidth="1"/>
    <col min="9" max="9" width="12.7109375" style="12" bestFit="1" customWidth="1"/>
    <col min="10" max="11" width="9.28515625" style="12" bestFit="1" customWidth="1"/>
    <col min="12" max="12" width="10.28515625" style="12" bestFit="1" customWidth="1"/>
    <col min="13" max="13" width="9.28515625" style="12" bestFit="1" customWidth="1"/>
    <col min="14" max="14" width="10.42578125" style="12" bestFit="1" customWidth="1"/>
    <col min="15" max="17" width="9.28515625" style="12" bestFit="1" customWidth="1"/>
    <col min="18" max="16384" width="9.140625" style="12"/>
  </cols>
  <sheetData>
    <row r="3" spans="2:19" ht="19.5" x14ac:dyDescent="0.25">
      <c r="G3" s="119" t="s">
        <v>0</v>
      </c>
      <c r="H3" s="119"/>
      <c r="I3" s="119"/>
      <c r="J3" s="119"/>
      <c r="K3" s="119"/>
      <c r="L3" s="119"/>
      <c r="M3" s="119" t="s">
        <v>1</v>
      </c>
      <c r="N3" s="119"/>
      <c r="O3" s="119"/>
      <c r="P3" s="119"/>
      <c r="Q3" s="119"/>
      <c r="R3" s="119" t="s">
        <v>2</v>
      </c>
      <c r="S3" s="119"/>
    </row>
    <row r="4" spans="2:19" ht="19.5" x14ac:dyDescent="0.25">
      <c r="G4" s="119"/>
      <c r="H4" s="119"/>
      <c r="I4" s="119"/>
      <c r="J4" s="119"/>
      <c r="K4" s="119"/>
      <c r="L4" s="119"/>
      <c r="M4" s="119"/>
      <c r="N4" s="119"/>
      <c r="O4" s="119"/>
      <c r="P4" s="119"/>
      <c r="Q4" s="119"/>
      <c r="R4" s="119"/>
      <c r="S4" s="119"/>
    </row>
    <row r="5" spans="2:19" ht="18.75" x14ac:dyDescent="0.35">
      <c r="D5" s="12" t="s">
        <v>545</v>
      </c>
    </row>
    <row r="6" spans="2:19" x14ac:dyDescent="0.2">
      <c r="R6" s="88" t="s">
        <v>369</v>
      </c>
    </row>
    <row r="7" spans="2:19" x14ac:dyDescent="0.2">
      <c r="J7" s="12" t="s">
        <v>8</v>
      </c>
      <c r="O7" s="12" t="s">
        <v>7</v>
      </c>
      <c r="S7" s="12" t="s">
        <v>5</v>
      </c>
    </row>
    <row r="8" spans="2:19" x14ac:dyDescent="0.2">
      <c r="H8" s="12" t="s">
        <v>4</v>
      </c>
    </row>
    <row r="9" spans="2:19" x14ac:dyDescent="0.2">
      <c r="P9" s="12" t="s">
        <v>6</v>
      </c>
    </row>
    <row r="11" spans="2:19" x14ac:dyDescent="0.2">
      <c r="B11" s="12" t="s">
        <v>11</v>
      </c>
      <c r="L11" s="15"/>
    </row>
    <row r="15" spans="2:19" x14ac:dyDescent="0.2">
      <c r="B15" s="12" t="s">
        <v>10</v>
      </c>
      <c r="G15" s="12" t="s">
        <v>12</v>
      </c>
    </row>
    <row r="18" spans="1:19" x14ac:dyDescent="0.2">
      <c r="S18" s="12" t="s">
        <v>9</v>
      </c>
    </row>
    <row r="22" spans="1:19" ht="17.25" x14ac:dyDescent="0.2">
      <c r="A22" s="120" t="s">
        <v>3</v>
      </c>
      <c r="B22" s="12" t="s">
        <v>417</v>
      </c>
      <c r="D22" s="12">
        <f>'Data input and ouput'!C3</f>
        <v>2000</v>
      </c>
      <c r="F22" s="12" t="s">
        <v>347</v>
      </c>
      <c r="G22" s="12">
        <f>'Data input and ouput'!C5</f>
        <v>20</v>
      </c>
      <c r="H22" s="12" t="s">
        <v>191</v>
      </c>
    </row>
    <row r="24" spans="1:19" x14ac:dyDescent="0.2">
      <c r="A24" s="43" t="s">
        <v>13</v>
      </c>
      <c r="B24" s="12" t="s">
        <v>14</v>
      </c>
      <c r="D24" s="12">
        <f>'Data input and ouput'!C4</f>
        <v>3</v>
      </c>
    </row>
    <row r="25" spans="1:19" x14ac:dyDescent="0.2">
      <c r="A25" s="43"/>
    </row>
    <row r="26" spans="1:19" ht="17.25" x14ac:dyDescent="0.2">
      <c r="A26" s="43" t="s">
        <v>15</v>
      </c>
      <c r="B26" s="12" t="s">
        <v>417</v>
      </c>
      <c r="D26" s="12">
        <f>D22*D24/100</f>
        <v>60</v>
      </c>
      <c r="F26" s="12">
        <f>D26*3.6</f>
        <v>216</v>
      </c>
      <c r="G26" s="12" t="s">
        <v>581</v>
      </c>
    </row>
    <row r="27" spans="1:19" x14ac:dyDescent="0.2">
      <c r="A27" s="43"/>
      <c r="I27" s="88" t="s">
        <v>25</v>
      </c>
      <c r="J27" s="88" t="s">
        <v>26</v>
      </c>
      <c r="K27" s="88" t="s">
        <v>27</v>
      </c>
      <c r="L27" s="88" t="s">
        <v>28</v>
      </c>
    </row>
    <row r="28" spans="1:19" x14ac:dyDescent="0.2">
      <c r="A28" s="43" t="s">
        <v>60</v>
      </c>
      <c r="B28" s="12" t="s">
        <v>61</v>
      </c>
      <c r="D28" s="17">
        <v>20</v>
      </c>
      <c r="F28" s="12" t="s">
        <v>65</v>
      </c>
      <c r="I28" s="18">
        <f>'Algal Comp Calcs'!F15</f>
        <v>4.3606576278244455</v>
      </c>
      <c r="J28" s="18">
        <f>'Algal Comp Calcs'!G15</f>
        <v>7.9797051515022073</v>
      </c>
      <c r="K28" s="18">
        <f>'Algal Comp Calcs'!H15</f>
        <v>2.0273099135866897</v>
      </c>
      <c r="L28" s="18">
        <f>'Algal Comp Calcs'!I15</f>
        <v>0.51047451340320726</v>
      </c>
      <c r="M28" s="18"/>
    </row>
    <row r="29" spans="1:19" x14ac:dyDescent="0.2">
      <c r="A29" s="43"/>
      <c r="B29" s="12" t="s">
        <v>62</v>
      </c>
      <c r="D29" s="17">
        <v>30</v>
      </c>
    </row>
    <row r="30" spans="1:19" x14ac:dyDescent="0.2">
      <c r="A30" s="43"/>
      <c r="B30" s="12" t="s">
        <v>63</v>
      </c>
      <c r="D30" s="17">
        <v>50</v>
      </c>
      <c r="F30" s="12" t="s">
        <v>65</v>
      </c>
      <c r="I30" s="18">
        <f>I28/I28</f>
        <v>1</v>
      </c>
      <c r="J30" s="18">
        <f>J28/I28</f>
        <v>1.8299315911860119</v>
      </c>
      <c r="K30" s="18">
        <f>K28/I28</f>
        <v>0.46490921475945474</v>
      </c>
      <c r="L30" s="18">
        <f>L28/I28</f>
        <v>0.1170636534604267</v>
      </c>
    </row>
    <row r="31" spans="1:19" x14ac:dyDescent="0.2">
      <c r="A31" s="43"/>
      <c r="B31" s="12" t="s">
        <v>64</v>
      </c>
      <c r="D31" s="12">
        <f>SUM(D28:D30)</f>
        <v>100</v>
      </c>
    </row>
    <row r="32" spans="1:19" x14ac:dyDescent="0.2">
      <c r="A32" s="43"/>
      <c r="B32" s="12" t="s">
        <v>69</v>
      </c>
      <c r="D32" s="12">
        <f>100-D31</f>
        <v>0</v>
      </c>
    </row>
    <row r="33" spans="1:14" x14ac:dyDescent="0.2">
      <c r="A33" s="43"/>
      <c r="F33" s="12" t="s">
        <v>70</v>
      </c>
      <c r="I33" s="12" t="s">
        <v>73</v>
      </c>
      <c r="L33" s="12" t="s">
        <v>74</v>
      </c>
    </row>
    <row r="34" spans="1:14" ht="17.25" x14ac:dyDescent="0.2">
      <c r="A34" s="43"/>
      <c r="F34" s="12" t="s">
        <v>582</v>
      </c>
      <c r="G34" s="12" t="s">
        <v>583</v>
      </c>
      <c r="H34" s="12" t="s">
        <v>584</v>
      </c>
      <c r="I34" s="12" t="s">
        <v>582</v>
      </c>
      <c r="J34" s="12" t="s">
        <v>583</v>
      </c>
      <c r="K34" s="12" t="s">
        <v>584</v>
      </c>
      <c r="L34" s="12" t="s">
        <v>582</v>
      </c>
      <c r="M34" s="12" t="s">
        <v>583</v>
      </c>
      <c r="N34" s="12" t="s">
        <v>584</v>
      </c>
    </row>
    <row r="35" spans="1:14" x14ac:dyDescent="0.2">
      <c r="A35" s="43" t="s">
        <v>66</v>
      </c>
      <c r="B35" s="12" t="s">
        <v>37</v>
      </c>
      <c r="F35" s="18">
        <f>'Algal Comp Calcs'!Z10</f>
        <v>37.373686886829013</v>
      </c>
      <c r="G35" s="18">
        <f>F35*0.2388459</f>
        <v>8.9265518808028741</v>
      </c>
      <c r="H35" s="18">
        <f>F35*0.2777778</f>
        <v>10.381580521312213</v>
      </c>
      <c r="I35" s="18">
        <f>J35/0.2388459</f>
        <v>39.355919444294422</v>
      </c>
      <c r="J35" s="18">
        <v>9.4</v>
      </c>
      <c r="K35" s="18">
        <f>I35*0.2777778</f>
        <v>10.932200720213327</v>
      </c>
      <c r="L35" s="18">
        <f>M35/0.2388459</f>
        <v>38.937239450206185</v>
      </c>
      <c r="M35" s="18">
        <v>9.3000000000000007</v>
      </c>
      <c r="N35" s="18">
        <f>L35*0.2777778</f>
        <v>10.815900712551484</v>
      </c>
    </row>
    <row r="36" spans="1:14" x14ac:dyDescent="0.2">
      <c r="A36" s="43"/>
      <c r="B36" s="12" t="s">
        <v>67</v>
      </c>
      <c r="F36" s="18">
        <f>'Algal Comp Calcs'!Z11</f>
        <v>16.636903835313305</v>
      </c>
      <c r="G36" s="18">
        <f>F36*0.2388459</f>
        <v>3.973656269758858</v>
      </c>
      <c r="H36" s="18">
        <f t="shared" ref="H36:H39" si="0">F36*0.2777778</f>
        <v>4.6213625461848924</v>
      </c>
      <c r="I36" s="18">
        <f t="shared" ref="I36:I39" si="1">J36/0.2388459</f>
        <v>17.584559751706017</v>
      </c>
      <c r="J36" s="18">
        <v>4.2</v>
      </c>
      <c r="K36" s="18">
        <f t="shared" ref="K36:K39" si="2">I36*0.2777778</f>
        <v>4.8846003217974436</v>
      </c>
      <c r="L36" s="18">
        <f t="shared" ref="L36:L39" si="3">M36/0.2388459</f>
        <v>17.584559751706017</v>
      </c>
      <c r="M36" s="18">
        <v>4.2</v>
      </c>
      <c r="N36" s="18">
        <f t="shared" ref="N36:N39" si="4">L36*0.2777778</f>
        <v>4.8846003217974436</v>
      </c>
    </row>
    <row r="37" spans="1:14" x14ac:dyDescent="0.2">
      <c r="A37" s="43"/>
      <c r="B37" s="12" t="s">
        <v>68</v>
      </c>
      <c r="F37" s="18">
        <f>'Algal Comp Calcs'!Z12</f>
        <v>21.706312836445246</v>
      </c>
      <c r="G37" s="18">
        <f>F37*0.2388459</f>
        <v>5.1844638251023172</v>
      </c>
      <c r="H37" s="18">
        <f t="shared" si="0"/>
        <v>6.0295318258195207</v>
      </c>
      <c r="I37" s="18">
        <f t="shared" si="1"/>
        <v>17.584559751706017</v>
      </c>
      <c r="J37" s="18">
        <v>4.2</v>
      </c>
      <c r="K37" s="18">
        <f t="shared" si="2"/>
        <v>4.8846003217974436</v>
      </c>
      <c r="L37" s="18">
        <f t="shared" si="3"/>
        <v>21.352679698500161</v>
      </c>
      <c r="M37" s="18">
        <v>5.0999999999999996</v>
      </c>
      <c r="N37" s="18">
        <f t="shared" si="4"/>
        <v>5.9313003907540383</v>
      </c>
    </row>
    <row r="38" spans="1:14" x14ac:dyDescent="0.2">
      <c r="A38" s="43"/>
      <c r="B38" s="12" t="s">
        <v>71</v>
      </c>
      <c r="F38" s="18">
        <f>'Algal Comp Calcs'!Z15</f>
        <v>23.318964946182415</v>
      </c>
      <c r="G38" s="18">
        <f>F38*0.2388459</f>
        <v>5.569639169639391</v>
      </c>
      <c r="H38" s="18">
        <f t="shared" si="0"/>
        <v>6.4774907810276705</v>
      </c>
      <c r="I38" s="18">
        <f t="shared" si="1"/>
        <v>21.938831690223697</v>
      </c>
      <c r="J38" s="18">
        <f>(D28*J35/D31)+(D29*J36/D31)+(D30*J37/D31)</f>
        <v>5.24</v>
      </c>
      <c r="K38" s="18">
        <f t="shared" si="2"/>
        <v>6.0941204014806205</v>
      </c>
      <c r="L38" s="18">
        <f t="shared" si="3"/>
        <v>23.739155664803121</v>
      </c>
      <c r="M38" s="18">
        <f>(D28*M35/D31)+(D29*M36/D31)+(D30*M37/D31)</f>
        <v>5.67</v>
      </c>
      <c r="N38" s="18">
        <f t="shared" si="4"/>
        <v>6.5942104344265493</v>
      </c>
    </row>
    <row r="39" spans="1:14" x14ac:dyDescent="0.2">
      <c r="A39" s="43"/>
      <c r="B39" s="12" t="s">
        <v>72</v>
      </c>
      <c r="F39" s="18">
        <f>F38*D31/100</f>
        <v>23.318964946182415</v>
      </c>
      <c r="G39" s="18">
        <f>F39*0.2388459</f>
        <v>5.569639169639391</v>
      </c>
      <c r="H39" s="18">
        <f t="shared" si="0"/>
        <v>6.4774907810276705</v>
      </c>
      <c r="I39" s="18">
        <f t="shared" si="1"/>
        <v>21.938831690223697</v>
      </c>
      <c r="J39" s="18">
        <f>J38*D31/100</f>
        <v>5.24</v>
      </c>
      <c r="K39" s="18">
        <f t="shared" si="2"/>
        <v>6.0941204014806205</v>
      </c>
      <c r="L39" s="18">
        <f t="shared" si="3"/>
        <v>23.739155664803121</v>
      </c>
      <c r="M39" s="18">
        <f>M38*D31/100</f>
        <v>5.67</v>
      </c>
      <c r="N39" s="18">
        <f t="shared" si="4"/>
        <v>6.5942104344265493</v>
      </c>
    </row>
    <row r="40" spans="1:14" x14ac:dyDescent="0.2">
      <c r="A40" s="43"/>
    </row>
    <row r="41" spans="1:14" ht="17.25" x14ac:dyDescent="0.2">
      <c r="A41" s="43" t="s">
        <v>76</v>
      </c>
      <c r="B41" s="12" t="s">
        <v>585</v>
      </c>
      <c r="H41" s="18">
        <f>D26/H39</f>
        <v>9.2628460662171488</v>
      </c>
      <c r="I41" s="18"/>
      <c r="J41" s="18"/>
      <c r="K41" s="18">
        <f>+D26/K39</f>
        <v>9.845555395561675</v>
      </c>
      <c r="L41" s="18"/>
      <c r="M41" s="18"/>
      <c r="N41" s="18">
        <f>D26/N39</f>
        <v>9.0988907006601725</v>
      </c>
    </row>
    <row r="42" spans="1:14" ht="17.25" x14ac:dyDescent="0.2">
      <c r="A42" s="43"/>
      <c r="B42" s="12" t="s">
        <v>422</v>
      </c>
      <c r="G42" s="13">
        <f>D26*859.8452/(G39*365)</f>
        <v>25.377661305033442</v>
      </c>
      <c r="H42" s="13"/>
      <c r="I42" s="13"/>
      <c r="J42" s="13">
        <f>D26*859.8452/(J39*365)</f>
        <v>26.974125274495449</v>
      </c>
      <c r="K42" s="13"/>
      <c r="L42" s="13"/>
      <c r="M42" s="13">
        <f>D26*859.8452/(M39*365)</f>
        <v>24.928468507646588</v>
      </c>
    </row>
    <row r="43" spans="1:14" x14ac:dyDescent="0.2">
      <c r="A43" s="43"/>
    </row>
    <row r="44" spans="1:14" x14ac:dyDescent="0.2">
      <c r="A44" s="43"/>
    </row>
    <row r="45" spans="1:14" x14ac:dyDescent="0.2">
      <c r="A45" s="43" t="s">
        <v>99</v>
      </c>
      <c r="B45" s="12" t="s">
        <v>88</v>
      </c>
      <c r="D45" s="12">
        <f>'Data input and ouput'!C10</f>
        <v>0.3</v>
      </c>
    </row>
    <row r="46" spans="1:14" x14ac:dyDescent="0.2">
      <c r="A46" s="43"/>
      <c r="B46" s="12" t="s">
        <v>89</v>
      </c>
      <c r="D46" s="17">
        <v>20</v>
      </c>
    </row>
    <row r="47" spans="1:14" x14ac:dyDescent="0.2">
      <c r="A47" s="43"/>
      <c r="B47" s="12" t="s">
        <v>90</v>
      </c>
      <c r="D47" s="17">
        <v>219</v>
      </c>
      <c r="F47" s="13">
        <f>(F48-(3.14159*(D46^2)))/(2*D46)</f>
        <v>-6.4158999999999988</v>
      </c>
      <c r="G47" s="12" t="s">
        <v>283</v>
      </c>
      <c r="J47" s="12" t="s">
        <v>142</v>
      </c>
      <c r="L47" s="55">
        <f>(D47*2)+(D46*3.141592/2)</f>
        <v>469.41592000000003</v>
      </c>
      <c r="M47" s="12" t="s">
        <v>143</v>
      </c>
    </row>
    <row r="48" spans="1:14" ht="17.25" x14ac:dyDescent="0.2">
      <c r="A48" s="43"/>
      <c r="B48" s="12" t="s">
        <v>586</v>
      </c>
      <c r="D48" s="13">
        <f>(2*D47*D46) + (3.14159*( D46^2))</f>
        <v>10016.636</v>
      </c>
      <c r="F48" s="17">
        <v>1000</v>
      </c>
      <c r="G48" s="12" t="s">
        <v>115</v>
      </c>
    </row>
    <row r="49" spans="1:15" ht="17.25" x14ac:dyDescent="0.2">
      <c r="A49" s="43"/>
      <c r="B49" s="12" t="s">
        <v>587</v>
      </c>
      <c r="D49" s="13">
        <f>(D48*D45)+((D82-D45)*D83*D84)</f>
        <v>3072.9908</v>
      </c>
    </row>
    <row r="50" spans="1:15" x14ac:dyDescent="0.2">
      <c r="A50" s="43"/>
    </row>
    <row r="51" spans="1:15" ht="17.25" x14ac:dyDescent="0.2">
      <c r="A51" s="43" t="s">
        <v>100</v>
      </c>
      <c r="B51" s="12" t="s">
        <v>588</v>
      </c>
      <c r="D51" s="12">
        <f>'Data input and ouput'!C11</f>
        <v>0.3</v>
      </c>
      <c r="J51" s="12" t="s">
        <v>144</v>
      </c>
      <c r="L51" s="15">
        <f>L47/D51</f>
        <v>1564.7197333333336</v>
      </c>
      <c r="M51" s="12" t="s">
        <v>145</v>
      </c>
      <c r="N51" s="121">
        <f>L51/(60*60*24)</f>
        <v>1.8110182098765436E-2</v>
      </c>
      <c r="O51" s="12" t="s">
        <v>146</v>
      </c>
    </row>
    <row r="52" spans="1:15" x14ac:dyDescent="0.2">
      <c r="A52" s="43"/>
      <c r="D52" s="12" t="s">
        <v>284</v>
      </c>
    </row>
    <row r="53" spans="1:15" ht="17.25" x14ac:dyDescent="0.2">
      <c r="A53" s="43" t="s">
        <v>101</v>
      </c>
      <c r="B53" s="12" t="s">
        <v>102</v>
      </c>
      <c r="D53" s="13">
        <f>1000*'Pond Power'!B36</f>
        <v>51.610255313132512</v>
      </c>
      <c r="J53" s="12" t="s">
        <v>163</v>
      </c>
      <c r="L53" s="12">
        <f>D51*D45*D46</f>
        <v>1.7999999999999998</v>
      </c>
      <c r="M53" s="12" t="s">
        <v>589</v>
      </c>
      <c r="N53" s="12">
        <f>L53*3600</f>
        <v>6479.9999999999991</v>
      </c>
      <c r="O53" s="12" t="s">
        <v>590</v>
      </c>
    </row>
    <row r="54" spans="1:15" x14ac:dyDescent="0.2">
      <c r="A54" s="43" t="s">
        <v>105</v>
      </c>
      <c r="B54" s="12" t="s">
        <v>104</v>
      </c>
      <c r="D54" s="13">
        <f>'Pond Power'!A28</f>
        <v>909.69348732031926</v>
      </c>
    </row>
    <row r="55" spans="1:15" x14ac:dyDescent="0.2">
      <c r="A55" s="43" t="s">
        <v>106</v>
      </c>
      <c r="B55" s="12" t="s">
        <v>14</v>
      </c>
      <c r="D55" s="12">
        <f>'Data input and ouput'!C32</f>
        <v>50</v>
      </c>
    </row>
    <row r="56" spans="1:15" x14ac:dyDescent="0.2">
      <c r="A56" s="43" t="s">
        <v>107</v>
      </c>
      <c r="B56" s="12" t="s">
        <v>109</v>
      </c>
      <c r="D56" s="18">
        <f>'Pond Power'!A31/1000</f>
        <v>1.8193869746406386</v>
      </c>
    </row>
    <row r="57" spans="1:15" x14ac:dyDescent="0.2">
      <c r="A57" s="43" t="s">
        <v>108</v>
      </c>
      <c r="D57" s="17">
        <v>24</v>
      </c>
    </row>
    <row r="58" spans="1:15" ht="17.25" x14ac:dyDescent="0.2">
      <c r="A58" s="43" t="s">
        <v>110</v>
      </c>
      <c r="B58" s="12" t="s">
        <v>522</v>
      </c>
      <c r="D58" s="18">
        <f>D57*D56</f>
        <v>43.66528739137533</v>
      </c>
      <c r="E58" s="18"/>
      <c r="F58" s="18">
        <f>D58*3.6</f>
        <v>157.1950346089512</v>
      </c>
      <c r="G58" s="12" t="s">
        <v>591</v>
      </c>
    </row>
    <row r="59" spans="1:15" ht="17.25" x14ac:dyDescent="0.2">
      <c r="A59" s="43" t="s">
        <v>111</v>
      </c>
      <c r="B59" s="12" t="s">
        <v>592</v>
      </c>
      <c r="D59" s="18">
        <f>3600*D58/D48</f>
        <v>15.693395927430245</v>
      </c>
    </row>
    <row r="60" spans="1:15" ht="17.25" x14ac:dyDescent="0.2">
      <c r="A60" s="43" t="s">
        <v>112</v>
      </c>
      <c r="B60" s="12" t="s">
        <v>593</v>
      </c>
      <c r="D60" s="18">
        <f>3600*D58/D49</f>
        <v>51.153760241960761</v>
      </c>
    </row>
    <row r="61" spans="1:15" x14ac:dyDescent="0.2">
      <c r="A61" s="43" t="s">
        <v>113</v>
      </c>
      <c r="B61" s="12" t="s">
        <v>114</v>
      </c>
      <c r="D61" s="18">
        <f>100*365*D58/(D26*D48)</f>
        <v>2.6518932932926109</v>
      </c>
    </row>
    <row r="63" spans="1:15" ht="17.25" x14ac:dyDescent="0.2">
      <c r="A63" s="122" t="s">
        <v>117</v>
      </c>
      <c r="B63" s="12" t="s">
        <v>419</v>
      </c>
      <c r="D63" s="12">
        <f>'Data input and ouput'!C6</f>
        <v>0</v>
      </c>
    </row>
    <row r="64" spans="1:15" ht="17.25" x14ac:dyDescent="0.2">
      <c r="A64" s="122" t="s">
        <v>116</v>
      </c>
      <c r="B64" s="12" t="s">
        <v>594</v>
      </c>
      <c r="D64" s="15">
        <f>D63*D48/1000</f>
        <v>0</v>
      </c>
    </row>
    <row r="65" spans="1:17" x14ac:dyDescent="0.2">
      <c r="F65" s="31"/>
    </row>
    <row r="66" spans="1:17" x14ac:dyDescent="0.2">
      <c r="A66" s="26" t="s">
        <v>141</v>
      </c>
    </row>
    <row r="67" spans="1:17" ht="17.25" x14ac:dyDescent="0.2">
      <c r="A67" s="26" t="s">
        <v>118</v>
      </c>
      <c r="B67" s="12" t="s">
        <v>422</v>
      </c>
      <c r="D67" s="13">
        <f>G42*'Algal Comp Calcs'!O15/100</f>
        <v>13.291436053817758</v>
      </c>
    </row>
    <row r="68" spans="1:17" ht="17.25" x14ac:dyDescent="0.2">
      <c r="A68" s="26" t="s">
        <v>119</v>
      </c>
      <c r="B68" s="12" t="s">
        <v>422</v>
      </c>
      <c r="D68" s="13">
        <f>D67*44/12</f>
        <v>48.735265530665117</v>
      </c>
      <c r="G68" s="12" t="s">
        <v>239</v>
      </c>
      <c r="I68" s="30">
        <v>1.8E-5</v>
      </c>
    </row>
    <row r="69" spans="1:17" x14ac:dyDescent="0.2">
      <c r="A69" s="26" t="s">
        <v>130</v>
      </c>
      <c r="B69" s="12" t="s">
        <v>133</v>
      </c>
      <c r="C69" s="123"/>
      <c r="D69" s="124">
        <f>'Data input and ouput'!C15</f>
        <v>0</v>
      </c>
    </row>
    <row r="70" spans="1:17" x14ac:dyDescent="0.2">
      <c r="A70" s="26"/>
      <c r="C70" s="123"/>
    </row>
    <row r="71" spans="1:17" x14ac:dyDescent="0.2">
      <c r="A71" s="26"/>
      <c r="G71" s="12" t="s">
        <v>121</v>
      </c>
      <c r="L71" s="12" t="s">
        <v>123</v>
      </c>
      <c r="Q71" s="12" t="s">
        <v>127</v>
      </c>
    </row>
    <row r="72" spans="1:17" ht="18.75" x14ac:dyDescent="0.35">
      <c r="A72" s="26" t="s">
        <v>595</v>
      </c>
      <c r="B72" s="12" t="s">
        <v>430</v>
      </c>
      <c r="D72" s="37">
        <f>'Data input and ouput'!C16</f>
        <v>12</v>
      </c>
      <c r="G72" s="12" t="s">
        <v>596</v>
      </c>
      <c r="H72" s="12" t="s">
        <v>597</v>
      </c>
      <c r="I72" s="12" t="s">
        <v>598</v>
      </c>
      <c r="J72" s="12" t="s">
        <v>122</v>
      </c>
      <c r="L72" s="12" t="s">
        <v>596</v>
      </c>
      <c r="M72" s="12" t="s">
        <v>597</v>
      </c>
      <c r="N72" s="12" t="s">
        <v>598</v>
      </c>
      <c r="O72" s="12" t="s">
        <v>122</v>
      </c>
    </row>
    <row r="73" spans="1:17" x14ac:dyDescent="0.2">
      <c r="A73" s="26" t="s">
        <v>120</v>
      </c>
      <c r="B73" s="12" t="s">
        <v>191</v>
      </c>
      <c r="D73" s="17">
        <v>20</v>
      </c>
      <c r="G73" s="12">
        <f>D72</f>
        <v>12</v>
      </c>
      <c r="H73" s="12">
        <f>21-G73</f>
        <v>9</v>
      </c>
      <c r="I73" s="12">
        <v>78</v>
      </c>
      <c r="J73" s="12">
        <v>1</v>
      </c>
      <c r="L73" s="12">
        <v>44</v>
      </c>
      <c r="M73" s="12">
        <v>32</v>
      </c>
      <c r="N73" s="12">
        <v>28</v>
      </c>
      <c r="O73" s="12">
        <v>40</v>
      </c>
      <c r="Q73" s="12">
        <f xml:space="preserve"> (L73*G73/100)+(M73*H73/100)+(N73*I73/100)+(O73*J73/100)</f>
        <v>30.4</v>
      </c>
    </row>
    <row r="74" spans="1:17" x14ac:dyDescent="0.2">
      <c r="A74" s="26" t="s">
        <v>276</v>
      </c>
      <c r="B74" s="12" t="s">
        <v>137</v>
      </c>
      <c r="D74" s="17">
        <v>100</v>
      </c>
      <c r="E74" s="31" t="s">
        <v>395</v>
      </c>
      <c r="Q74" s="12" t="s">
        <v>149</v>
      </c>
    </row>
    <row r="75" spans="1:17" ht="15" thickBot="1" x14ac:dyDescent="0.25">
      <c r="A75" s="26" t="s">
        <v>425</v>
      </c>
      <c r="B75" s="12" t="s">
        <v>14</v>
      </c>
      <c r="D75" s="37">
        <f>'Data input and ouput'!C33</f>
        <v>80</v>
      </c>
      <c r="G75" s="12" t="s">
        <v>599</v>
      </c>
      <c r="L75" s="12" t="s">
        <v>124</v>
      </c>
      <c r="N75" s="12" t="s">
        <v>125</v>
      </c>
      <c r="O75" s="12">
        <v>8.3144720000000003</v>
      </c>
      <c r="Q75" s="13">
        <f>(44*D72)/Q73</f>
        <v>17.368421052631579</v>
      </c>
    </row>
    <row r="76" spans="1:17" ht="15" thickTop="1" x14ac:dyDescent="0.2">
      <c r="A76" s="26"/>
      <c r="E76" s="125" t="s">
        <v>278</v>
      </c>
      <c r="F76" s="126"/>
      <c r="G76" s="12">
        <v>22.711079999999999</v>
      </c>
      <c r="H76" s="12" t="s">
        <v>128</v>
      </c>
    </row>
    <row r="77" spans="1:17" ht="17.25" x14ac:dyDescent="0.2">
      <c r="A77" s="26" t="s">
        <v>136</v>
      </c>
      <c r="B77" s="12" t="str">
        <f>IF(D69=1,"Pure Carbon Dioxide",IF(D72&gt;21,"Pure Carbon Dioxide","Flue gas"))</f>
        <v>Flue gas</v>
      </c>
      <c r="C77" s="12" t="s">
        <v>600</v>
      </c>
      <c r="D77" s="13">
        <f>(100/D75)*(D68/1000)*D48*(100/G84)</f>
        <v>3513.297306248624</v>
      </c>
      <c r="E77" s="127">
        <f>Summary!D77*'Respiration Outgas'!C26/'Respiration Outgas'!C24</f>
        <v>5095.2148590599545</v>
      </c>
      <c r="F77" s="128"/>
    </row>
    <row r="78" spans="1:17" ht="17.25" x14ac:dyDescent="0.2">
      <c r="A78" s="26"/>
      <c r="B78" s="12" t="s">
        <v>601</v>
      </c>
      <c r="D78" s="13">
        <f>D77/L84</f>
        <v>2816.8640859844068</v>
      </c>
      <c r="E78" s="127">
        <f>E77/L84</f>
        <v>4085.2015914887702</v>
      </c>
      <c r="F78" s="128"/>
      <c r="G78" s="12" t="s">
        <v>126</v>
      </c>
      <c r="L78" s="12" t="s">
        <v>129</v>
      </c>
    </row>
    <row r="79" spans="1:17" ht="17.25" x14ac:dyDescent="0.2">
      <c r="A79" s="26" t="s">
        <v>140</v>
      </c>
      <c r="B79" s="12" t="s">
        <v>138</v>
      </c>
      <c r="D79" s="129">
        <v>12</v>
      </c>
      <c r="E79" s="127">
        <f>D79</f>
        <v>12</v>
      </c>
      <c r="F79" s="128"/>
      <c r="G79" s="15">
        <f>(O75*(D73+273.15))/D74</f>
        <v>24.373874667999999</v>
      </c>
      <c r="H79" s="12" t="s">
        <v>128</v>
      </c>
      <c r="L79" s="15">
        <f>Q73/G79</f>
        <v>1.2472370689552936</v>
      </c>
      <c r="M79" s="12" t="s">
        <v>602</v>
      </c>
      <c r="N79" s="12" t="s">
        <v>603</v>
      </c>
    </row>
    <row r="80" spans="1:17" ht="18" thickBot="1" x14ac:dyDescent="0.25">
      <c r="A80" s="26" t="s">
        <v>139</v>
      </c>
      <c r="B80" s="12" t="s">
        <v>512</v>
      </c>
      <c r="D80" s="13">
        <f>D78/D79</f>
        <v>234.7386738320339</v>
      </c>
      <c r="E80" s="130">
        <f>E78/D79</f>
        <v>340.43346595739752</v>
      </c>
      <c r="F80" s="131"/>
      <c r="G80" s="12" t="s">
        <v>132</v>
      </c>
      <c r="L80" s="12" t="s">
        <v>131</v>
      </c>
      <c r="P80" s="12" t="s">
        <v>147</v>
      </c>
    </row>
    <row r="81" spans="1:17" ht="18" thickTop="1" x14ac:dyDescent="0.2">
      <c r="A81" s="26"/>
      <c r="G81" s="15">
        <f>G79</f>
        <v>24.373874667999999</v>
      </c>
      <c r="H81" s="12" t="s">
        <v>128</v>
      </c>
      <c r="L81" s="15">
        <f>L73/G79</f>
        <v>1.8052115471721355</v>
      </c>
      <c r="M81" s="12" t="s">
        <v>602</v>
      </c>
      <c r="N81" s="12" t="s">
        <v>603</v>
      </c>
      <c r="P81" s="15">
        <f>VLOOKUP(D106,Data!A26:G38,7)/1000</f>
        <v>1.7584986805749567</v>
      </c>
      <c r="Q81" s="12" t="s">
        <v>602</v>
      </c>
    </row>
    <row r="82" spans="1:17" x14ac:dyDescent="0.2">
      <c r="A82" s="26" t="s">
        <v>152</v>
      </c>
      <c r="B82" s="12" t="s">
        <v>143</v>
      </c>
      <c r="D82" s="17">
        <v>2</v>
      </c>
    </row>
    <row r="83" spans="1:17" x14ac:dyDescent="0.2">
      <c r="A83" s="26" t="s">
        <v>153</v>
      </c>
      <c r="B83" s="12" t="s">
        <v>143</v>
      </c>
      <c r="D83" s="12">
        <f>D46</f>
        <v>20</v>
      </c>
      <c r="G83" s="12" t="s">
        <v>150</v>
      </c>
      <c r="L83" s="12" t="s">
        <v>134</v>
      </c>
    </row>
    <row r="84" spans="1:17" ht="17.25" x14ac:dyDescent="0.2">
      <c r="A84" s="26" t="s">
        <v>154</v>
      </c>
      <c r="B84" s="12" t="s">
        <v>143</v>
      </c>
      <c r="D84" s="17">
        <v>2</v>
      </c>
      <c r="G84" s="13">
        <f>IF(D69=1,100,IF(D72&gt;21,100,Q75))</f>
        <v>17.368421052631579</v>
      </c>
      <c r="L84" s="15">
        <f>IF(D69=1,L81,IF(D72&gt;21,L81,L79))</f>
        <v>1.2472370689552936</v>
      </c>
      <c r="M84" s="12" t="s">
        <v>602</v>
      </c>
      <c r="N84" s="12" t="s">
        <v>603</v>
      </c>
    </row>
    <row r="85" spans="1:17" ht="17.25" x14ac:dyDescent="0.2">
      <c r="A85" s="26" t="s">
        <v>155</v>
      </c>
      <c r="B85" s="12" t="s">
        <v>529</v>
      </c>
      <c r="D85" s="12">
        <f>D82*D83*D84</f>
        <v>80</v>
      </c>
      <c r="G85" s="12" t="s">
        <v>151</v>
      </c>
    </row>
    <row r="86" spans="1:17" x14ac:dyDescent="0.2">
      <c r="G86" s="12">
        <f>IF(D69=1,100,IF(D72&gt;21,100,D72))</f>
        <v>12</v>
      </c>
    </row>
    <row r="87" spans="1:17" x14ac:dyDescent="0.2">
      <c r="G87" s="12" t="s">
        <v>277</v>
      </c>
      <c r="L87" s="12" t="s">
        <v>148</v>
      </c>
    </row>
    <row r="88" spans="1:17" ht="17.25" x14ac:dyDescent="0.2">
      <c r="G88" s="29">
        <f>((G86/100)*D80*L81*(D75/100))/N53</f>
        <v>6.2778216973253531E-3</v>
      </c>
      <c r="H88" s="12" t="s">
        <v>602</v>
      </c>
      <c r="L88" s="29">
        <f>IF(D105,(G86/100)*P81,(G86/100)*P81*0.8)</f>
        <v>0.21101984166899479</v>
      </c>
      <c r="M88" s="12" t="s">
        <v>602</v>
      </c>
      <c r="N88" s="86">
        <f>D105</f>
        <v>1</v>
      </c>
    </row>
    <row r="91" spans="1:17" x14ac:dyDescent="0.2">
      <c r="A91" s="43" t="s">
        <v>157</v>
      </c>
      <c r="B91" s="12" t="s">
        <v>158</v>
      </c>
      <c r="D91" s="12">
        <f>'Data input and ouput'!C12</f>
        <v>2</v>
      </c>
    </row>
    <row r="92" spans="1:17" x14ac:dyDescent="0.2">
      <c r="A92" s="43" t="s">
        <v>159</v>
      </c>
      <c r="B92" s="12" t="s">
        <v>161</v>
      </c>
      <c r="D92" s="17">
        <v>24</v>
      </c>
    </row>
    <row r="93" spans="1:17" ht="17.25" x14ac:dyDescent="0.2">
      <c r="A93" s="43" t="s">
        <v>160</v>
      </c>
      <c r="B93" s="12" t="s">
        <v>512</v>
      </c>
      <c r="D93" s="15">
        <f>D49/(D91*D92)</f>
        <v>64.020641666666663</v>
      </c>
    </row>
    <row r="94" spans="1:17" x14ac:dyDescent="0.2">
      <c r="A94" s="43"/>
    </row>
    <row r="95" spans="1:17" ht="17.25" x14ac:dyDescent="0.2">
      <c r="A95" s="43" t="s">
        <v>162</v>
      </c>
      <c r="C95" s="12" t="s">
        <v>602</v>
      </c>
      <c r="D95" s="15">
        <f>D91*G42*D48/(D49*1000)</f>
        <v>0.16544064878020787</v>
      </c>
      <c r="F95" s="19">
        <f>D95/D107</f>
        <v>1.65738978942304E-4</v>
      </c>
      <c r="H95" s="31"/>
    </row>
    <row r="96" spans="1:17" x14ac:dyDescent="0.2">
      <c r="F96" s="19"/>
    </row>
    <row r="97" spans="1:6" x14ac:dyDescent="0.2">
      <c r="A97" s="132" t="s">
        <v>170</v>
      </c>
      <c r="B97" s="12" t="s">
        <v>14</v>
      </c>
      <c r="D97" s="12">
        <f>'Data input and ouput'!C19</f>
        <v>60</v>
      </c>
      <c r="F97" s="19"/>
    </row>
    <row r="98" spans="1:6" x14ac:dyDescent="0.2">
      <c r="A98" s="132" t="s">
        <v>171</v>
      </c>
      <c r="D98" s="12">
        <f>'Data input and ouput'!C20</f>
        <v>20</v>
      </c>
      <c r="F98" s="19"/>
    </row>
    <row r="99" spans="1:6" x14ac:dyDescent="0.2">
      <c r="F99" s="19"/>
    </row>
    <row r="100" spans="1:6" x14ac:dyDescent="0.2">
      <c r="F100" s="19"/>
    </row>
    <row r="101" spans="1:6" x14ac:dyDescent="0.2">
      <c r="A101" s="38" t="s">
        <v>165</v>
      </c>
      <c r="D101" s="17"/>
      <c r="F101" s="19"/>
    </row>
    <row r="102" spans="1:6" x14ac:dyDescent="0.2">
      <c r="A102" s="38" t="s">
        <v>166</v>
      </c>
      <c r="D102" s="17"/>
      <c r="F102" s="19"/>
    </row>
    <row r="103" spans="1:6" x14ac:dyDescent="0.2">
      <c r="A103" s="38" t="s">
        <v>167</v>
      </c>
      <c r="D103" s="17"/>
      <c r="F103" s="19"/>
    </row>
    <row r="104" spans="1:6" x14ac:dyDescent="0.2">
      <c r="A104" s="38"/>
      <c r="F104" s="19"/>
    </row>
    <row r="105" spans="1:6" x14ac:dyDescent="0.2">
      <c r="A105" s="38" t="s">
        <v>269</v>
      </c>
      <c r="B105" s="12" t="s">
        <v>270</v>
      </c>
      <c r="D105" s="133">
        <v>1</v>
      </c>
      <c r="F105" s="19"/>
    </row>
    <row r="106" spans="1:6" x14ac:dyDescent="0.2">
      <c r="A106" s="38" t="s">
        <v>268</v>
      </c>
      <c r="B106" s="12" t="s">
        <v>191</v>
      </c>
      <c r="D106" s="37">
        <f>G22</f>
        <v>20</v>
      </c>
      <c r="F106" s="19"/>
    </row>
    <row r="107" spans="1:6" ht="17.25" x14ac:dyDescent="0.2">
      <c r="A107" s="38" t="s">
        <v>164</v>
      </c>
      <c r="B107" s="12" t="s">
        <v>604</v>
      </c>
      <c r="D107" s="91">
        <f>IF(D105=1,VLOOKUP(D106,Data!A5:D17,3),VLOOKUP(D106,Data!A5:G17,6))</f>
        <v>998.2</v>
      </c>
    </row>
    <row r="108" spans="1:6" x14ac:dyDescent="0.2">
      <c r="A108" s="38" t="s">
        <v>168</v>
      </c>
      <c r="B108" s="12" t="s">
        <v>605</v>
      </c>
      <c r="D108" s="134">
        <f>IF(D105=1,VLOOKUP(D106,Data!A5:D17,4)/1000000,VLOOKUP(D106,Data!A5:G17,7)/1000000)</f>
        <v>1.0020000000000001E-3</v>
      </c>
    </row>
    <row r="109" spans="1:6" x14ac:dyDescent="0.2">
      <c r="A109" s="38"/>
    </row>
    <row r="110" spans="1:6" x14ac:dyDescent="0.2">
      <c r="A110" s="38" t="s">
        <v>169</v>
      </c>
    </row>
    <row r="112" spans="1:6" x14ac:dyDescent="0.2">
      <c r="A112" s="47" t="s">
        <v>212</v>
      </c>
      <c r="D112" s="17">
        <v>100</v>
      </c>
    </row>
    <row r="113" spans="1:4" x14ac:dyDescent="0.2">
      <c r="A113" s="49" t="s">
        <v>213</v>
      </c>
      <c r="D113" s="17">
        <v>100</v>
      </c>
    </row>
  </sheetData>
  <dataConsolidate/>
  <dataValidations count="7">
    <dataValidation type="decimal" allowBlank="1" showInputMessage="1" showErrorMessage="1" sqref="D72">
      <formula1>0</formula1>
      <formula2>21</formula2>
    </dataValidation>
    <dataValidation type="whole" allowBlank="1" showInputMessage="1" showErrorMessage="1" sqref="D69 D105">
      <formula1>0</formula1>
      <formula2>1</formula2>
    </dataValidation>
    <dataValidation type="whole" allowBlank="1" showInputMessage="1" showErrorMessage="1" sqref="D79">
      <formula1>0</formula1>
      <formula2>24</formula2>
    </dataValidation>
    <dataValidation type="decimal" allowBlank="1" showInputMessage="1" showErrorMessage="1" sqref="D75">
      <formula1>0</formula1>
      <formula2>100</formula2>
    </dataValidation>
    <dataValidation type="decimal" allowBlank="1" showInputMessage="1" showErrorMessage="1" sqref="D92">
      <formula1>0</formula1>
      <formula2>24</formula2>
    </dataValidation>
    <dataValidation type="decimal" allowBlank="1" showInputMessage="1" showErrorMessage="1" sqref="D74">
      <formula1>90</formula1>
      <formula2>110</formula2>
    </dataValidation>
    <dataValidation operator="lessThanOrEqual" allowBlank="1" showInputMessage="1" showErrorMessage="1" sqref="D31"/>
  </dataValidations>
  <pageMargins left="0.7" right="0.7" top="0.75" bottom="0.75" header="0.3" footer="0.3"/>
  <pageSetup paperSize="8" scale="54"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Data!$A$5:$A$17</xm:f>
          </x14:formula1>
          <xm:sqref>D106 D73</xm:sqref>
        </x14:dataValidation>
        <x14:dataValidation type="list" allowBlank="1" showInputMessage="1" showErrorMessage="1">
          <x14:formula1>
            <xm:f>Data!A26:A38</xm:f>
          </x14:formula1>
          <xm:sqref>G22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zoomScale="80" zoomScaleNormal="80" workbookViewId="0">
      <selection activeCell="C5" sqref="C5"/>
    </sheetView>
  </sheetViews>
  <sheetFormatPr defaultRowHeight="14.25" x14ac:dyDescent="0.2"/>
  <cols>
    <col min="1" max="1" width="49.28515625" style="12" customWidth="1"/>
    <col min="2" max="2" width="15.5703125" style="12" customWidth="1"/>
    <col min="3" max="3" width="12.5703125" style="12" customWidth="1"/>
    <col min="4" max="4" width="9.140625" style="12"/>
    <col min="5" max="5" width="13.140625" style="12" bestFit="1" customWidth="1"/>
    <col min="6" max="7" width="9.140625" style="12"/>
    <col min="8" max="8" width="9.42578125" style="12" bestFit="1" customWidth="1"/>
    <col min="9" max="9" width="16.7109375" style="12" customWidth="1"/>
    <col min="10" max="16384" width="9.140625" style="12"/>
  </cols>
  <sheetData>
    <row r="1" spans="1:9" x14ac:dyDescent="0.2">
      <c r="A1" s="11" t="s">
        <v>407</v>
      </c>
    </row>
    <row r="2" spans="1:9" x14ac:dyDescent="0.2">
      <c r="A2" s="14" t="s">
        <v>435</v>
      </c>
    </row>
    <row r="3" spans="1:9" ht="17.25" x14ac:dyDescent="0.2">
      <c r="A3" s="12" t="s">
        <v>3</v>
      </c>
      <c r="B3" s="12" t="s">
        <v>417</v>
      </c>
      <c r="C3" s="17">
        <v>2000</v>
      </c>
      <c r="I3" s="12">
        <v>2000</v>
      </c>
    </row>
    <row r="4" spans="1:9" x14ac:dyDescent="0.2">
      <c r="A4" s="12" t="s">
        <v>13</v>
      </c>
      <c r="B4" s="12" t="s">
        <v>14</v>
      </c>
      <c r="C4" s="17">
        <v>3</v>
      </c>
      <c r="I4" s="12">
        <v>3</v>
      </c>
    </row>
    <row r="5" spans="1:9" x14ac:dyDescent="0.2">
      <c r="A5" s="12" t="s">
        <v>408</v>
      </c>
      <c r="B5" s="12" t="s">
        <v>418</v>
      </c>
      <c r="C5" s="17">
        <v>20</v>
      </c>
      <c r="I5" s="12">
        <v>20</v>
      </c>
    </row>
    <row r="6" spans="1:9" ht="17.25" x14ac:dyDescent="0.2">
      <c r="A6" s="12" t="s">
        <v>117</v>
      </c>
      <c r="B6" s="12" t="s">
        <v>419</v>
      </c>
      <c r="C6" s="17">
        <v>0</v>
      </c>
      <c r="I6" s="12">
        <v>0</v>
      </c>
    </row>
    <row r="8" spans="1:9" x14ac:dyDescent="0.2">
      <c r="A8" s="14" t="s">
        <v>414</v>
      </c>
    </row>
    <row r="9" spans="1:9" ht="17.25" x14ac:dyDescent="0.2">
      <c r="A9" s="12" t="s">
        <v>411</v>
      </c>
      <c r="B9" s="12" t="s">
        <v>420</v>
      </c>
      <c r="C9" s="13">
        <f>Summary!D48</f>
        <v>10016.636</v>
      </c>
      <c r="I9" s="13">
        <v>10016.636</v>
      </c>
    </row>
    <row r="10" spans="1:9" x14ac:dyDescent="0.2">
      <c r="A10" s="12" t="s">
        <v>412</v>
      </c>
      <c r="B10" s="12" t="s">
        <v>143</v>
      </c>
      <c r="C10" s="17">
        <v>0.3</v>
      </c>
      <c r="I10" s="12">
        <v>0.3</v>
      </c>
    </row>
    <row r="11" spans="1:9" ht="17.25" x14ac:dyDescent="0.2">
      <c r="A11" s="12" t="s">
        <v>413</v>
      </c>
      <c r="B11" s="12" t="s">
        <v>421</v>
      </c>
      <c r="C11" s="17">
        <v>0.3</v>
      </c>
      <c r="I11" s="12">
        <v>0.3</v>
      </c>
    </row>
    <row r="12" spans="1:9" x14ac:dyDescent="0.2">
      <c r="A12" s="12" t="s">
        <v>424</v>
      </c>
      <c r="B12" s="12" t="s">
        <v>158</v>
      </c>
      <c r="C12" s="17">
        <v>2</v>
      </c>
      <c r="I12" s="12">
        <v>2</v>
      </c>
    </row>
    <row r="14" spans="1:9" x14ac:dyDescent="0.2">
      <c r="A14" s="14" t="s">
        <v>415</v>
      </c>
    </row>
    <row r="15" spans="1:9" ht="15" x14ac:dyDescent="0.25">
      <c r="A15" s="12" t="s">
        <v>130</v>
      </c>
      <c r="C15" s="6">
        <v>0</v>
      </c>
      <c r="E15" s="12" t="s">
        <v>133</v>
      </c>
      <c r="I15" s="24">
        <v>0</v>
      </c>
    </row>
    <row r="16" spans="1:9" ht="15" x14ac:dyDescent="0.25">
      <c r="A16" s="12" t="s">
        <v>416</v>
      </c>
      <c r="B16" s="12" t="s">
        <v>14</v>
      </c>
      <c r="C16" s="8">
        <f>IF(C15=1,100,D16)</f>
        <v>12</v>
      </c>
      <c r="D16" s="17">
        <v>12</v>
      </c>
      <c r="E16" s="12" t="s">
        <v>135</v>
      </c>
      <c r="I16" s="12">
        <v>12</v>
      </c>
    </row>
    <row r="18" spans="1:9" x14ac:dyDescent="0.2">
      <c r="A18" s="14" t="s">
        <v>1</v>
      </c>
      <c r="E18" s="12" t="s">
        <v>486</v>
      </c>
      <c r="F18" s="24">
        <f>Harvesting!B38</f>
        <v>0</v>
      </c>
    </row>
    <row r="19" spans="1:9" x14ac:dyDescent="0.2">
      <c r="A19" s="12" t="s">
        <v>454</v>
      </c>
      <c r="B19" s="12" t="s">
        <v>14</v>
      </c>
      <c r="C19" s="17">
        <v>60</v>
      </c>
      <c r="I19" s="12">
        <v>60</v>
      </c>
    </row>
    <row r="20" spans="1:9" ht="15" customHeight="1" x14ac:dyDescent="0.2">
      <c r="A20" s="12" t="s">
        <v>455</v>
      </c>
      <c r="C20" s="17">
        <v>20</v>
      </c>
      <c r="I20" s="12">
        <v>20</v>
      </c>
    </row>
    <row r="21" spans="1:9" ht="15" customHeight="1" x14ac:dyDescent="0.2">
      <c r="A21" s="12" t="s">
        <v>456</v>
      </c>
      <c r="B21" s="12" t="s">
        <v>14</v>
      </c>
      <c r="C21" s="17">
        <v>90</v>
      </c>
      <c r="E21" s="21">
        <f>Harvesting!D24/Harvesting!D15</f>
        <v>0.54</v>
      </c>
      <c r="I21" s="12">
        <v>90</v>
      </c>
    </row>
    <row r="22" spans="1:9" x14ac:dyDescent="0.2">
      <c r="A22" s="12" t="s">
        <v>457</v>
      </c>
      <c r="C22" s="17">
        <v>30</v>
      </c>
      <c r="E22" s="13">
        <f>Harvesting!C24/Harvesting!C15</f>
        <v>600</v>
      </c>
      <c r="I22" s="12">
        <v>30</v>
      </c>
    </row>
    <row r="23" spans="1:9" ht="18" x14ac:dyDescent="0.25">
      <c r="A23" s="12" t="s">
        <v>458</v>
      </c>
      <c r="B23" s="1" t="s">
        <v>450</v>
      </c>
      <c r="C23" s="17">
        <v>5.0000000000000001E-3</v>
      </c>
      <c r="I23" s="12">
        <v>5.0000000000000001E-3</v>
      </c>
    </row>
    <row r="24" spans="1:9" ht="18" x14ac:dyDescent="0.25">
      <c r="A24" s="12" t="s">
        <v>499</v>
      </c>
      <c r="B24" s="1" t="s">
        <v>450</v>
      </c>
      <c r="C24" s="17">
        <v>1</v>
      </c>
      <c r="I24" s="12">
        <v>1</v>
      </c>
    </row>
    <row r="26" spans="1:9" x14ac:dyDescent="0.2">
      <c r="A26" s="14" t="s">
        <v>2</v>
      </c>
    </row>
    <row r="27" spans="1:9" x14ac:dyDescent="0.2">
      <c r="A27" s="12" t="s">
        <v>431</v>
      </c>
      <c r="B27" s="12" t="s">
        <v>14</v>
      </c>
      <c r="C27" s="17">
        <v>60</v>
      </c>
      <c r="I27" s="12">
        <v>60</v>
      </c>
    </row>
    <row r="28" spans="1:9" x14ac:dyDescent="0.2">
      <c r="A28" s="12" t="s">
        <v>424</v>
      </c>
      <c r="B28" s="12" t="s">
        <v>158</v>
      </c>
      <c r="C28" s="17">
        <v>20</v>
      </c>
      <c r="I28" s="12">
        <v>20</v>
      </c>
    </row>
    <row r="29" spans="1:9" x14ac:dyDescent="0.2">
      <c r="A29" s="12" t="s">
        <v>432</v>
      </c>
      <c r="B29" s="12" t="str">
        <f>AD!L18</f>
        <v>Mesophilic</v>
      </c>
      <c r="C29" s="17">
        <v>35</v>
      </c>
      <c r="I29" s="12">
        <v>35</v>
      </c>
    </row>
    <row r="31" spans="1:9" x14ac:dyDescent="0.2">
      <c r="A31" s="14" t="s">
        <v>433</v>
      </c>
    </row>
    <row r="32" spans="1:9" x14ac:dyDescent="0.2">
      <c r="A32" s="12" t="s">
        <v>437</v>
      </c>
      <c r="B32" s="12" t="s">
        <v>14</v>
      </c>
      <c r="C32" s="17">
        <v>50</v>
      </c>
      <c r="I32" s="12">
        <v>50</v>
      </c>
    </row>
    <row r="33" spans="1:9" x14ac:dyDescent="0.2">
      <c r="A33" s="12" t="s">
        <v>425</v>
      </c>
      <c r="B33" s="12" t="s">
        <v>14</v>
      </c>
      <c r="C33" s="17">
        <v>80</v>
      </c>
      <c r="I33" s="12">
        <v>80</v>
      </c>
    </row>
    <row r="34" spans="1:9" x14ac:dyDescent="0.2">
      <c r="A34" s="12" t="s">
        <v>436</v>
      </c>
      <c r="B34" s="12" t="s">
        <v>14</v>
      </c>
      <c r="C34" s="17">
        <v>80</v>
      </c>
      <c r="F34" s="15"/>
      <c r="I34" s="12">
        <v>80</v>
      </c>
    </row>
    <row r="35" spans="1:9" x14ac:dyDescent="0.2">
      <c r="A35" s="12" t="s">
        <v>208</v>
      </c>
      <c r="B35" s="12" t="s">
        <v>14</v>
      </c>
      <c r="C35" s="17">
        <v>80</v>
      </c>
      <c r="I35" s="12">
        <v>80</v>
      </c>
    </row>
    <row r="36" spans="1:9" x14ac:dyDescent="0.2">
      <c r="A36" s="12" t="s">
        <v>329</v>
      </c>
      <c r="B36" s="12" t="s">
        <v>14</v>
      </c>
      <c r="C36" s="17">
        <v>50</v>
      </c>
      <c r="I36" s="12">
        <v>50</v>
      </c>
    </row>
    <row r="37" spans="1:9" x14ac:dyDescent="0.2">
      <c r="A37" s="12" t="s">
        <v>350</v>
      </c>
      <c r="B37" s="12" t="s">
        <v>14</v>
      </c>
      <c r="C37" s="17">
        <v>80</v>
      </c>
      <c r="I37" s="12">
        <v>80</v>
      </c>
    </row>
    <row r="38" spans="1:9" x14ac:dyDescent="0.2">
      <c r="A38" s="12" t="s">
        <v>356</v>
      </c>
      <c r="B38" s="12" t="s">
        <v>14</v>
      </c>
      <c r="C38" s="17">
        <v>80</v>
      </c>
      <c r="I38" s="12">
        <v>80</v>
      </c>
    </row>
    <row r="41" spans="1:9" ht="17.25" x14ac:dyDescent="0.2">
      <c r="A41" s="12" t="s">
        <v>409</v>
      </c>
      <c r="B41" s="12" t="s">
        <v>422</v>
      </c>
      <c r="C41" s="13">
        <f>Summary!G42</f>
        <v>25.377661305033442</v>
      </c>
      <c r="I41" s="13">
        <v>25.377661305033442</v>
      </c>
    </row>
    <row r="42" spans="1:9" ht="15" x14ac:dyDescent="0.25">
      <c r="A42" s="12" t="s">
        <v>162</v>
      </c>
      <c r="B42" s="1"/>
      <c r="C42" s="20">
        <f>Summary!F95</f>
        <v>1.65738978942304E-4</v>
      </c>
      <c r="I42" s="20">
        <v>1.65738978942304E-4</v>
      </c>
    </row>
    <row r="43" spans="1:9" ht="17.25" x14ac:dyDescent="0.2">
      <c r="A43" s="12" t="s">
        <v>410</v>
      </c>
      <c r="B43" s="12" t="s">
        <v>423</v>
      </c>
      <c r="C43" s="12">
        <f>Summary!D26*Summary!D48/365</f>
        <v>1646.570301369863</v>
      </c>
      <c r="I43" s="12">
        <v>1646.570301369863</v>
      </c>
    </row>
    <row r="44" spans="1:9" x14ac:dyDescent="0.2">
      <c r="A44" s="12" t="s">
        <v>443</v>
      </c>
      <c r="C44" s="19">
        <f>AD!C4</f>
        <v>9.9443387365382399E-2</v>
      </c>
      <c r="I44" s="19">
        <v>9.9443387365382399E-2</v>
      </c>
    </row>
    <row r="46" spans="1:9" x14ac:dyDescent="0.2">
      <c r="A46" s="11" t="s">
        <v>434</v>
      </c>
    </row>
    <row r="47" spans="1:9" ht="17.25" x14ac:dyDescent="0.2">
      <c r="A47" s="12" t="s">
        <v>330</v>
      </c>
      <c r="B47" s="12" t="s">
        <v>423</v>
      </c>
      <c r="C47" s="15">
        <f>AD!C43</f>
        <v>505.20227799585564</v>
      </c>
      <c r="H47" s="12">
        <f>C47/I47</f>
        <v>1</v>
      </c>
      <c r="I47" s="15">
        <v>505.20227799585564</v>
      </c>
    </row>
    <row r="49" spans="1:9" x14ac:dyDescent="0.2">
      <c r="A49" s="11" t="s">
        <v>400</v>
      </c>
    </row>
    <row r="50" spans="1:9" ht="17.25" x14ac:dyDescent="0.2">
      <c r="A50" s="12" t="s">
        <v>366</v>
      </c>
      <c r="B50" s="12" t="s">
        <v>423</v>
      </c>
      <c r="C50" s="15">
        <f>Summary!D58*AD!L9</f>
        <v>43.66528739137533</v>
      </c>
      <c r="H50" s="12">
        <f>C50/I50</f>
        <v>1</v>
      </c>
      <c r="I50" s="15">
        <v>43.66528739137533</v>
      </c>
    </row>
    <row r="52" spans="1:9" x14ac:dyDescent="0.2">
      <c r="A52" s="12" t="s">
        <v>401</v>
      </c>
    </row>
    <row r="53" spans="1:9" ht="17.25" x14ac:dyDescent="0.2">
      <c r="A53" s="12" t="s">
        <v>207</v>
      </c>
      <c r="B53" s="12" t="s">
        <v>423</v>
      </c>
      <c r="C53" s="15">
        <f>Pumping!D21*AD!L9</f>
        <v>3.802812492015657</v>
      </c>
      <c r="H53" s="12">
        <f t="shared" ref="H53:H58" si="0">C53/I53</f>
        <v>1</v>
      </c>
      <c r="I53" s="15">
        <v>3.802812492015657</v>
      </c>
    </row>
    <row r="54" spans="1:9" ht="17.25" x14ac:dyDescent="0.2">
      <c r="A54" s="12" t="s">
        <v>461</v>
      </c>
      <c r="B54" s="12" t="s">
        <v>423</v>
      </c>
      <c r="C54" s="15">
        <f>(Pumping!D44+Pumping!D63)*AD!L9</f>
        <v>18.22405633645057</v>
      </c>
      <c r="H54" s="12">
        <f t="shared" si="0"/>
        <v>1</v>
      </c>
      <c r="I54" s="15">
        <v>18.22405633645057</v>
      </c>
    </row>
    <row r="55" spans="1:9" ht="17.25" x14ac:dyDescent="0.2">
      <c r="A55" s="12" t="s">
        <v>211</v>
      </c>
      <c r="B55" s="12" t="s">
        <v>423</v>
      </c>
      <c r="C55" s="16">
        <f>Pumping!D82*AD!L9</f>
        <v>1.5411797721448593E-2</v>
      </c>
      <c r="H55" s="12">
        <f t="shared" si="0"/>
        <v>1.0000285998608931</v>
      </c>
      <c r="I55" s="16">
        <v>1.5411356958783397E-2</v>
      </c>
    </row>
    <row r="56" spans="1:9" ht="17.25" x14ac:dyDescent="0.2">
      <c r="A56" s="12" t="s">
        <v>460</v>
      </c>
      <c r="B56" s="12" t="s">
        <v>423</v>
      </c>
      <c r="C56" s="15">
        <f>(Pumping!D101+Pumping!D120)*AD!L9</f>
        <v>7.2599301714877633</v>
      </c>
      <c r="H56" s="12">
        <f t="shared" si="0"/>
        <v>0.9746093371481559</v>
      </c>
      <c r="I56" s="15">
        <v>7.4490669181677873</v>
      </c>
    </row>
    <row r="57" spans="1:9" ht="17.25" x14ac:dyDescent="0.2">
      <c r="A57" s="12" t="s">
        <v>403</v>
      </c>
      <c r="B57" s="12" t="s">
        <v>423</v>
      </c>
      <c r="C57" s="15">
        <f>Pumping!D139</f>
        <v>8.7839183410302613E-3</v>
      </c>
      <c r="H57" s="12">
        <f t="shared" si="0"/>
        <v>1</v>
      </c>
      <c r="I57" s="15">
        <v>8.7839183410302613E-3</v>
      </c>
    </row>
    <row r="58" spans="1:9" ht="17.25" x14ac:dyDescent="0.2">
      <c r="A58" s="12" t="s">
        <v>439</v>
      </c>
      <c r="B58" s="12" t="s">
        <v>423</v>
      </c>
      <c r="C58" s="15">
        <f>SUM(C53:C57)</f>
        <v>29.31099471601647</v>
      </c>
      <c r="H58" s="12">
        <f t="shared" si="0"/>
        <v>0.99358862827501571</v>
      </c>
      <c r="I58" s="15">
        <v>29.500131021933829</v>
      </c>
    </row>
    <row r="59" spans="1:9" x14ac:dyDescent="0.2">
      <c r="C59" s="15"/>
      <c r="I59" s="15"/>
    </row>
    <row r="60" spans="1:9" ht="17.25" x14ac:dyDescent="0.2">
      <c r="A60" s="12" t="s">
        <v>197</v>
      </c>
      <c r="B60" s="12" t="s">
        <v>423</v>
      </c>
      <c r="C60" s="15">
        <f>'Gas Power'!D34*AD!L9</f>
        <v>28.481670711138115</v>
      </c>
      <c r="H60" s="12">
        <f>C60/I60</f>
        <v>1</v>
      </c>
      <c r="I60" s="15">
        <v>28.481670711138115</v>
      </c>
    </row>
    <row r="62" spans="1:9" ht="17.25" x14ac:dyDescent="0.2">
      <c r="A62" s="12" t="s">
        <v>404</v>
      </c>
      <c r="B62" s="12" t="s">
        <v>423</v>
      </c>
      <c r="C62" s="15">
        <f>Harvesting!B29*AD!L9</f>
        <v>53.777338999999998</v>
      </c>
      <c r="H62" s="12">
        <f>C62/I62</f>
        <v>1</v>
      </c>
      <c r="I62" s="15">
        <v>53.777338999999998</v>
      </c>
    </row>
    <row r="64" spans="1:9" x14ac:dyDescent="0.2">
      <c r="A64" s="12" t="s">
        <v>405</v>
      </c>
    </row>
    <row r="65" spans="1:9" ht="17.25" x14ac:dyDescent="0.2">
      <c r="A65" s="12" t="s">
        <v>365</v>
      </c>
      <c r="B65" s="12" t="s">
        <v>423</v>
      </c>
      <c r="C65" s="15">
        <f>AD!C46</f>
        <v>20.128977809584029</v>
      </c>
      <c r="H65" s="12">
        <f>C65/I65</f>
        <v>1</v>
      </c>
      <c r="I65" s="15">
        <v>20.128977809584029</v>
      </c>
    </row>
    <row r="66" spans="1:9" ht="17.25" x14ac:dyDescent="0.2">
      <c r="A66" s="12" t="s">
        <v>366</v>
      </c>
      <c r="B66" s="12" t="s">
        <v>423</v>
      </c>
      <c r="C66" s="15">
        <f>AD!C47</f>
        <v>4.1485375799999993</v>
      </c>
      <c r="H66" s="12">
        <f>C66/I66</f>
        <v>1</v>
      </c>
      <c r="I66" s="15">
        <v>4.1485375799999993</v>
      </c>
    </row>
    <row r="67" spans="1:9" ht="17.25" x14ac:dyDescent="0.2">
      <c r="A67" s="12" t="s">
        <v>406</v>
      </c>
      <c r="B67" s="12" t="s">
        <v>423</v>
      </c>
      <c r="C67" s="15">
        <f>AD!C48</f>
        <v>24.277515389584028</v>
      </c>
      <c r="H67" s="12">
        <f>C67/I67</f>
        <v>1</v>
      </c>
      <c r="I67" s="15">
        <v>24.277515389584028</v>
      </c>
    </row>
    <row r="69" spans="1:9" x14ac:dyDescent="0.2">
      <c r="A69" s="12" t="s">
        <v>441</v>
      </c>
      <c r="C69" s="15">
        <f>C50+C58+C60+C62+C67</f>
        <v>179.51280720811394</v>
      </c>
      <c r="I69" s="15">
        <v>179.70194351403131</v>
      </c>
    </row>
    <row r="71" spans="1:9" ht="17.25" x14ac:dyDescent="0.2">
      <c r="A71" s="12" t="s">
        <v>440</v>
      </c>
      <c r="B71" s="12" t="s">
        <v>423</v>
      </c>
      <c r="C71" s="15">
        <f>C47-C69</f>
        <v>325.6894707877417</v>
      </c>
      <c r="H71" s="12">
        <f>C71/I71</f>
        <v>1.0005810633227719</v>
      </c>
      <c r="I71" s="15">
        <v>325.50033448182432</v>
      </c>
    </row>
    <row r="73" spans="1:9" x14ac:dyDescent="0.2">
      <c r="A73" s="12" t="s">
        <v>442</v>
      </c>
      <c r="C73" s="18">
        <f>C47/C69</f>
        <v>2.8142965722226232</v>
      </c>
      <c r="I73" s="18">
        <v>2.8113345249179731</v>
      </c>
    </row>
  </sheetData>
  <dataValidations count="4">
    <dataValidation type="whole" allowBlank="1" showInputMessage="1" showErrorMessage="1" sqref="C15">
      <formula1>0</formula1>
      <formula2>1</formula2>
    </dataValidation>
    <dataValidation type="whole" allowBlank="1" showInputMessage="1" showErrorMessage="1" sqref="C28">
      <formula1>5</formula1>
      <formula2>50</formula2>
    </dataValidation>
    <dataValidation type="whole" allowBlank="1" showInputMessage="1" showErrorMessage="1" sqref="C32:C38">
      <formula1>0</formula1>
      <formula2>100</formula2>
    </dataValidation>
    <dataValidation type="whole" allowBlank="1" showInputMessage="1" showErrorMessage="1" sqref="C20:C22">
      <formula1>1</formula1>
      <formula2>1000000</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Data!$A$5:$A$17</xm:f>
          </x14:formula1>
          <xm:sqref>C5 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6"/>
  <sheetViews>
    <sheetView workbookViewId="0">
      <selection activeCell="E29" sqref="E29"/>
    </sheetView>
  </sheetViews>
  <sheetFormatPr defaultRowHeight="12" x14ac:dyDescent="0.2"/>
  <cols>
    <col min="1" max="1" width="23.85546875" style="93" bestFit="1" customWidth="1"/>
    <col min="2" max="2" width="8.7109375" style="93" bestFit="1" customWidth="1"/>
    <col min="3" max="4" width="6.7109375" style="93" bestFit="1" customWidth="1"/>
    <col min="5" max="5" width="6.42578125" style="93" bestFit="1" customWidth="1"/>
    <col min="6" max="6" width="5.85546875" style="93" customWidth="1"/>
    <col min="7" max="7" width="7" style="93" bestFit="1" customWidth="1"/>
    <col min="8" max="9" width="4.5703125" style="93" customWidth="1"/>
    <col min="10" max="10" width="5.85546875" style="93" customWidth="1"/>
    <col min="11" max="11" width="7" style="93" bestFit="1" customWidth="1"/>
    <col min="12" max="12" width="5.7109375" style="93" bestFit="1" customWidth="1"/>
    <col min="13" max="13" width="4.7109375" style="93" bestFit="1" customWidth="1"/>
    <col min="14" max="14" width="7" style="93" bestFit="1" customWidth="1"/>
    <col min="15" max="18" width="5.7109375" style="93" bestFit="1" customWidth="1"/>
    <col min="19" max="19" width="7" style="93" bestFit="1" customWidth="1"/>
    <col min="20" max="22" width="6.28515625" style="93" customWidth="1"/>
    <col min="23" max="23" width="9.85546875" style="93" bestFit="1" customWidth="1"/>
    <col min="24" max="24" width="15.28515625" style="93" customWidth="1"/>
    <col min="25" max="25" width="13.28515625" style="93" customWidth="1"/>
    <col min="26" max="26" width="14.85546875" style="93" customWidth="1"/>
    <col min="27" max="27" width="14" style="93" customWidth="1"/>
    <col min="28" max="28" width="13.5703125" style="93" bestFit="1" customWidth="1"/>
    <col min="29" max="29" width="16.140625" style="93" bestFit="1" customWidth="1"/>
    <col min="30" max="35" width="16" style="93" customWidth="1"/>
    <col min="36" max="36" width="14.5703125" style="93" customWidth="1"/>
    <col min="37" max="38" width="9.28515625" style="93" bestFit="1" customWidth="1"/>
    <col min="39" max="39" width="9.140625" style="93"/>
    <col min="40" max="40" width="9.28515625" style="93" bestFit="1" customWidth="1"/>
    <col min="41" max="41" width="9.5703125" style="93" bestFit="1" customWidth="1"/>
    <col min="42" max="42" width="6.42578125" style="93" bestFit="1" customWidth="1"/>
    <col min="43" max="43" width="5.5703125" style="93" bestFit="1" customWidth="1"/>
    <col min="44" max="44" width="6.5703125" style="93" bestFit="1" customWidth="1"/>
    <col min="45" max="45" width="6.85546875" style="93" bestFit="1" customWidth="1"/>
    <col min="46" max="46" width="6" style="93" bestFit="1" customWidth="1"/>
    <col min="47" max="47" width="6.5703125" style="93" bestFit="1" customWidth="1"/>
    <col min="48" max="48" width="6" style="93" bestFit="1" customWidth="1"/>
    <col min="49" max="49" width="6.5703125" style="93" bestFit="1" customWidth="1"/>
    <col min="50" max="50" width="9.140625" style="93"/>
    <col min="51" max="51" width="15.5703125" style="93" customWidth="1"/>
    <col min="52" max="256" width="9.140625" style="93"/>
    <col min="257" max="257" width="23.85546875" style="93" bestFit="1" customWidth="1"/>
    <col min="258" max="258" width="8.5703125" style="93" bestFit="1" customWidth="1"/>
    <col min="259" max="260" width="6.5703125" style="93" bestFit="1" customWidth="1"/>
    <col min="261" max="261" width="6.28515625" style="93" bestFit="1" customWidth="1"/>
    <col min="262" max="262" width="5.85546875" style="93" customWidth="1"/>
    <col min="263" max="263" width="5.5703125" style="93" bestFit="1" customWidth="1"/>
    <col min="264" max="265" width="4.5703125" style="93" customWidth="1"/>
    <col min="266" max="266" width="5.85546875" style="93" customWidth="1"/>
    <col min="267" max="267" width="5.5703125" style="93" bestFit="1" customWidth="1"/>
    <col min="268" max="269" width="4.5703125" style="93" bestFit="1" customWidth="1"/>
    <col min="270" max="270" width="5.5703125" style="93" bestFit="1" customWidth="1"/>
    <col min="271" max="274" width="4.5703125" style="93" bestFit="1" customWidth="1"/>
    <col min="275" max="275" width="6.28515625" style="93" bestFit="1" customWidth="1"/>
    <col min="276" max="278" width="6.28515625" style="93" customWidth="1"/>
    <col min="279" max="279" width="9.7109375" style="93" bestFit="1" customWidth="1"/>
    <col min="280" max="280" width="9.7109375" style="93" customWidth="1"/>
    <col min="281" max="281" width="9.7109375" style="93" bestFit="1" customWidth="1"/>
    <col min="282" max="283" width="14" style="93" customWidth="1"/>
    <col min="284" max="284" width="13.42578125" style="93" bestFit="1" customWidth="1"/>
    <col min="285" max="285" width="16" style="93" bestFit="1" customWidth="1"/>
    <col min="286" max="291" width="16" style="93" customWidth="1"/>
    <col min="292" max="296" width="9.140625" style="93"/>
    <col min="297" max="297" width="6.140625" style="93" bestFit="1" customWidth="1"/>
    <col min="298" max="298" width="6.42578125" style="93" bestFit="1" customWidth="1"/>
    <col min="299" max="299" width="5.5703125" style="93" bestFit="1" customWidth="1"/>
    <col min="300" max="300" width="6.5703125" style="93" bestFit="1" customWidth="1"/>
    <col min="301" max="301" width="6.85546875" style="93" bestFit="1" customWidth="1"/>
    <col min="302" max="302" width="6" style="93" bestFit="1" customWidth="1"/>
    <col min="303" max="303" width="6.5703125" style="93" bestFit="1" customWidth="1"/>
    <col min="304" max="304" width="6" style="93" bestFit="1" customWidth="1"/>
    <col min="305" max="305" width="6.5703125" style="93" bestFit="1" customWidth="1"/>
    <col min="306" max="306" width="9.140625" style="93"/>
    <col min="307" max="307" width="15.5703125" style="93" customWidth="1"/>
    <col min="308" max="512" width="9.140625" style="93"/>
    <col min="513" max="513" width="23.85546875" style="93" bestFit="1" customWidth="1"/>
    <col min="514" max="514" width="8.5703125" style="93" bestFit="1" customWidth="1"/>
    <col min="515" max="516" width="6.5703125" style="93" bestFit="1" customWidth="1"/>
    <col min="517" max="517" width="6.28515625" style="93" bestFit="1" customWidth="1"/>
    <col min="518" max="518" width="5.85546875" style="93" customWidth="1"/>
    <col min="519" max="519" width="5.5703125" style="93" bestFit="1" customWidth="1"/>
    <col min="520" max="521" width="4.5703125" style="93" customWidth="1"/>
    <col min="522" max="522" width="5.85546875" style="93" customWidth="1"/>
    <col min="523" max="523" width="5.5703125" style="93" bestFit="1" customWidth="1"/>
    <col min="524" max="525" width="4.5703125" style="93" bestFit="1" customWidth="1"/>
    <col min="526" max="526" width="5.5703125" style="93" bestFit="1" customWidth="1"/>
    <col min="527" max="530" width="4.5703125" style="93" bestFit="1" customWidth="1"/>
    <col min="531" max="531" width="6.28515625" style="93" bestFit="1" customWidth="1"/>
    <col min="532" max="534" width="6.28515625" style="93" customWidth="1"/>
    <col min="535" max="535" width="9.7109375" style="93" bestFit="1" customWidth="1"/>
    <col min="536" max="536" width="9.7109375" style="93" customWidth="1"/>
    <col min="537" max="537" width="9.7109375" style="93" bestFit="1" customWidth="1"/>
    <col min="538" max="539" width="14" style="93" customWidth="1"/>
    <col min="540" max="540" width="13.42578125" style="93" bestFit="1" customWidth="1"/>
    <col min="541" max="541" width="16" style="93" bestFit="1" customWidth="1"/>
    <col min="542" max="547" width="16" style="93" customWidth="1"/>
    <col min="548" max="552" width="9.140625" style="93"/>
    <col min="553" max="553" width="6.140625" style="93" bestFit="1" customWidth="1"/>
    <col min="554" max="554" width="6.42578125" style="93" bestFit="1" customWidth="1"/>
    <col min="555" max="555" width="5.5703125" style="93" bestFit="1" customWidth="1"/>
    <col min="556" max="556" width="6.5703125" style="93" bestFit="1" customWidth="1"/>
    <col min="557" max="557" width="6.85546875" style="93" bestFit="1" customWidth="1"/>
    <col min="558" max="558" width="6" style="93" bestFit="1" customWidth="1"/>
    <col min="559" max="559" width="6.5703125" style="93" bestFit="1" customWidth="1"/>
    <col min="560" max="560" width="6" style="93" bestFit="1" customWidth="1"/>
    <col min="561" max="561" width="6.5703125" style="93" bestFit="1" customWidth="1"/>
    <col min="562" max="562" width="9.140625" style="93"/>
    <col min="563" max="563" width="15.5703125" style="93" customWidth="1"/>
    <col min="564" max="768" width="9.140625" style="93"/>
    <col min="769" max="769" width="23.85546875" style="93" bestFit="1" customWidth="1"/>
    <col min="770" max="770" width="8.5703125" style="93" bestFit="1" customWidth="1"/>
    <col min="771" max="772" width="6.5703125" style="93" bestFit="1" customWidth="1"/>
    <col min="773" max="773" width="6.28515625" style="93" bestFit="1" customWidth="1"/>
    <col min="774" max="774" width="5.85546875" style="93" customWidth="1"/>
    <col min="775" max="775" width="5.5703125" style="93" bestFit="1" customWidth="1"/>
    <col min="776" max="777" width="4.5703125" style="93" customWidth="1"/>
    <col min="778" max="778" width="5.85546875" style="93" customWidth="1"/>
    <col min="779" max="779" width="5.5703125" style="93" bestFit="1" customWidth="1"/>
    <col min="780" max="781" width="4.5703125" style="93" bestFit="1" customWidth="1"/>
    <col min="782" max="782" width="5.5703125" style="93" bestFit="1" customWidth="1"/>
    <col min="783" max="786" width="4.5703125" style="93" bestFit="1" customWidth="1"/>
    <col min="787" max="787" width="6.28515625" style="93" bestFit="1" customWidth="1"/>
    <col min="788" max="790" width="6.28515625" style="93" customWidth="1"/>
    <col min="791" max="791" width="9.7109375" style="93" bestFit="1" customWidth="1"/>
    <col min="792" max="792" width="9.7109375" style="93" customWidth="1"/>
    <col min="793" max="793" width="9.7109375" style="93" bestFit="1" customWidth="1"/>
    <col min="794" max="795" width="14" style="93" customWidth="1"/>
    <col min="796" max="796" width="13.42578125" style="93" bestFit="1" customWidth="1"/>
    <col min="797" max="797" width="16" style="93" bestFit="1" customWidth="1"/>
    <col min="798" max="803" width="16" style="93" customWidth="1"/>
    <col min="804" max="808" width="9.140625" style="93"/>
    <col min="809" max="809" width="6.140625" style="93" bestFit="1" customWidth="1"/>
    <col min="810" max="810" width="6.42578125" style="93" bestFit="1" customWidth="1"/>
    <col min="811" max="811" width="5.5703125" style="93" bestFit="1" customWidth="1"/>
    <col min="812" max="812" width="6.5703125" style="93" bestFit="1" customWidth="1"/>
    <col min="813" max="813" width="6.85546875" style="93" bestFit="1" customWidth="1"/>
    <col min="814" max="814" width="6" style="93" bestFit="1" customWidth="1"/>
    <col min="815" max="815" width="6.5703125" style="93" bestFit="1" customWidth="1"/>
    <col min="816" max="816" width="6" style="93" bestFit="1" customWidth="1"/>
    <col min="817" max="817" width="6.5703125" style="93" bestFit="1" customWidth="1"/>
    <col min="818" max="818" width="9.140625" style="93"/>
    <col min="819" max="819" width="15.5703125" style="93" customWidth="1"/>
    <col min="820" max="1024" width="9.140625" style="93"/>
    <col min="1025" max="1025" width="23.85546875" style="93" bestFit="1" customWidth="1"/>
    <col min="1026" max="1026" width="8.5703125" style="93" bestFit="1" customWidth="1"/>
    <col min="1027" max="1028" width="6.5703125" style="93" bestFit="1" customWidth="1"/>
    <col min="1029" max="1029" width="6.28515625" style="93" bestFit="1" customWidth="1"/>
    <col min="1030" max="1030" width="5.85546875" style="93" customWidth="1"/>
    <col min="1031" max="1031" width="5.5703125" style="93" bestFit="1" customWidth="1"/>
    <col min="1032" max="1033" width="4.5703125" style="93" customWidth="1"/>
    <col min="1034" max="1034" width="5.85546875" style="93" customWidth="1"/>
    <col min="1035" max="1035" width="5.5703125" style="93" bestFit="1" customWidth="1"/>
    <col min="1036" max="1037" width="4.5703125" style="93" bestFit="1" customWidth="1"/>
    <col min="1038" max="1038" width="5.5703125" style="93" bestFit="1" customWidth="1"/>
    <col min="1039" max="1042" width="4.5703125" style="93" bestFit="1" customWidth="1"/>
    <col min="1043" max="1043" width="6.28515625" style="93" bestFit="1" customWidth="1"/>
    <col min="1044" max="1046" width="6.28515625" style="93" customWidth="1"/>
    <col min="1047" max="1047" width="9.7109375" style="93" bestFit="1" customWidth="1"/>
    <col min="1048" max="1048" width="9.7109375" style="93" customWidth="1"/>
    <col min="1049" max="1049" width="9.7109375" style="93" bestFit="1" customWidth="1"/>
    <col min="1050" max="1051" width="14" style="93" customWidth="1"/>
    <col min="1052" max="1052" width="13.42578125" style="93" bestFit="1" customWidth="1"/>
    <col min="1053" max="1053" width="16" style="93" bestFit="1" customWidth="1"/>
    <col min="1054" max="1059" width="16" style="93" customWidth="1"/>
    <col min="1060" max="1064" width="9.140625" style="93"/>
    <col min="1065" max="1065" width="6.140625" style="93" bestFit="1" customWidth="1"/>
    <col min="1066" max="1066" width="6.42578125" style="93" bestFit="1" customWidth="1"/>
    <col min="1067" max="1067" width="5.5703125" style="93" bestFit="1" customWidth="1"/>
    <col min="1068" max="1068" width="6.5703125" style="93" bestFit="1" customWidth="1"/>
    <col min="1069" max="1069" width="6.85546875" style="93" bestFit="1" customWidth="1"/>
    <col min="1070" max="1070" width="6" style="93" bestFit="1" customWidth="1"/>
    <col min="1071" max="1071" width="6.5703125" style="93" bestFit="1" customWidth="1"/>
    <col min="1072" max="1072" width="6" style="93" bestFit="1" customWidth="1"/>
    <col min="1073" max="1073" width="6.5703125" style="93" bestFit="1" customWidth="1"/>
    <col min="1074" max="1074" width="9.140625" style="93"/>
    <col min="1075" max="1075" width="15.5703125" style="93" customWidth="1"/>
    <col min="1076" max="1280" width="9.140625" style="93"/>
    <col min="1281" max="1281" width="23.85546875" style="93" bestFit="1" customWidth="1"/>
    <col min="1282" max="1282" width="8.5703125" style="93" bestFit="1" customWidth="1"/>
    <col min="1283" max="1284" width="6.5703125" style="93" bestFit="1" customWidth="1"/>
    <col min="1285" max="1285" width="6.28515625" style="93" bestFit="1" customWidth="1"/>
    <col min="1286" max="1286" width="5.85546875" style="93" customWidth="1"/>
    <col min="1287" max="1287" width="5.5703125" style="93" bestFit="1" customWidth="1"/>
    <col min="1288" max="1289" width="4.5703125" style="93" customWidth="1"/>
    <col min="1290" max="1290" width="5.85546875" style="93" customWidth="1"/>
    <col min="1291" max="1291" width="5.5703125" style="93" bestFit="1" customWidth="1"/>
    <col min="1292" max="1293" width="4.5703125" style="93" bestFit="1" customWidth="1"/>
    <col min="1294" max="1294" width="5.5703125" style="93" bestFit="1" customWidth="1"/>
    <col min="1295" max="1298" width="4.5703125" style="93" bestFit="1" customWidth="1"/>
    <col min="1299" max="1299" width="6.28515625" style="93" bestFit="1" customWidth="1"/>
    <col min="1300" max="1302" width="6.28515625" style="93" customWidth="1"/>
    <col min="1303" max="1303" width="9.7109375" style="93" bestFit="1" customWidth="1"/>
    <col min="1304" max="1304" width="9.7109375" style="93" customWidth="1"/>
    <col min="1305" max="1305" width="9.7109375" style="93" bestFit="1" customWidth="1"/>
    <col min="1306" max="1307" width="14" style="93" customWidth="1"/>
    <col min="1308" max="1308" width="13.42578125" style="93" bestFit="1" customWidth="1"/>
    <col min="1309" max="1309" width="16" style="93" bestFit="1" customWidth="1"/>
    <col min="1310" max="1315" width="16" style="93" customWidth="1"/>
    <col min="1316" max="1320" width="9.140625" style="93"/>
    <col min="1321" max="1321" width="6.140625" style="93" bestFit="1" customWidth="1"/>
    <col min="1322" max="1322" width="6.42578125" style="93" bestFit="1" customWidth="1"/>
    <col min="1323" max="1323" width="5.5703125" style="93" bestFit="1" customWidth="1"/>
    <col min="1324" max="1324" width="6.5703125" style="93" bestFit="1" customWidth="1"/>
    <col min="1325" max="1325" width="6.85546875" style="93" bestFit="1" customWidth="1"/>
    <col min="1326" max="1326" width="6" style="93" bestFit="1" customWidth="1"/>
    <col min="1327" max="1327" width="6.5703125" style="93" bestFit="1" customWidth="1"/>
    <col min="1328" max="1328" width="6" style="93" bestFit="1" customWidth="1"/>
    <col min="1329" max="1329" width="6.5703125" style="93" bestFit="1" customWidth="1"/>
    <col min="1330" max="1330" width="9.140625" style="93"/>
    <col min="1331" max="1331" width="15.5703125" style="93" customWidth="1"/>
    <col min="1332" max="1536" width="9.140625" style="93"/>
    <col min="1537" max="1537" width="23.85546875" style="93" bestFit="1" customWidth="1"/>
    <col min="1538" max="1538" width="8.5703125" style="93" bestFit="1" customWidth="1"/>
    <col min="1539" max="1540" width="6.5703125" style="93" bestFit="1" customWidth="1"/>
    <col min="1541" max="1541" width="6.28515625" style="93" bestFit="1" customWidth="1"/>
    <col min="1542" max="1542" width="5.85546875" style="93" customWidth="1"/>
    <col min="1543" max="1543" width="5.5703125" style="93" bestFit="1" customWidth="1"/>
    <col min="1544" max="1545" width="4.5703125" style="93" customWidth="1"/>
    <col min="1546" max="1546" width="5.85546875" style="93" customWidth="1"/>
    <col min="1547" max="1547" width="5.5703125" style="93" bestFit="1" customWidth="1"/>
    <col min="1548" max="1549" width="4.5703125" style="93" bestFit="1" customWidth="1"/>
    <col min="1550" max="1550" width="5.5703125" style="93" bestFit="1" customWidth="1"/>
    <col min="1551" max="1554" width="4.5703125" style="93" bestFit="1" customWidth="1"/>
    <col min="1555" max="1555" width="6.28515625" style="93" bestFit="1" customWidth="1"/>
    <col min="1556" max="1558" width="6.28515625" style="93" customWidth="1"/>
    <col min="1559" max="1559" width="9.7109375" style="93" bestFit="1" customWidth="1"/>
    <col min="1560" max="1560" width="9.7109375" style="93" customWidth="1"/>
    <col min="1561" max="1561" width="9.7109375" style="93" bestFit="1" customWidth="1"/>
    <col min="1562" max="1563" width="14" style="93" customWidth="1"/>
    <col min="1564" max="1564" width="13.42578125" style="93" bestFit="1" customWidth="1"/>
    <col min="1565" max="1565" width="16" style="93" bestFit="1" customWidth="1"/>
    <col min="1566" max="1571" width="16" style="93" customWidth="1"/>
    <col min="1572" max="1576" width="9.140625" style="93"/>
    <col min="1577" max="1577" width="6.140625" style="93" bestFit="1" customWidth="1"/>
    <col min="1578" max="1578" width="6.42578125" style="93" bestFit="1" customWidth="1"/>
    <col min="1579" max="1579" width="5.5703125" style="93" bestFit="1" customWidth="1"/>
    <col min="1580" max="1580" width="6.5703125" style="93" bestFit="1" customWidth="1"/>
    <col min="1581" max="1581" width="6.85546875" style="93" bestFit="1" customWidth="1"/>
    <col min="1582" max="1582" width="6" style="93" bestFit="1" customWidth="1"/>
    <col min="1583" max="1583" width="6.5703125" style="93" bestFit="1" customWidth="1"/>
    <col min="1584" max="1584" width="6" style="93" bestFit="1" customWidth="1"/>
    <col min="1585" max="1585" width="6.5703125" style="93" bestFit="1" customWidth="1"/>
    <col min="1586" max="1586" width="9.140625" style="93"/>
    <col min="1587" max="1587" width="15.5703125" style="93" customWidth="1"/>
    <col min="1588" max="1792" width="9.140625" style="93"/>
    <col min="1793" max="1793" width="23.85546875" style="93" bestFit="1" customWidth="1"/>
    <col min="1794" max="1794" width="8.5703125" style="93" bestFit="1" customWidth="1"/>
    <col min="1795" max="1796" width="6.5703125" style="93" bestFit="1" customWidth="1"/>
    <col min="1797" max="1797" width="6.28515625" style="93" bestFit="1" customWidth="1"/>
    <col min="1798" max="1798" width="5.85546875" style="93" customWidth="1"/>
    <col min="1799" max="1799" width="5.5703125" style="93" bestFit="1" customWidth="1"/>
    <col min="1800" max="1801" width="4.5703125" style="93" customWidth="1"/>
    <col min="1802" max="1802" width="5.85546875" style="93" customWidth="1"/>
    <col min="1803" max="1803" width="5.5703125" style="93" bestFit="1" customWidth="1"/>
    <col min="1804" max="1805" width="4.5703125" style="93" bestFit="1" customWidth="1"/>
    <col min="1806" max="1806" width="5.5703125" style="93" bestFit="1" customWidth="1"/>
    <col min="1807" max="1810" width="4.5703125" style="93" bestFit="1" customWidth="1"/>
    <col min="1811" max="1811" width="6.28515625" style="93" bestFit="1" customWidth="1"/>
    <col min="1812" max="1814" width="6.28515625" style="93" customWidth="1"/>
    <col min="1815" max="1815" width="9.7109375" style="93" bestFit="1" customWidth="1"/>
    <col min="1816" max="1816" width="9.7109375" style="93" customWidth="1"/>
    <col min="1817" max="1817" width="9.7109375" style="93" bestFit="1" customWidth="1"/>
    <col min="1818" max="1819" width="14" style="93" customWidth="1"/>
    <col min="1820" max="1820" width="13.42578125" style="93" bestFit="1" customWidth="1"/>
    <col min="1821" max="1821" width="16" style="93" bestFit="1" customWidth="1"/>
    <col min="1822" max="1827" width="16" style="93" customWidth="1"/>
    <col min="1828" max="1832" width="9.140625" style="93"/>
    <col min="1833" max="1833" width="6.140625" style="93" bestFit="1" customWidth="1"/>
    <col min="1834" max="1834" width="6.42578125" style="93" bestFit="1" customWidth="1"/>
    <col min="1835" max="1835" width="5.5703125" style="93" bestFit="1" customWidth="1"/>
    <col min="1836" max="1836" width="6.5703125" style="93" bestFit="1" customWidth="1"/>
    <col min="1837" max="1837" width="6.85546875" style="93" bestFit="1" customWidth="1"/>
    <col min="1838" max="1838" width="6" style="93" bestFit="1" customWidth="1"/>
    <col min="1839" max="1839" width="6.5703125" style="93" bestFit="1" customWidth="1"/>
    <col min="1840" max="1840" width="6" style="93" bestFit="1" customWidth="1"/>
    <col min="1841" max="1841" width="6.5703125" style="93" bestFit="1" customWidth="1"/>
    <col min="1842" max="1842" width="9.140625" style="93"/>
    <col min="1843" max="1843" width="15.5703125" style="93" customWidth="1"/>
    <col min="1844" max="2048" width="9.140625" style="93"/>
    <col min="2049" max="2049" width="23.85546875" style="93" bestFit="1" customWidth="1"/>
    <col min="2050" max="2050" width="8.5703125" style="93" bestFit="1" customWidth="1"/>
    <col min="2051" max="2052" width="6.5703125" style="93" bestFit="1" customWidth="1"/>
    <col min="2053" max="2053" width="6.28515625" style="93" bestFit="1" customWidth="1"/>
    <col min="2054" max="2054" width="5.85546875" style="93" customWidth="1"/>
    <col min="2055" max="2055" width="5.5703125" style="93" bestFit="1" customWidth="1"/>
    <col min="2056" max="2057" width="4.5703125" style="93" customWidth="1"/>
    <col min="2058" max="2058" width="5.85546875" style="93" customWidth="1"/>
    <col min="2059" max="2059" width="5.5703125" style="93" bestFit="1" customWidth="1"/>
    <col min="2060" max="2061" width="4.5703125" style="93" bestFit="1" customWidth="1"/>
    <col min="2062" max="2062" width="5.5703125" style="93" bestFit="1" customWidth="1"/>
    <col min="2063" max="2066" width="4.5703125" style="93" bestFit="1" customWidth="1"/>
    <col min="2067" max="2067" width="6.28515625" style="93" bestFit="1" customWidth="1"/>
    <col min="2068" max="2070" width="6.28515625" style="93" customWidth="1"/>
    <col min="2071" max="2071" width="9.7109375" style="93" bestFit="1" customWidth="1"/>
    <col min="2072" max="2072" width="9.7109375" style="93" customWidth="1"/>
    <col min="2073" max="2073" width="9.7109375" style="93" bestFit="1" customWidth="1"/>
    <col min="2074" max="2075" width="14" style="93" customWidth="1"/>
    <col min="2076" max="2076" width="13.42578125" style="93" bestFit="1" customWidth="1"/>
    <col min="2077" max="2077" width="16" style="93" bestFit="1" customWidth="1"/>
    <col min="2078" max="2083" width="16" style="93" customWidth="1"/>
    <col min="2084" max="2088" width="9.140625" style="93"/>
    <col min="2089" max="2089" width="6.140625" style="93" bestFit="1" customWidth="1"/>
    <col min="2090" max="2090" width="6.42578125" style="93" bestFit="1" customWidth="1"/>
    <col min="2091" max="2091" width="5.5703125" style="93" bestFit="1" customWidth="1"/>
    <col min="2092" max="2092" width="6.5703125" style="93" bestFit="1" customWidth="1"/>
    <col min="2093" max="2093" width="6.85546875" style="93" bestFit="1" customWidth="1"/>
    <col min="2094" max="2094" width="6" style="93" bestFit="1" customWidth="1"/>
    <col min="2095" max="2095" width="6.5703125" style="93" bestFit="1" customWidth="1"/>
    <col min="2096" max="2096" width="6" style="93" bestFit="1" customWidth="1"/>
    <col min="2097" max="2097" width="6.5703125" style="93" bestFit="1" customWidth="1"/>
    <col min="2098" max="2098" width="9.140625" style="93"/>
    <col min="2099" max="2099" width="15.5703125" style="93" customWidth="1"/>
    <col min="2100" max="2304" width="9.140625" style="93"/>
    <col min="2305" max="2305" width="23.85546875" style="93" bestFit="1" customWidth="1"/>
    <col min="2306" max="2306" width="8.5703125" style="93" bestFit="1" customWidth="1"/>
    <col min="2307" max="2308" width="6.5703125" style="93" bestFit="1" customWidth="1"/>
    <col min="2309" max="2309" width="6.28515625" style="93" bestFit="1" customWidth="1"/>
    <col min="2310" max="2310" width="5.85546875" style="93" customWidth="1"/>
    <col min="2311" max="2311" width="5.5703125" style="93" bestFit="1" customWidth="1"/>
    <col min="2312" max="2313" width="4.5703125" style="93" customWidth="1"/>
    <col min="2314" max="2314" width="5.85546875" style="93" customWidth="1"/>
    <col min="2315" max="2315" width="5.5703125" style="93" bestFit="1" customWidth="1"/>
    <col min="2316" max="2317" width="4.5703125" style="93" bestFit="1" customWidth="1"/>
    <col min="2318" max="2318" width="5.5703125" style="93" bestFit="1" customWidth="1"/>
    <col min="2319" max="2322" width="4.5703125" style="93" bestFit="1" customWidth="1"/>
    <col min="2323" max="2323" width="6.28515625" style="93" bestFit="1" customWidth="1"/>
    <col min="2324" max="2326" width="6.28515625" style="93" customWidth="1"/>
    <col min="2327" max="2327" width="9.7109375" style="93" bestFit="1" customWidth="1"/>
    <col min="2328" max="2328" width="9.7109375" style="93" customWidth="1"/>
    <col min="2329" max="2329" width="9.7109375" style="93" bestFit="1" customWidth="1"/>
    <col min="2330" max="2331" width="14" style="93" customWidth="1"/>
    <col min="2332" max="2332" width="13.42578125" style="93" bestFit="1" customWidth="1"/>
    <col min="2333" max="2333" width="16" style="93" bestFit="1" customWidth="1"/>
    <col min="2334" max="2339" width="16" style="93" customWidth="1"/>
    <col min="2340" max="2344" width="9.140625" style="93"/>
    <col min="2345" max="2345" width="6.140625" style="93" bestFit="1" customWidth="1"/>
    <col min="2346" max="2346" width="6.42578125" style="93" bestFit="1" customWidth="1"/>
    <col min="2347" max="2347" width="5.5703125" style="93" bestFit="1" customWidth="1"/>
    <col min="2348" max="2348" width="6.5703125" style="93" bestFit="1" customWidth="1"/>
    <col min="2349" max="2349" width="6.85546875" style="93" bestFit="1" customWidth="1"/>
    <col min="2350" max="2350" width="6" style="93" bestFit="1" customWidth="1"/>
    <col min="2351" max="2351" width="6.5703125" style="93" bestFit="1" customWidth="1"/>
    <col min="2352" max="2352" width="6" style="93" bestFit="1" customWidth="1"/>
    <col min="2353" max="2353" width="6.5703125" style="93" bestFit="1" customWidth="1"/>
    <col min="2354" max="2354" width="9.140625" style="93"/>
    <col min="2355" max="2355" width="15.5703125" style="93" customWidth="1"/>
    <col min="2356" max="2560" width="9.140625" style="93"/>
    <col min="2561" max="2561" width="23.85546875" style="93" bestFit="1" customWidth="1"/>
    <col min="2562" max="2562" width="8.5703125" style="93" bestFit="1" customWidth="1"/>
    <col min="2563" max="2564" width="6.5703125" style="93" bestFit="1" customWidth="1"/>
    <col min="2565" max="2565" width="6.28515625" style="93" bestFit="1" customWidth="1"/>
    <col min="2566" max="2566" width="5.85546875" style="93" customWidth="1"/>
    <col min="2567" max="2567" width="5.5703125" style="93" bestFit="1" customWidth="1"/>
    <col min="2568" max="2569" width="4.5703125" style="93" customWidth="1"/>
    <col min="2570" max="2570" width="5.85546875" style="93" customWidth="1"/>
    <col min="2571" max="2571" width="5.5703125" style="93" bestFit="1" customWidth="1"/>
    <col min="2572" max="2573" width="4.5703125" style="93" bestFit="1" customWidth="1"/>
    <col min="2574" max="2574" width="5.5703125" style="93" bestFit="1" customWidth="1"/>
    <col min="2575" max="2578" width="4.5703125" style="93" bestFit="1" customWidth="1"/>
    <col min="2579" max="2579" width="6.28515625" style="93" bestFit="1" customWidth="1"/>
    <col min="2580" max="2582" width="6.28515625" style="93" customWidth="1"/>
    <col min="2583" max="2583" width="9.7109375" style="93" bestFit="1" customWidth="1"/>
    <col min="2584" max="2584" width="9.7109375" style="93" customWidth="1"/>
    <col min="2585" max="2585" width="9.7109375" style="93" bestFit="1" customWidth="1"/>
    <col min="2586" max="2587" width="14" style="93" customWidth="1"/>
    <col min="2588" max="2588" width="13.42578125" style="93" bestFit="1" customWidth="1"/>
    <col min="2589" max="2589" width="16" style="93" bestFit="1" customWidth="1"/>
    <col min="2590" max="2595" width="16" style="93" customWidth="1"/>
    <col min="2596" max="2600" width="9.140625" style="93"/>
    <col min="2601" max="2601" width="6.140625" style="93" bestFit="1" customWidth="1"/>
    <col min="2602" max="2602" width="6.42578125" style="93" bestFit="1" customWidth="1"/>
    <col min="2603" max="2603" width="5.5703125" style="93" bestFit="1" customWidth="1"/>
    <col min="2604" max="2604" width="6.5703125" style="93" bestFit="1" customWidth="1"/>
    <col min="2605" max="2605" width="6.85546875" style="93" bestFit="1" customWidth="1"/>
    <col min="2606" max="2606" width="6" style="93" bestFit="1" customWidth="1"/>
    <col min="2607" max="2607" width="6.5703125" style="93" bestFit="1" customWidth="1"/>
    <col min="2608" max="2608" width="6" style="93" bestFit="1" customWidth="1"/>
    <col min="2609" max="2609" width="6.5703125" style="93" bestFit="1" customWidth="1"/>
    <col min="2610" max="2610" width="9.140625" style="93"/>
    <col min="2611" max="2611" width="15.5703125" style="93" customWidth="1"/>
    <col min="2612" max="2816" width="9.140625" style="93"/>
    <col min="2817" max="2817" width="23.85546875" style="93" bestFit="1" customWidth="1"/>
    <col min="2818" max="2818" width="8.5703125" style="93" bestFit="1" customWidth="1"/>
    <col min="2819" max="2820" width="6.5703125" style="93" bestFit="1" customWidth="1"/>
    <col min="2821" max="2821" width="6.28515625" style="93" bestFit="1" customWidth="1"/>
    <col min="2822" max="2822" width="5.85546875" style="93" customWidth="1"/>
    <col min="2823" max="2823" width="5.5703125" style="93" bestFit="1" customWidth="1"/>
    <col min="2824" max="2825" width="4.5703125" style="93" customWidth="1"/>
    <col min="2826" max="2826" width="5.85546875" style="93" customWidth="1"/>
    <col min="2827" max="2827" width="5.5703125" style="93" bestFit="1" customWidth="1"/>
    <col min="2828" max="2829" width="4.5703125" style="93" bestFit="1" customWidth="1"/>
    <col min="2830" max="2830" width="5.5703125" style="93" bestFit="1" customWidth="1"/>
    <col min="2831" max="2834" width="4.5703125" style="93" bestFit="1" customWidth="1"/>
    <col min="2835" max="2835" width="6.28515625" style="93" bestFit="1" customWidth="1"/>
    <col min="2836" max="2838" width="6.28515625" style="93" customWidth="1"/>
    <col min="2839" max="2839" width="9.7109375" style="93" bestFit="1" customWidth="1"/>
    <col min="2840" max="2840" width="9.7109375" style="93" customWidth="1"/>
    <col min="2841" max="2841" width="9.7109375" style="93" bestFit="1" customWidth="1"/>
    <col min="2842" max="2843" width="14" style="93" customWidth="1"/>
    <col min="2844" max="2844" width="13.42578125" style="93" bestFit="1" customWidth="1"/>
    <col min="2845" max="2845" width="16" style="93" bestFit="1" customWidth="1"/>
    <col min="2846" max="2851" width="16" style="93" customWidth="1"/>
    <col min="2852" max="2856" width="9.140625" style="93"/>
    <col min="2857" max="2857" width="6.140625" style="93" bestFit="1" customWidth="1"/>
    <col min="2858" max="2858" width="6.42578125" style="93" bestFit="1" customWidth="1"/>
    <col min="2859" max="2859" width="5.5703125" style="93" bestFit="1" customWidth="1"/>
    <col min="2860" max="2860" width="6.5703125" style="93" bestFit="1" customWidth="1"/>
    <col min="2861" max="2861" width="6.85546875" style="93" bestFit="1" customWidth="1"/>
    <col min="2862" max="2862" width="6" style="93" bestFit="1" customWidth="1"/>
    <col min="2863" max="2863" width="6.5703125" style="93" bestFit="1" customWidth="1"/>
    <col min="2864" max="2864" width="6" style="93" bestFit="1" customWidth="1"/>
    <col min="2865" max="2865" width="6.5703125" style="93" bestFit="1" customWidth="1"/>
    <col min="2866" max="2866" width="9.140625" style="93"/>
    <col min="2867" max="2867" width="15.5703125" style="93" customWidth="1"/>
    <col min="2868" max="3072" width="9.140625" style="93"/>
    <col min="3073" max="3073" width="23.85546875" style="93" bestFit="1" customWidth="1"/>
    <col min="3074" max="3074" width="8.5703125" style="93" bestFit="1" customWidth="1"/>
    <col min="3075" max="3076" width="6.5703125" style="93" bestFit="1" customWidth="1"/>
    <col min="3077" max="3077" width="6.28515625" style="93" bestFit="1" customWidth="1"/>
    <col min="3078" max="3078" width="5.85546875" style="93" customWidth="1"/>
    <col min="3079" max="3079" width="5.5703125" style="93" bestFit="1" customWidth="1"/>
    <col min="3080" max="3081" width="4.5703125" style="93" customWidth="1"/>
    <col min="3082" max="3082" width="5.85546875" style="93" customWidth="1"/>
    <col min="3083" max="3083" width="5.5703125" style="93" bestFit="1" customWidth="1"/>
    <col min="3084" max="3085" width="4.5703125" style="93" bestFit="1" customWidth="1"/>
    <col min="3086" max="3086" width="5.5703125" style="93" bestFit="1" customWidth="1"/>
    <col min="3087" max="3090" width="4.5703125" style="93" bestFit="1" customWidth="1"/>
    <col min="3091" max="3091" width="6.28515625" style="93" bestFit="1" customWidth="1"/>
    <col min="3092" max="3094" width="6.28515625" style="93" customWidth="1"/>
    <col min="3095" max="3095" width="9.7109375" style="93" bestFit="1" customWidth="1"/>
    <col min="3096" max="3096" width="9.7109375" style="93" customWidth="1"/>
    <col min="3097" max="3097" width="9.7109375" style="93" bestFit="1" customWidth="1"/>
    <col min="3098" max="3099" width="14" style="93" customWidth="1"/>
    <col min="3100" max="3100" width="13.42578125" style="93" bestFit="1" customWidth="1"/>
    <col min="3101" max="3101" width="16" style="93" bestFit="1" customWidth="1"/>
    <col min="3102" max="3107" width="16" style="93" customWidth="1"/>
    <col min="3108" max="3112" width="9.140625" style="93"/>
    <col min="3113" max="3113" width="6.140625" style="93" bestFit="1" customWidth="1"/>
    <col min="3114" max="3114" width="6.42578125" style="93" bestFit="1" customWidth="1"/>
    <col min="3115" max="3115" width="5.5703125" style="93" bestFit="1" customWidth="1"/>
    <col min="3116" max="3116" width="6.5703125" style="93" bestFit="1" customWidth="1"/>
    <col min="3117" max="3117" width="6.85546875" style="93" bestFit="1" customWidth="1"/>
    <col min="3118" max="3118" width="6" style="93" bestFit="1" customWidth="1"/>
    <col min="3119" max="3119" width="6.5703125" style="93" bestFit="1" customWidth="1"/>
    <col min="3120" max="3120" width="6" style="93" bestFit="1" customWidth="1"/>
    <col min="3121" max="3121" width="6.5703125" style="93" bestFit="1" customWidth="1"/>
    <col min="3122" max="3122" width="9.140625" style="93"/>
    <col min="3123" max="3123" width="15.5703125" style="93" customWidth="1"/>
    <col min="3124" max="3328" width="9.140625" style="93"/>
    <col min="3329" max="3329" width="23.85546875" style="93" bestFit="1" customWidth="1"/>
    <col min="3330" max="3330" width="8.5703125" style="93" bestFit="1" customWidth="1"/>
    <col min="3331" max="3332" width="6.5703125" style="93" bestFit="1" customWidth="1"/>
    <col min="3333" max="3333" width="6.28515625" style="93" bestFit="1" customWidth="1"/>
    <col min="3334" max="3334" width="5.85546875" style="93" customWidth="1"/>
    <col min="3335" max="3335" width="5.5703125" style="93" bestFit="1" customWidth="1"/>
    <col min="3336" max="3337" width="4.5703125" style="93" customWidth="1"/>
    <col min="3338" max="3338" width="5.85546875" style="93" customWidth="1"/>
    <col min="3339" max="3339" width="5.5703125" style="93" bestFit="1" customWidth="1"/>
    <col min="3340" max="3341" width="4.5703125" style="93" bestFit="1" customWidth="1"/>
    <col min="3342" max="3342" width="5.5703125" style="93" bestFit="1" customWidth="1"/>
    <col min="3343" max="3346" width="4.5703125" style="93" bestFit="1" customWidth="1"/>
    <col min="3347" max="3347" width="6.28515625" style="93" bestFit="1" customWidth="1"/>
    <col min="3348" max="3350" width="6.28515625" style="93" customWidth="1"/>
    <col min="3351" max="3351" width="9.7109375" style="93" bestFit="1" customWidth="1"/>
    <col min="3352" max="3352" width="9.7109375" style="93" customWidth="1"/>
    <col min="3353" max="3353" width="9.7109375" style="93" bestFit="1" customWidth="1"/>
    <col min="3354" max="3355" width="14" style="93" customWidth="1"/>
    <col min="3356" max="3356" width="13.42578125" style="93" bestFit="1" customWidth="1"/>
    <col min="3357" max="3357" width="16" style="93" bestFit="1" customWidth="1"/>
    <col min="3358" max="3363" width="16" style="93" customWidth="1"/>
    <col min="3364" max="3368" width="9.140625" style="93"/>
    <col min="3369" max="3369" width="6.140625" style="93" bestFit="1" customWidth="1"/>
    <col min="3370" max="3370" width="6.42578125" style="93" bestFit="1" customWidth="1"/>
    <col min="3371" max="3371" width="5.5703125" style="93" bestFit="1" customWidth="1"/>
    <col min="3372" max="3372" width="6.5703125" style="93" bestFit="1" customWidth="1"/>
    <col min="3373" max="3373" width="6.85546875" style="93" bestFit="1" customWidth="1"/>
    <col min="3374" max="3374" width="6" style="93" bestFit="1" customWidth="1"/>
    <col min="3375" max="3375" width="6.5703125" style="93" bestFit="1" customWidth="1"/>
    <col min="3376" max="3376" width="6" style="93" bestFit="1" customWidth="1"/>
    <col min="3377" max="3377" width="6.5703125" style="93" bestFit="1" customWidth="1"/>
    <col min="3378" max="3378" width="9.140625" style="93"/>
    <col min="3379" max="3379" width="15.5703125" style="93" customWidth="1"/>
    <col min="3380" max="3584" width="9.140625" style="93"/>
    <col min="3585" max="3585" width="23.85546875" style="93" bestFit="1" customWidth="1"/>
    <col min="3586" max="3586" width="8.5703125" style="93" bestFit="1" customWidth="1"/>
    <col min="3587" max="3588" width="6.5703125" style="93" bestFit="1" customWidth="1"/>
    <col min="3589" max="3589" width="6.28515625" style="93" bestFit="1" customWidth="1"/>
    <col min="3590" max="3590" width="5.85546875" style="93" customWidth="1"/>
    <col min="3591" max="3591" width="5.5703125" style="93" bestFit="1" customWidth="1"/>
    <col min="3592" max="3593" width="4.5703125" style="93" customWidth="1"/>
    <col min="3594" max="3594" width="5.85546875" style="93" customWidth="1"/>
    <col min="3595" max="3595" width="5.5703125" style="93" bestFit="1" customWidth="1"/>
    <col min="3596" max="3597" width="4.5703125" style="93" bestFit="1" customWidth="1"/>
    <col min="3598" max="3598" width="5.5703125" style="93" bestFit="1" customWidth="1"/>
    <col min="3599" max="3602" width="4.5703125" style="93" bestFit="1" customWidth="1"/>
    <col min="3603" max="3603" width="6.28515625" style="93" bestFit="1" customWidth="1"/>
    <col min="3604" max="3606" width="6.28515625" style="93" customWidth="1"/>
    <col min="3607" max="3607" width="9.7109375" style="93" bestFit="1" customWidth="1"/>
    <col min="3608" max="3608" width="9.7109375" style="93" customWidth="1"/>
    <col min="3609" max="3609" width="9.7109375" style="93" bestFit="1" customWidth="1"/>
    <col min="3610" max="3611" width="14" style="93" customWidth="1"/>
    <col min="3612" max="3612" width="13.42578125" style="93" bestFit="1" customWidth="1"/>
    <col min="3613" max="3613" width="16" style="93" bestFit="1" customWidth="1"/>
    <col min="3614" max="3619" width="16" style="93" customWidth="1"/>
    <col min="3620" max="3624" width="9.140625" style="93"/>
    <col min="3625" max="3625" width="6.140625" style="93" bestFit="1" customWidth="1"/>
    <col min="3626" max="3626" width="6.42578125" style="93" bestFit="1" customWidth="1"/>
    <col min="3627" max="3627" width="5.5703125" style="93" bestFit="1" customWidth="1"/>
    <col min="3628" max="3628" width="6.5703125" style="93" bestFit="1" customWidth="1"/>
    <col min="3629" max="3629" width="6.85546875" style="93" bestFit="1" customWidth="1"/>
    <col min="3630" max="3630" width="6" style="93" bestFit="1" customWidth="1"/>
    <col min="3631" max="3631" width="6.5703125" style="93" bestFit="1" customWidth="1"/>
    <col min="3632" max="3632" width="6" style="93" bestFit="1" customWidth="1"/>
    <col min="3633" max="3633" width="6.5703125" style="93" bestFit="1" customWidth="1"/>
    <col min="3634" max="3634" width="9.140625" style="93"/>
    <col min="3635" max="3635" width="15.5703125" style="93" customWidth="1"/>
    <col min="3636" max="3840" width="9.140625" style="93"/>
    <col min="3841" max="3841" width="23.85546875" style="93" bestFit="1" customWidth="1"/>
    <col min="3842" max="3842" width="8.5703125" style="93" bestFit="1" customWidth="1"/>
    <col min="3843" max="3844" width="6.5703125" style="93" bestFit="1" customWidth="1"/>
    <col min="3845" max="3845" width="6.28515625" style="93" bestFit="1" customWidth="1"/>
    <col min="3846" max="3846" width="5.85546875" style="93" customWidth="1"/>
    <col min="3847" max="3847" width="5.5703125" style="93" bestFit="1" customWidth="1"/>
    <col min="3848" max="3849" width="4.5703125" style="93" customWidth="1"/>
    <col min="3850" max="3850" width="5.85546875" style="93" customWidth="1"/>
    <col min="3851" max="3851" width="5.5703125" style="93" bestFit="1" customWidth="1"/>
    <col min="3852" max="3853" width="4.5703125" style="93" bestFit="1" customWidth="1"/>
    <col min="3854" max="3854" width="5.5703125" style="93" bestFit="1" customWidth="1"/>
    <col min="3855" max="3858" width="4.5703125" style="93" bestFit="1" customWidth="1"/>
    <col min="3859" max="3859" width="6.28515625" style="93" bestFit="1" customWidth="1"/>
    <col min="3860" max="3862" width="6.28515625" style="93" customWidth="1"/>
    <col min="3863" max="3863" width="9.7109375" style="93" bestFit="1" customWidth="1"/>
    <col min="3864" max="3864" width="9.7109375" style="93" customWidth="1"/>
    <col min="3865" max="3865" width="9.7109375" style="93" bestFit="1" customWidth="1"/>
    <col min="3866" max="3867" width="14" style="93" customWidth="1"/>
    <col min="3868" max="3868" width="13.42578125" style="93" bestFit="1" customWidth="1"/>
    <col min="3869" max="3869" width="16" style="93" bestFit="1" customWidth="1"/>
    <col min="3870" max="3875" width="16" style="93" customWidth="1"/>
    <col min="3876" max="3880" width="9.140625" style="93"/>
    <col min="3881" max="3881" width="6.140625" style="93" bestFit="1" customWidth="1"/>
    <col min="3882" max="3882" width="6.42578125" style="93" bestFit="1" customWidth="1"/>
    <col min="3883" max="3883" width="5.5703125" style="93" bestFit="1" customWidth="1"/>
    <col min="3884" max="3884" width="6.5703125" style="93" bestFit="1" customWidth="1"/>
    <col min="3885" max="3885" width="6.85546875" style="93" bestFit="1" customWidth="1"/>
    <col min="3886" max="3886" width="6" style="93" bestFit="1" customWidth="1"/>
    <col min="3887" max="3887" width="6.5703125" style="93" bestFit="1" customWidth="1"/>
    <col min="3888" max="3888" width="6" style="93" bestFit="1" customWidth="1"/>
    <col min="3889" max="3889" width="6.5703125" style="93" bestFit="1" customWidth="1"/>
    <col min="3890" max="3890" width="9.140625" style="93"/>
    <col min="3891" max="3891" width="15.5703125" style="93" customWidth="1"/>
    <col min="3892" max="4096" width="9.140625" style="93"/>
    <col min="4097" max="4097" width="23.85546875" style="93" bestFit="1" customWidth="1"/>
    <col min="4098" max="4098" width="8.5703125" style="93" bestFit="1" customWidth="1"/>
    <col min="4099" max="4100" width="6.5703125" style="93" bestFit="1" customWidth="1"/>
    <col min="4101" max="4101" width="6.28515625" style="93" bestFit="1" customWidth="1"/>
    <col min="4102" max="4102" width="5.85546875" style="93" customWidth="1"/>
    <col min="4103" max="4103" width="5.5703125" style="93" bestFit="1" customWidth="1"/>
    <col min="4104" max="4105" width="4.5703125" style="93" customWidth="1"/>
    <col min="4106" max="4106" width="5.85546875" style="93" customWidth="1"/>
    <col min="4107" max="4107" width="5.5703125" style="93" bestFit="1" customWidth="1"/>
    <col min="4108" max="4109" width="4.5703125" style="93" bestFit="1" customWidth="1"/>
    <col min="4110" max="4110" width="5.5703125" style="93" bestFit="1" customWidth="1"/>
    <col min="4111" max="4114" width="4.5703125" style="93" bestFit="1" customWidth="1"/>
    <col min="4115" max="4115" width="6.28515625" style="93" bestFit="1" customWidth="1"/>
    <col min="4116" max="4118" width="6.28515625" style="93" customWidth="1"/>
    <col min="4119" max="4119" width="9.7109375" style="93" bestFit="1" customWidth="1"/>
    <col min="4120" max="4120" width="9.7109375" style="93" customWidth="1"/>
    <col min="4121" max="4121" width="9.7109375" style="93" bestFit="1" customWidth="1"/>
    <col min="4122" max="4123" width="14" style="93" customWidth="1"/>
    <col min="4124" max="4124" width="13.42578125" style="93" bestFit="1" customWidth="1"/>
    <col min="4125" max="4125" width="16" style="93" bestFit="1" customWidth="1"/>
    <col min="4126" max="4131" width="16" style="93" customWidth="1"/>
    <col min="4132" max="4136" width="9.140625" style="93"/>
    <col min="4137" max="4137" width="6.140625" style="93" bestFit="1" customWidth="1"/>
    <col min="4138" max="4138" width="6.42578125" style="93" bestFit="1" customWidth="1"/>
    <col min="4139" max="4139" width="5.5703125" style="93" bestFit="1" customWidth="1"/>
    <col min="4140" max="4140" width="6.5703125" style="93" bestFit="1" customWidth="1"/>
    <col min="4141" max="4141" width="6.85546875" style="93" bestFit="1" customWidth="1"/>
    <col min="4142" max="4142" width="6" style="93" bestFit="1" customWidth="1"/>
    <col min="4143" max="4143" width="6.5703125" style="93" bestFit="1" customWidth="1"/>
    <col min="4144" max="4144" width="6" style="93" bestFit="1" customWidth="1"/>
    <col min="4145" max="4145" width="6.5703125" style="93" bestFit="1" customWidth="1"/>
    <col min="4146" max="4146" width="9.140625" style="93"/>
    <col min="4147" max="4147" width="15.5703125" style="93" customWidth="1"/>
    <col min="4148" max="4352" width="9.140625" style="93"/>
    <col min="4353" max="4353" width="23.85546875" style="93" bestFit="1" customWidth="1"/>
    <col min="4354" max="4354" width="8.5703125" style="93" bestFit="1" customWidth="1"/>
    <col min="4355" max="4356" width="6.5703125" style="93" bestFit="1" customWidth="1"/>
    <col min="4357" max="4357" width="6.28515625" style="93" bestFit="1" customWidth="1"/>
    <col min="4358" max="4358" width="5.85546875" style="93" customWidth="1"/>
    <col min="4359" max="4359" width="5.5703125" style="93" bestFit="1" customWidth="1"/>
    <col min="4360" max="4361" width="4.5703125" style="93" customWidth="1"/>
    <col min="4362" max="4362" width="5.85546875" style="93" customWidth="1"/>
    <col min="4363" max="4363" width="5.5703125" style="93" bestFit="1" customWidth="1"/>
    <col min="4364" max="4365" width="4.5703125" style="93" bestFit="1" customWidth="1"/>
    <col min="4366" max="4366" width="5.5703125" style="93" bestFit="1" customWidth="1"/>
    <col min="4367" max="4370" width="4.5703125" style="93" bestFit="1" customWidth="1"/>
    <col min="4371" max="4371" width="6.28515625" style="93" bestFit="1" customWidth="1"/>
    <col min="4372" max="4374" width="6.28515625" style="93" customWidth="1"/>
    <col min="4375" max="4375" width="9.7109375" style="93" bestFit="1" customWidth="1"/>
    <col min="4376" max="4376" width="9.7109375" style="93" customWidth="1"/>
    <col min="4377" max="4377" width="9.7109375" style="93" bestFit="1" customWidth="1"/>
    <col min="4378" max="4379" width="14" style="93" customWidth="1"/>
    <col min="4380" max="4380" width="13.42578125" style="93" bestFit="1" customWidth="1"/>
    <col min="4381" max="4381" width="16" style="93" bestFit="1" customWidth="1"/>
    <col min="4382" max="4387" width="16" style="93" customWidth="1"/>
    <col min="4388" max="4392" width="9.140625" style="93"/>
    <col min="4393" max="4393" width="6.140625" style="93" bestFit="1" customWidth="1"/>
    <col min="4394" max="4394" width="6.42578125" style="93" bestFit="1" customWidth="1"/>
    <col min="4395" max="4395" width="5.5703125" style="93" bestFit="1" customWidth="1"/>
    <col min="4396" max="4396" width="6.5703125" style="93" bestFit="1" customWidth="1"/>
    <col min="4397" max="4397" width="6.85546875" style="93" bestFit="1" customWidth="1"/>
    <col min="4398" max="4398" width="6" style="93" bestFit="1" customWidth="1"/>
    <col min="4399" max="4399" width="6.5703125" style="93" bestFit="1" customWidth="1"/>
    <col min="4400" max="4400" width="6" style="93" bestFit="1" customWidth="1"/>
    <col min="4401" max="4401" width="6.5703125" style="93" bestFit="1" customWidth="1"/>
    <col min="4402" max="4402" width="9.140625" style="93"/>
    <col min="4403" max="4403" width="15.5703125" style="93" customWidth="1"/>
    <col min="4404" max="4608" width="9.140625" style="93"/>
    <col min="4609" max="4609" width="23.85546875" style="93" bestFit="1" customWidth="1"/>
    <col min="4610" max="4610" width="8.5703125" style="93" bestFit="1" customWidth="1"/>
    <col min="4611" max="4612" width="6.5703125" style="93" bestFit="1" customWidth="1"/>
    <col min="4613" max="4613" width="6.28515625" style="93" bestFit="1" customWidth="1"/>
    <col min="4614" max="4614" width="5.85546875" style="93" customWidth="1"/>
    <col min="4615" max="4615" width="5.5703125" style="93" bestFit="1" customWidth="1"/>
    <col min="4616" max="4617" width="4.5703125" style="93" customWidth="1"/>
    <col min="4618" max="4618" width="5.85546875" style="93" customWidth="1"/>
    <col min="4619" max="4619" width="5.5703125" style="93" bestFit="1" customWidth="1"/>
    <col min="4620" max="4621" width="4.5703125" style="93" bestFit="1" customWidth="1"/>
    <col min="4622" max="4622" width="5.5703125" style="93" bestFit="1" customWidth="1"/>
    <col min="4623" max="4626" width="4.5703125" style="93" bestFit="1" customWidth="1"/>
    <col min="4627" max="4627" width="6.28515625" style="93" bestFit="1" customWidth="1"/>
    <col min="4628" max="4630" width="6.28515625" style="93" customWidth="1"/>
    <col min="4631" max="4631" width="9.7109375" style="93" bestFit="1" customWidth="1"/>
    <col min="4632" max="4632" width="9.7109375" style="93" customWidth="1"/>
    <col min="4633" max="4633" width="9.7109375" style="93" bestFit="1" customWidth="1"/>
    <col min="4634" max="4635" width="14" style="93" customWidth="1"/>
    <col min="4636" max="4636" width="13.42578125" style="93" bestFit="1" customWidth="1"/>
    <col min="4637" max="4637" width="16" style="93" bestFit="1" customWidth="1"/>
    <col min="4638" max="4643" width="16" style="93" customWidth="1"/>
    <col min="4644" max="4648" width="9.140625" style="93"/>
    <col min="4649" max="4649" width="6.140625" style="93" bestFit="1" customWidth="1"/>
    <col min="4650" max="4650" width="6.42578125" style="93" bestFit="1" customWidth="1"/>
    <col min="4651" max="4651" width="5.5703125" style="93" bestFit="1" customWidth="1"/>
    <col min="4652" max="4652" width="6.5703125" style="93" bestFit="1" customWidth="1"/>
    <col min="4653" max="4653" width="6.85546875" style="93" bestFit="1" customWidth="1"/>
    <col min="4654" max="4654" width="6" style="93" bestFit="1" customWidth="1"/>
    <col min="4655" max="4655" width="6.5703125" style="93" bestFit="1" customWidth="1"/>
    <col min="4656" max="4656" width="6" style="93" bestFit="1" customWidth="1"/>
    <col min="4657" max="4657" width="6.5703125" style="93" bestFit="1" customWidth="1"/>
    <col min="4658" max="4658" width="9.140625" style="93"/>
    <col min="4659" max="4659" width="15.5703125" style="93" customWidth="1"/>
    <col min="4660" max="4864" width="9.140625" style="93"/>
    <col min="4865" max="4865" width="23.85546875" style="93" bestFit="1" customWidth="1"/>
    <col min="4866" max="4866" width="8.5703125" style="93" bestFit="1" customWidth="1"/>
    <col min="4867" max="4868" width="6.5703125" style="93" bestFit="1" customWidth="1"/>
    <col min="4869" max="4869" width="6.28515625" style="93" bestFit="1" customWidth="1"/>
    <col min="4870" max="4870" width="5.85546875" style="93" customWidth="1"/>
    <col min="4871" max="4871" width="5.5703125" style="93" bestFit="1" customWidth="1"/>
    <col min="4872" max="4873" width="4.5703125" style="93" customWidth="1"/>
    <col min="4874" max="4874" width="5.85546875" style="93" customWidth="1"/>
    <col min="4875" max="4875" width="5.5703125" style="93" bestFit="1" customWidth="1"/>
    <col min="4876" max="4877" width="4.5703125" style="93" bestFit="1" customWidth="1"/>
    <col min="4878" max="4878" width="5.5703125" style="93" bestFit="1" customWidth="1"/>
    <col min="4879" max="4882" width="4.5703125" style="93" bestFit="1" customWidth="1"/>
    <col min="4883" max="4883" width="6.28515625" style="93" bestFit="1" customWidth="1"/>
    <col min="4884" max="4886" width="6.28515625" style="93" customWidth="1"/>
    <col min="4887" max="4887" width="9.7109375" style="93" bestFit="1" customWidth="1"/>
    <col min="4888" max="4888" width="9.7109375" style="93" customWidth="1"/>
    <col min="4889" max="4889" width="9.7109375" style="93" bestFit="1" customWidth="1"/>
    <col min="4890" max="4891" width="14" style="93" customWidth="1"/>
    <col min="4892" max="4892" width="13.42578125" style="93" bestFit="1" customWidth="1"/>
    <col min="4893" max="4893" width="16" style="93" bestFit="1" customWidth="1"/>
    <col min="4894" max="4899" width="16" style="93" customWidth="1"/>
    <col min="4900" max="4904" width="9.140625" style="93"/>
    <col min="4905" max="4905" width="6.140625" style="93" bestFit="1" customWidth="1"/>
    <col min="4906" max="4906" width="6.42578125" style="93" bestFit="1" customWidth="1"/>
    <col min="4907" max="4907" width="5.5703125" style="93" bestFit="1" customWidth="1"/>
    <col min="4908" max="4908" width="6.5703125" style="93" bestFit="1" customWidth="1"/>
    <col min="4909" max="4909" width="6.85546875" style="93" bestFit="1" customWidth="1"/>
    <col min="4910" max="4910" width="6" style="93" bestFit="1" customWidth="1"/>
    <col min="4911" max="4911" width="6.5703125" style="93" bestFit="1" customWidth="1"/>
    <col min="4912" max="4912" width="6" style="93" bestFit="1" customWidth="1"/>
    <col min="4913" max="4913" width="6.5703125" style="93" bestFit="1" customWidth="1"/>
    <col min="4914" max="4914" width="9.140625" style="93"/>
    <col min="4915" max="4915" width="15.5703125" style="93" customWidth="1"/>
    <col min="4916" max="5120" width="9.140625" style="93"/>
    <col min="5121" max="5121" width="23.85546875" style="93" bestFit="1" customWidth="1"/>
    <col min="5122" max="5122" width="8.5703125" style="93" bestFit="1" customWidth="1"/>
    <col min="5123" max="5124" width="6.5703125" style="93" bestFit="1" customWidth="1"/>
    <col min="5125" max="5125" width="6.28515625" style="93" bestFit="1" customWidth="1"/>
    <col min="5126" max="5126" width="5.85546875" style="93" customWidth="1"/>
    <col min="5127" max="5127" width="5.5703125" style="93" bestFit="1" customWidth="1"/>
    <col min="5128" max="5129" width="4.5703125" style="93" customWidth="1"/>
    <col min="5130" max="5130" width="5.85546875" style="93" customWidth="1"/>
    <col min="5131" max="5131" width="5.5703125" style="93" bestFit="1" customWidth="1"/>
    <col min="5132" max="5133" width="4.5703125" style="93" bestFit="1" customWidth="1"/>
    <col min="5134" max="5134" width="5.5703125" style="93" bestFit="1" customWidth="1"/>
    <col min="5135" max="5138" width="4.5703125" style="93" bestFit="1" customWidth="1"/>
    <col min="5139" max="5139" width="6.28515625" style="93" bestFit="1" customWidth="1"/>
    <col min="5140" max="5142" width="6.28515625" style="93" customWidth="1"/>
    <col min="5143" max="5143" width="9.7109375" style="93" bestFit="1" customWidth="1"/>
    <col min="5144" max="5144" width="9.7109375" style="93" customWidth="1"/>
    <col min="5145" max="5145" width="9.7109375" style="93" bestFit="1" customWidth="1"/>
    <col min="5146" max="5147" width="14" style="93" customWidth="1"/>
    <col min="5148" max="5148" width="13.42578125" style="93" bestFit="1" customWidth="1"/>
    <col min="5149" max="5149" width="16" style="93" bestFit="1" customWidth="1"/>
    <col min="5150" max="5155" width="16" style="93" customWidth="1"/>
    <col min="5156" max="5160" width="9.140625" style="93"/>
    <col min="5161" max="5161" width="6.140625" style="93" bestFit="1" customWidth="1"/>
    <col min="5162" max="5162" width="6.42578125" style="93" bestFit="1" customWidth="1"/>
    <col min="5163" max="5163" width="5.5703125" style="93" bestFit="1" customWidth="1"/>
    <col min="5164" max="5164" width="6.5703125" style="93" bestFit="1" customWidth="1"/>
    <col min="5165" max="5165" width="6.85546875" style="93" bestFit="1" customWidth="1"/>
    <col min="5166" max="5166" width="6" style="93" bestFit="1" customWidth="1"/>
    <col min="5167" max="5167" width="6.5703125" style="93" bestFit="1" customWidth="1"/>
    <col min="5168" max="5168" width="6" style="93" bestFit="1" customWidth="1"/>
    <col min="5169" max="5169" width="6.5703125" style="93" bestFit="1" customWidth="1"/>
    <col min="5170" max="5170" width="9.140625" style="93"/>
    <col min="5171" max="5171" width="15.5703125" style="93" customWidth="1"/>
    <col min="5172" max="5376" width="9.140625" style="93"/>
    <col min="5377" max="5377" width="23.85546875" style="93" bestFit="1" customWidth="1"/>
    <col min="5378" max="5378" width="8.5703125" style="93" bestFit="1" customWidth="1"/>
    <col min="5379" max="5380" width="6.5703125" style="93" bestFit="1" customWidth="1"/>
    <col min="5381" max="5381" width="6.28515625" style="93" bestFit="1" customWidth="1"/>
    <col min="5382" max="5382" width="5.85546875" style="93" customWidth="1"/>
    <col min="5383" max="5383" width="5.5703125" style="93" bestFit="1" customWidth="1"/>
    <col min="5384" max="5385" width="4.5703125" style="93" customWidth="1"/>
    <col min="5386" max="5386" width="5.85546875" style="93" customWidth="1"/>
    <col min="5387" max="5387" width="5.5703125" style="93" bestFit="1" customWidth="1"/>
    <col min="5388" max="5389" width="4.5703125" style="93" bestFit="1" customWidth="1"/>
    <col min="5390" max="5390" width="5.5703125" style="93" bestFit="1" customWidth="1"/>
    <col min="5391" max="5394" width="4.5703125" style="93" bestFit="1" customWidth="1"/>
    <col min="5395" max="5395" width="6.28515625" style="93" bestFit="1" customWidth="1"/>
    <col min="5396" max="5398" width="6.28515625" style="93" customWidth="1"/>
    <col min="5399" max="5399" width="9.7109375" style="93" bestFit="1" customWidth="1"/>
    <col min="5400" max="5400" width="9.7109375" style="93" customWidth="1"/>
    <col min="5401" max="5401" width="9.7109375" style="93" bestFit="1" customWidth="1"/>
    <col min="5402" max="5403" width="14" style="93" customWidth="1"/>
    <col min="5404" max="5404" width="13.42578125" style="93" bestFit="1" customWidth="1"/>
    <col min="5405" max="5405" width="16" style="93" bestFit="1" customWidth="1"/>
    <col min="5406" max="5411" width="16" style="93" customWidth="1"/>
    <col min="5412" max="5416" width="9.140625" style="93"/>
    <col min="5417" max="5417" width="6.140625" style="93" bestFit="1" customWidth="1"/>
    <col min="5418" max="5418" width="6.42578125" style="93" bestFit="1" customWidth="1"/>
    <col min="5419" max="5419" width="5.5703125" style="93" bestFit="1" customWidth="1"/>
    <col min="5420" max="5420" width="6.5703125" style="93" bestFit="1" customWidth="1"/>
    <col min="5421" max="5421" width="6.85546875" style="93" bestFit="1" customWidth="1"/>
    <col min="5422" max="5422" width="6" style="93" bestFit="1" customWidth="1"/>
    <col min="5423" max="5423" width="6.5703125" style="93" bestFit="1" customWidth="1"/>
    <col min="5424" max="5424" width="6" style="93" bestFit="1" customWidth="1"/>
    <col min="5425" max="5425" width="6.5703125" style="93" bestFit="1" customWidth="1"/>
    <col min="5426" max="5426" width="9.140625" style="93"/>
    <col min="5427" max="5427" width="15.5703125" style="93" customWidth="1"/>
    <col min="5428" max="5632" width="9.140625" style="93"/>
    <col min="5633" max="5633" width="23.85546875" style="93" bestFit="1" customWidth="1"/>
    <col min="5634" max="5634" width="8.5703125" style="93" bestFit="1" customWidth="1"/>
    <col min="5635" max="5636" width="6.5703125" style="93" bestFit="1" customWidth="1"/>
    <col min="5637" max="5637" width="6.28515625" style="93" bestFit="1" customWidth="1"/>
    <col min="5638" max="5638" width="5.85546875" style="93" customWidth="1"/>
    <col min="5639" max="5639" width="5.5703125" style="93" bestFit="1" customWidth="1"/>
    <col min="5640" max="5641" width="4.5703125" style="93" customWidth="1"/>
    <col min="5642" max="5642" width="5.85546875" style="93" customWidth="1"/>
    <col min="5643" max="5643" width="5.5703125" style="93" bestFit="1" customWidth="1"/>
    <col min="5644" max="5645" width="4.5703125" style="93" bestFit="1" customWidth="1"/>
    <col min="5646" max="5646" width="5.5703125" style="93" bestFit="1" customWidth="1"/>
    <col min="5647" max="5650" width="4.5703125" style="93" bestFit="1" customWidth="1"/>
    <col min="5651" max="5651" width="6.28515625" style="93" bestFit="1" customWidth="1"/>
    <col min="5652" max="5654" width="6.28515625" style="93" customWidth="1"/>
    <col min="5655" max="5655" width="9.7109375" style="93" bestFit="1" customWidth="1"/>
    <col min="5656" max="5656" width="9.7109375" style="93" customWidth="1"/>
    <col min="5657" max="5657" width="9.7109375" style="93" bestFit="1" customWidth="1"/>
    <col min="5658" max="5659" width="14" style="93" customWidth="1"/>
    <col min="5660" max="5660" width="13.42578125" style="93" bestFit="1" customWidth="1"/>
    <col min="5661" max="5661" width="16" style="93" bestFit="1" customWidth="1"/>
    <col min="5662" max="5667" width="16" style="93" customWidth="1"/>
    <col min="5668" max="5672" width="9.140625" style="93"/>
    <col min="5673" max="5673" width="6.140625" style="93" bestFit="1" customWidth="1"/>
    <col min="5674" max="5674" width="6.42578125" style="93" bestFit="1" customWidth="1"/>
    <col min="5675" max="5675" width="5.5703125" style="93" bestFit="1" customWidth="1"/>
    <col min="5676" max="5676" width="6.5703125" style="93" bestFit="1" customWidth="1"/>
    <col min="5677" max="5677" width="6.85546875" style="93" bestFit="1" customWidth="1"/>
    <col min="5678" max="5678" width="6" style="93" bestFit="1" customWidth="1"/>
    <col min="5679" max="5679" width="6.5703125" style="93" bestFit="1" customWidth="1"/>
    <col min="5680" max="5680" width="6" style="93" bestFit="1" customWidth="1"/>
    <col min="5681" max="5681" width="6.5703125" style="93" bestFit="1" customWidth="1"/>
    <col min="5682" max="5682" width="9.140625" style="93"/>
    <col min="5683" max="5683" width="15.5703125" style="93" customWidth="1"/>
    <col min="5684" max="5888" width="9.140625" style="93"/>
    <col min="5889" max="5889" width="23.85546875" style="93" bestFit="1" customWidth="1"/>
    <col min="5890" max="5890" width="8.5703125" style="93" bestFit="1" customWidth="1"/>
    <col min="5891" max="5892" width="6.5703125" style="93" bestFit="1" customWidth="1"/>
    <col min="5893" max="5893" width="6.28515625" style="93" bestFit="1" customWidth="1"/>
    <col min="5894" max="5894" width="5.85546875" style="93" customWidth="1"/>
    <col min="5895" max="5895" width="5.5703125" style="93" bestFit="1" customWidth="1"/>
    <col min="5896" max="5897" width="4.5703125" style="93" customWidth="1"/>
    <col min="5898" max="5898" width="5.85546875" style="93" customWidth="1"/>
    <col min="5899" max="5899" width="5.5703125" style="93" bestFit="1" customWidth="1"/>
    <col min="5900" max="5901" width="4.5703125" style="93" bestFit="1" customWidth="1"/>
    <col min="5902" max="5902" width="5.5703125" style="93" bestFit="1" customWidth="1"/>
    <col min="5903" max="5906" width="4.5703125" style="93" bestFit="1" customWidth="1"/>
    <col min="5907" max="5907" width="6.28515625" style="93" bestFit="1" customWidth="1"/>
    <col min="5908" max="5910" width="6.28515625" style="93" customWidth="1"/>
    <col min="5911" max="5911" width="9.7109375" style="93" bestFit="1" customWidth="1"/>
    <col min="5912" max="5912" width="9.7109375" style="93" customWidth="1"/>
    <col min="5913" max="5913" width="9.7109375" style="93" bestFit="1" customWidth="1"/>
    <col min="5914" max="5915" width="14" style="93" customWidth="1"/>
    <col min="5916" max="5916" width="13.42578125" style="93" bestFit="1" customWidth="1"/>
    <col min="5917" max="5917" width="16" style="93" bestFit="1" customWidth="1"/>
    <col min="5918" max="5923" width="16" style="93" customWidth="1"/>
    <col min="5924" max="5928" width="9.140625" style="93"/>
    <col min="5929" max="5929" width="6.140625" style="93" bestFit="1" customWidth="1"/>
    <col min="5930" max="5930" width="6.42578125" style="93" bestFit="1" customWidth="1"/>
    <col min="5931" max="5931" width="5.5703125" style="93" bestFit="1" customWidth="1"/>
    <col min="5932" max="5932" width="6.5703125" style="93" bestFit="1" customWidth="1"/>
    <col min="5933" max="5933" width="6.85546875" style="93" bestFit="1" customWidth="1"/>
    <col min="5934" max="5934" width="6" style="93" bestFit="1" customWidth="1"/>
    <col min="5935" max="5935" width="6.5703125" style="93" bestFit="1" customWidth="1"/>
    <col min="5936" max="5936" width="6" style="93" bestFit="1" customWidth="1"/>
    <col min="5937" max="5937" width="6.5703125" style="93" bestFit="1" customWidth="1"/>
    <col min="5938" max="5938" width="9.140625" style="93"/>
    <col min="5939" max="5939" width="15.5703125" style="93" customWidth="1"/>
    <col min="5940" max="6144" width="9.140625" style="93"/>
    <col min="6145" max="6145" width="23.85546875" style="93" bestFit="1" customWidth="1"/>
    <col min="6146" max="6146" width="8.5703125" style="93" bestFit="1" customWidth="1"/>
    <col min="6147" max="6148" width="6.5703125" style="93" bestFit="1" customWidth="1"/>
    <col min="6149" max="6149" width="6.28515625" style="93" bestFit="1" customWidth="1"/>
    <col min="6150" max="6150" width="5.85546875" style="93" customWidth="1"/>
    <col min="6151" max="6151" width="5.5703125" style="93" bestFit="1" customWidth="1"/>
    <col min="6152" max="6153" width="4.5703125" style="93" customWidth="1"/>
    <col min="6154" max="6154" width="5.85546875" style="93" customWidth="1"/>
    <col min="6155" max="6155" width="5.5703125" style="93" bestFit="1" customWidth="1"/>
    <col min="6156" max="6157" width="4.5703125" style="93" bestFit="1" customWidth="1"/>
    <col min="6158" max="6158" width="5.5703125" style="93" bestFit="1" customWidth="1"/>
    <col min="6159" max="6162" width="4.5703125" style="93" bestFit="1" customWidth="1"/>
    <col min="6163" max="6163" width="6.28515625" style="93" bestFit="1" customWidth="1"/>
    <col min="6164" max="6166" width="6.28515625" style="93" customWidth="1"/>
    <col min="6167" max="6167" width="9.7109375" style="93" bestFit="1" customWidth="1"/>
    <col min="6168" max="6168" width="9.7109375" style="93" customWidth="1"/>
    <col min="6169" max="6169" width="9.7109375" style="93" bestFit="1" customWidth="1"/>
    <col min="6170" max="6171" width="14" style="93" customWidth="1"/>
    <col min="6172" max="6172" width="13.42578125" style="93" bestFit="1" customWidth="1"/>
    <col min="6173" max="6173" width="16" style="93" bestFit="1" customWidth="1"/>
    <col min="6174" max="6179" width="16" style="93" customWidth="1"/>
    <col min="6180" max="6184" width="9.140625" style="93"/>
    <col min="6185" max="6185" width="6.140625" style="93" bestFit="1" customWidth="1"/>
    <col min="6186" max="6186" width="6.42578125" style="93" bestFit="1" customWidth="1"/>
    <col min="6187" max="6187" width="5.5703125" style="93" bestFit="1" customWidth="1"/>
    <col min="6188" max="6188" width="6.5703125" style="93" bestFit="1" customWidth="1"/>
    <col min="6189" max="6189" width="6.85546875" style="93" bestFit="1" customWidth="1"/>
    <col min="6190" max="6190" width="6" style="93" bestFit="1" customWidth="1"/>
    <col min="6191" max="6191" width="6.5703125" style="93" bestFit="1" customWidth="1"/>
    <col min="6192" max="6192" width="6" style="93" bestFit="1" customWidth="1"/>
    <col min="6193" max="6193" width="6.5703125" style="93" bestFit="1" customWidth="1"/>
    <col min="6194" max="6194" width="9.140625" style="93"/>
    <col min="6195" max="6195" width="15.5703125" style="93" customWidth="1"/>
    <col min="6196" max="6400" width="9.140625" style="93"/>
    <col min="6401" max="6401" width="23.85546875" style="93" bestFit="1" customWidth="1"/>
    <col min="6402" max="6402" width="8.5703125" style="93" bestFit="1" customWidth="1"/>
    <col min="6403" max="6404" width="6.5703125" style="93" bestFit="1" customWidth="1"/>
    <col min="6405" max="6405" width="6.28515625" style="93" bestFit="1" customWidth="1"/>
    <col min="6406" max="6406" width="5.85546875" style="93" customWidth="1"/>
    <col min="6407" max="6407" width="5.5703125" style="93" bestFit="1" customWidth="1"/>
    <col min="6408" max="6409" width="4.5703125" style="93" customWidth="1"/>
    <col min="6410" max="6410" width="5.85546875" style="93" customWidth="1"/>
    <col min="6411" max="6411" width="5.5703125" style="93" bestFit="1" customWidth="1"/>
    <col min="6412" max="6413" width="4.5703125" style="93" bestFit="1" customWidth="1"/>
    <col min="6414" max="6414" width="5.5703125" style="93" bestFit="1" customWidth="1"/>
    <col min="6415" max="6418" width="4.5703125" style="93" bestFit="1" customWidth="1"/>
    <col min="6419" max="6419" width="6.28515625" style="93" bestFit="1" customWidth="1"/>
    <col min="6420" max="6422" width="6.28515625" style="93" customWidth="1"/>
    <col min="6423" max="6423" width="9.7109375" style="93" bestFit="1" customWidth="1"/>
    <col min="6424" max="6424" width="9.7109375" style="93" customWidth="1"/>
    <col min="6425" max="6425" width="9.7109375" style="93" bestFit="1" customWidth="1"/>
    <col min="6426" max="6427" width="14" style="93" customWidth="1"/>
    <col min="6428" max="6428" width="13.42578125" style="93" bestFit="1" customWidth="1"/>
    <col min="6429" max="6429" width="16" style="93" bestFit="1" customWidth="1"/>
    <col min="6430" max="6435" width="16" style="93" customWidth="1"/>
    <col min="6436" max="6440" width="9.140625" style="93"/>
    <col min="6441" max="6441" width="6.140625" style="93" bestFit="1" customWidth="1"/>
    <col min="6442" max="6442" width="6.42578125" style="93" bestFit="1" customWidth="1"/>
    <col min="6443" max="6443" width="5.5703125" style="93" bestFit="1" customWidth="1"/>
    <col min="6444" max="6444" width="6.5703125" style="93" bestFit="1" customWidth="1"/>
    <col min="6445" max="6445" width="6.85546875" style="93" bestFit="1" customWidth="1"/>
    <col min="6446" max="6446" width="6" style="93" bestFit="1" customWidth="1"/>
    <col min="6447" max="6447" width="6.5703125" style="93" bestFit="1" customWidth="1"/>
    <col min="6448" max="6448" width="6" style="93" bestFit="1" customWidth="1"/>
    <col min="6449" max="6449" width="6.5703125" style="93" bestFit="1" customWidth="1"/>
    <col min="6450" max="6450" width="9.140625" style="93"/>
    <col min="6451" max="6451" width="15.5703125" style="93" customWidth="1"/>
    <col min="6452" max="6656" width="9.140625" style="93"/>
    <col min="6657" max="6657" width="23.85546875" style="93" bestFit="1" customWidth="1"/>
    <col min="6658" max="6658" width="8.5703125" style="93" bestFit="1" customWidth="1"/>
    <col min="6659" max="6660" width="6.5703125" style="93" bestFit="1" customWidth="1"/>
    <col min="6661" max="6661" width="6.28515625" style="93" bestFit="1" customWidth="1"/>
    <col min="6662" max="6662" width="5.85546875" style="93" customWidth="1"/>
    <col min="6663" max="6663" width="5.5703125" style="93" bestFit="1" customWidth="1"/>
    <col min="6664" max="6665" width="4.5703125" style="93" customWidth="1"/>
    <col min="6666" max="6666" width="5.85546875" style="93" customWidth="1"/>
    <col min="6667" max="6667" width="5.5703125" style="93" bestFit="1" customWidth="1"/>
    <col min="6668" max="6669" width="4.5703125" style="93" bestFit="1" customWidth="1"/>
    <col min="6670" max="6670" width="5.5703125" style="93" bestFit="1" customWidth="1"/>
    <col min="6671" max="6674" width="4.5703125" style="93" bestFit="1" customWidth="1"/>
    <col min="6675" max="6675" width="6.28515625" style="93" bestFit="1" customWidth="1"/>
    <col min="6676" max="6678" width="6.28515625" style="93" customWidth="1"/>
    <col min="6679" max="6679" width="9.7109375" style="93" bestFit="1" customWidth="1"/>
    <col min="6680" max="6680" width="9.7109375" style="93" customWidth="1"/>
    <col min="6681" max="6681" width="9.7109375" style="93" bestFit="1" customWidth="1"/>
    <col min="6682" max="6683" width="14" style="93" customWidth="1"/>
    <col min="6684" max="6684" width="13.42578125" style="93" bestFit="1" customWidth="1"/>
    <col min="6685" max="6685" width="16" style="93" bestFit="1" customWidth="1"/>
    <col min="6686" max="6691" width="16" style="93" customWidth="1"/>
    <col min="6692" max="6696" width="9.140625" style="93"/>
    <col min="6697" max="6697" width="6.140625" style="93" bestFit="1" customWidth="1"/>
    <col min="6698" max="6698" width="6.42578125" style="93" bestFit="1" customWidth="1"/>
    <col min="6699" max="6699" width="5.5703125" style="93" bestFit="1" customWidth="1"/>
    <col min="6700" max="6700" width="6.5703125" style="93" bestFit="1" customWidth="1"/>
    <col min="6701" max="6701" width="6.85546875" style="93" bestFit="1" customWidth="1"/>
    <col min="6702" max="6702" width="6" style="93" bestFit="1" customWidth="1"/>
    <col min="6703" max="6703" width="6.5703125" style="93" bestFit="1" customWidth="1"/>
    <col min="6704" max="6704" width="6" style="93" bestFit="1" customWidth="1"/>
    <col min="6705" max="6705" width="6.5703125" style="93" bestFit="1" customWidth="1"/>
    <col min="6706" max="6706" width="9.140625" style="93"/>
    <col min="6707" max="6707" width="15.5703125" style="93" customWidth="1"/>
    <col min="6708" max="6912" width="9.140625" style="93"/>
    <col min="6913" max="6913" width="23.85546875" style="93" bestFit="1" customWidth="1"/>
    <col min="6914" max="6914" width="8.5703125" style="93" bestFit="1" customWidth="1"/>
    <col min="6915" max="6916" width="6.5703125" style="93" bestFit="1" customWidth="1"/>
    <col min="6917" max="6917" width="6.28515625" style="93" bestFit="1" customWidth="1"/>
    <col min="6918" max="6918" width="5.85546875" style="93" customWidth="1"/>
    <col min="6919" max="6919" width="5.5703125" style="93" bestFit="1" customWidth="1"/>
    <col min="6920" max="6921" width="4.5703125" style="93" customWidth="1"/>
    <col min="6922" max="6922" width="5.85546875" style="93" customWidth="1"/>
    <col min="6923" max="6923" width="5.5703125" style="93" bestFit="1" customWidth="1"/>
    <col min="6924" max="6925" width="4.5703125" style="93" bestFit="1" customWidth="1"/>
    <col min="6926" max="6926" width="5.5703125" style="93" bestFit="1" customWidth="1"/>
    <col min="6927" max="6930" width="4.5703125" style="93" bestFit="1" customWidth="1"/>
    <col min="6931" max="6931" width="6.28515625" style="93" bestFit="1" customWidth="1"/>
    <col min="6932" max="6934" width="6.28515625" style="93" customWidth="1"/>
    <col min="6935" max="6935" width="9.7109375" style="93" bestFit="1" customWidth="1"/>
    <col min="6936" max="6936" width="9.7109375" style="93" customWidth="1"/>
    <col min="6937" max="6937" width="9.7109375" style="93" bestFit="1" customWidth="1"/>
    <col min="6938" max="6939" width="14" style="93" customWidth="1"/>
    <col min="6940" max="6940" width="13.42578125" style="93" bestFit="1" customWidth="1"/>
    <col min="6941" max="6941" width="16" style="93" bestFit="1" customWidth="1"/>
    <col min="6942" max="6947" width="16" style="93" customWidth="1"/>
    <col min="6948" max="6952" width="9.140625" style="93"/>
    <col min="6953" max="6953" width="6.140625" style="93" bestFit="1" customWidth="1"/>
    <col min="6954" max="6954" width="6.42578125" style="93" bestFit="1" customWidth="1"/>
    <col min="6955" max="6955" width="5.5703125" style="93" bestFit="1" customWidth="1"/>
    <col min="6956" max="6956" width="6.5703125" style="93" bestFit="1" customWidth="1"/>
    <col min="6957" max="6957" width="6.85546875" style="93" bestFit="1" customWidth="1"/>
    <col min="6958" max="6958" width="6" style="93" bestFit="1" customWidth="1"/>
    <col min="6959" max="6959" width="6.5703125" style="93" bestFit="1" customWidth="1"/>
    <col min="6960" max="6960" width="6" style="93" bestFit="1" customWidth="1"/>
    <col min="6961" max="6961" width="6.5703125" style="93" bestFit="1" customWidth="1"/>
    <col min="6962" max="6962" width="9.140625" style="93"/>
    <col min="6963" max="6963" width="15.5703125" style="93" customWidth="1"/>
    <col min="6964" max="7168" width="9.140625" style="93"/>
    <col min="7169" max="7169" width="23.85546875" style="93" bestFit="1" customWidth="1"/>
    <col min="7170" max="7170" width="8.5703125" style="93" bestFit="1" customWidth="1"/>
    <col min="7171" max="7172" width="6.5703125" style="93" bestFit="1" customWidth="1"/>
    <col min="7173" max="7173" width="6.28515625" style="93" bestFit="1" customWidth="1"/>
    <col min="7174" max="7174" width="5.85546875" style="93" customWidth="1"/>
    <col min="7175" max="7175" width="5.5703125" style="93" bestFit="1" customWidth="1"/>
    <col min="7176" max="7177" width="4.5703125" style="93" customWidth="1"/>
    <col min="7178" max="7178" width="5.85546875" style="93" customWidth="1"/>
    <col min="7179" max="7179" width="5.5703125" style="93" bestFit="1" customWidth="1"/>
    <col min="7180" max="7181" width="4.5703125" style="93" bestFit="1" customWidth="1"/>
    <col min="7182" max="7182" width="5.5703125" style="93" bestFit="1" customWidth="1"/>
    <col min="7183" max="7186" width="4.5703125" style="93" bestFit="1" customWidth="1"/>
    <col min="7187" max="7187" width="6.28515625" style="93" bestFit="1" customWidth="1"/>
    <col min="7188" max="7190" width="6.28515625" style="93" customWidth="1"/>
    <col min="7191" max="7191" width="9.7109375" style="93" bestFit="1" customWidth="1"/>
    <col min="7192" max="7192" width="9.7109375" style="93" customWidth="1"/>
    <col min="7193" max="7193" width="9.7109375" style="93" bestFit="1" customWidth="1"/>
    <col min="7194" max="7195" width="14" style="93" customWidth="1"/>
    <col min="7196" max="7196" width="13.42578125" style="93" bestFit="1" customWidth="1"/>
    <col min="7197" max="7197" width="16" style="93" bestFit="1" customWidth="1"/>
    <col min="7198" max="7203" width="16" style="93" customWidth="1"/>
    <col min="7204" max="7208" width="9.140625" style="93"/>
    <col min="7209" max="7209" width="6.140625" style="93" bestFit="1" customWidth="1"/>
    <col min="7210" max="7210" width="6.42578125" style="93" bestFit="1" customWidth="1"/>
    <col min="7211" max="7211" width="5.5703125" style="93" bestFit="1" customWidth="1"/>
    <col min="7212" max="7212" width="6.5703125" style="93" bestFit="1" customWidth="1"/>
    <col min="7213" max="7213" width="6.85546875" style="93" bestFit="1" customWidth="1"/>
    <col min="7214" max="7214" width="6" style="93" bestFit="1" customWidth="1"/>
    <col min="7215" max="7215" width="6.5703125" style="93" bestFit="1" customWidth="1"/>
    <col min="7216" max="7216" width="6" style="93" bestFit="1" customWidth="1"/>
    <col min="7217" max="7217" width="6.5703125" style="93" bestFit="1" customWidth="1"/>
    <col min="7218" max="7218" width="9.140625" style="93"/>
    <col min="7219" max="7219" width="15.5703125" style="93" customWidth="1"/>
    <col min="7220" max="7424" width="9.140625" style="93"/>
    <col min="7425" max="7425" width="23.85546875" style="93" bestFit="1" customWidth="1"/>
    <col min="7426" max="7426" width="8.5703125" style="93" bestFit="1" customWidth="1"/>
    <col min="7427" max="7428" width="6.5703125" style="93" bestFit="1" customWidth="1"/>
    <col min="7429" max="7429" width="6.28515625" style="93" bestFit="1" customWidth="1"/>
    <col min="7430" max="7430" width="5.85546875" style="93" customWidth="1"/>
    <col min="7431" max="7431" width="5.5703125" style="93" bestFit="1" customWidth="1"/>
    <col min="7432" max="7433" width="4.5703125" style="93" customWidth="1"/>
    <col min="7434" max="7434" width="5.85546875" style="93" customWidth="1"/>
    <col min="7435" max="7435" width="5.5703125" style="93" bestFit="1" customWidth="1"/>
    <col min="7436" max="7437" width="4.5703125" style="93" bestFit="1" customWidth="1"/>
    <col min="7438" max="7438" width="5.5703125" style="93" bestFit="1" customWidth="1"/>
    <col min="7439" max="7442" width="4.5703125" style="93" bestFit="1" customWidth="1"/>
    <col min="7443" max="7443" width="6.28515625" style="93" bestFit="1" customWidth="1"/>
    <col min="7444" max="7446" width="6.28515625" style="93" customWidth="1"/>
    <col min="7447" max="7447" width="9.7109375" style="93" bestFit="1" customWidth="1"/>
    <col min="7448" max="7448" width="9.7109375" style="93" customWidth="1"/>
    <col min="7449" max="7449" width="9.7109375" style="93" bestFit="1" customWidth="1"/>
    <col min="7450" max="7451" width="14" style="93" customWidth="1"/>
    <col min="7452" max="7452" width="13.42578125" style="93" bestFit="1" customWidth="1"/>
    <col min="7453" max="7453" width="16" style="93" bestFit="1" customWidth="1"/>
    <col min="7454" max="7459" width="16" style="93" customWidth="1"/>
    <col min="7460" max="7464" width="9.140625" style="93"/>
    <col min="7465" max="7465" width="6.140625" style="93" bestFit="1" customWidth="1"/>
    <col min="7466" max="7466" width="6.42578125" style="93" bestFit="1" customWidth="1"/>
    <col min="7467" max="7467" width="5.5703125" style="93" bestFit="1" customWidth="1"/>
    <col min="7468" max="7468" width="6.5703125" style="93" bestFit="1" customWidth="1"/>
    <col min="7469" max="7469" width="6.85546875" style="93" bestFit="1" customWidth="1"/>
    <col min="7470" max="7470" width="6" style="93" bestFit="1" customWidth="1"/>
    <col min="7471" max="7471" width="6.5703125" style="93" bestFit="1" customWidth="1"/>
    <col min="7472" max="7472" width="6" style="93" bestFit="1" customWidth="1"/>
    <col min="7473" max="7473" width="6.5703125" style="93" bestFit="1" customWidth="1"/>
    <col min="7474" max="7474" width="9.140625" style="93"/>
    <col min="7475" max="7475" width="15.5703125" style="93" customWidth="1"/>
    <col min="7476" max="7680" width="9.140625" style="93"/>
    <col min="7681" max="7681" width="23.85546875" style="93" bestFit="1" customWidth="1"/>
    <col min="7682" max="7682" width="8.5703125" style="93" bestFit="1" customWidth="1"/>
    <col min="7683" max="7684" width="6.5703125" style="93" bestFit="1" customWidth="1"/>
    <col min="7685" max="7685" width="6.28515625" style="93" bestFit="1" customWidth="1"/>
    <col min="7686" max="7686" width="5.85546875" style="93" customWidth="1"/>
    <col min="7687" max="7687" width="5.5703125" style="93" bestFit="1" customWidth="1"/>
    <col min="7688" max="7689" width="4.5703125" style="93" customWidth="1"/>
    <col min="7690" max="7690" width="5.85546875" style="93" customWidth="1"/>
    <col min="7691" max="7691" width="5.5703125" style="93" bestFit="1" customWidth="1"/>
    <col min="7692" max="7693" width="4.5703125" style="93" bestFit="1" customWidth="1"/>
    <col min="7694" max="7694" width="5.5703125" style="93" bestFit="1" customWidth="1"/>
    <col min="7695" max="7698" width="4.5703125" style="93" bestFit="1" customWidth="1"/>
    <col min="7699" max="7699" width="6.28515625" style="93" bestFit="1" customWidth="1"/>
    <col min="7700" max="7702" width="6.28515625" style="93" customWidth="1"/>
    <col min="7703" max="7703" width="9.7109375" style="93" bestFit="1" customWidth="1"/>
    <col min="7704" max="7704" width="9.7109375" style="93" customWidth="1"/>
    <col min="7705" max="7705" width="9.7109375" style="93" bestFit="1" customWidth="1"/>
    <col min="7706" max="7707" width="14" style="93" customWidth="1"/>
    <col min="7708" max="7708" width="13.42578125" style="93" bestFit="1" customWidth="1"/>
    <col min="7709" max="7709" width="16" style="93" bestFit="1" customWidth="1"/>
    <col min="7710" max="7715" width="16" style="93" customWidth="1"/>
    <col min="7716" max="7720" width="9.140625" style="93"/>
    <col min="7721" max="7721" width="6.140625" style="93" bestFit="1" customWidth="1"/>
    <col min="7722" max="7722" width="6.42578125" style="93" bestFit="1" customWidth="1"/>
    <col min="7723" max="7723" width="5.5703125" style="93" bestFit="1" customWidth="1"/>
    <col min="7724" max="7724" width="6.5703125" style="93" bestFit="1" customWidth="1"/>
    <col min="7725" max="7725" width="6.85546875" style="93" bestFit="1" customWidth="1"/>
    <col min="7726" max="7726" width="6" style="93" bestFit="1" customWidth="1"/>
    <col min="7727" max="7727" width="6.5703125" style="93" bestFit="1" customWidth="1"/>
    <col min="7728" max="7728" width="6" style="93" bestFit="1" customWidth="1"/>
    <col min="7729" max="7729" width="6.5703125" style="93" bestFit="1" customWidth="1"/>
    <col min="7730" max="7730" width="9.140625" style="93"/>
    <col min="7731" max="7731" width="15.5703125" style="93" customWidth="1"/>
    <col min="7732" max="7936" width="9.140625" style="93"/>
    <col min="7937" max="7937" width="23.85546875" style="93" bestFit="1" customWidth="1"/>
    <col min="7938" max="7938" width="8.5703125" style="93" bestFit="1" customWidth="1"/>
    <col min="7939" max="7940" width="6.5703125" style="93" bestFit="1" customWidth="1"/>
    <col min="7941" max="7941" width="6.28515625" style="93" bestFit="1" customWidth="1"/>
    <col min="7942" max="7942" width="5.85546875" style="93" customWidth="1"/>
    <col min="7943" max="7943" width="5.5703125" style="93" bestFit="1" customWidth="1"/>
    <col min="7944" max="7945" width="4.5703125" style="93" customWidth="1"/>
    <col min="7946" max="7946" width="5.85546875" style="93" customWidth="1"/>
    <col min="7947" max="7947" width="5.5703125" style="93" bestFit="1" customWidth="1"/>
    <col min="7948" max="7949" width="4.5703125" style="93" bestFit="1" customWidth="1"/>
    <col min="7950" max="7950" width="5.5703125" style="93" bestFit="1" customWidth="1"/>
    <col min="7951" max="7954" width="4.5703125" style="93" bestFit="1" customWidth="1"/>
    <col min="7955" max="7955" width="6.28515625" style="93" bestFit="1" customWidth="1"/>
    <col min="7956" max="7958" width="6.28515625" style="93" customWidth="1"/>
    <col min="7959" max="7959" width="9.7109375" style="93" bestFit="1" customWidth="1"/>
    <col min="7960" max="7960" width="9.7109375" style="93" customWidth="1"/>
    <col min="7961" max="7961" width="9.7109375" style="93" bestFit="1" customWidth="1"/>
    <col min="7962" max="7963" width="14" style="93" customWidth="1"/>
    <col min="7964" max="7964" width="13.42578125" style="93" bestFit="1" customWidth="1"/>
    <col min="7965" max="7965" width="16" style="93" bestFit="1" customWidth="1"/>
    <col min="7966" max="7971" width="16" style="93" customWidth="1"/>
    <col min="7972" max="7976" width="9.140625" style="93"/>
    <col min="7977" max="7977" width="6.140625" style="93" bestFit="1" customWidth="1"/>
    <col min="7978" max="7978" width="6.42578125" style="93" bestFit="1" customWidth="1"/>
    <col min="7979" max="7979" width="5.5703125" style="93" bestFit="1" customWidth="1"/>
    <col min="7980" max="7980" width="6.5703125" style="93" bestFit="1" customWidth="1"/>
    <col min="7981" max="7981" width="6.85546875" style="93" bestFit="1" customWidth="1"/>
    <col min="7982" max="7982" width="6" style="93" bestFit="1" customWidth="1"/>
    <col min="7983" max="7983" width="6.5703125" style="93" bestFit="1" customWidth="1"/>
    <col min="7984" max="7984" width="6" style="93" bestFit="1" customWidth="1"/>
    <col min="7985" max="7985" width="6.5703125" style="93" bestFit="1" customWidth="1"/>
    <col min="7986" max="7986" width="9.140625" style="93"/>
    <col min="7987" max="7987" width="15.5703125" style="93" customWidth="1"/>
    <col min="7988" max="8192" width="9.140625" style="93"/>
    <col min="8193" max="8193" width="23.85546875" style="93" bestFit="1" customWidth="1"/>
    <col min="8194" max="8194" width="8.5703125" style="93" bestFit="1" customWidth="1"/>
    <col min="8195" max="8196" width="6.5703125" style="93" bestFit="1" customWidth="1"/>
    <col min="8197" max="8197" width="6.28515625" style="93" bestFit="1" customWidth="1"/>
    <col min="8198" max="8198" width="5.85546875" style="93" customWidth="1"/>
    <col min="8199" max="8199" width="5.5703125" style="93" bestFit="1" customWidth="1"/>
    <col min="8200" max="8201" width="4.5703125" style="93" customWidth="1"/>
    <col min="8202" max="8202" width="5.85546875" style="93" customWidth="1"/>
    <col min="8203" max="8203" width="5.5703125" style="93" bestFit="1" customWidth="1"/>
    <col min="8204" max="8205" width="4.5703125" style="93" bestFit="1" customWidth="1"/>
    <col min="8206" max="8206" width="5.5703125" style="93" bestFit="1" customWidth="1"/>
    <col min="8207" max="8210" width="4.5703125" style="93" bestFit="1" customWidth="1"/>
    <col min="8211" max="8211" width="6.28515625" style="93" bestFit="1" customWidth="1"/>
    <col min="8212" max="8214" width="6.28515625" style="93" customWidth="1"/>
    <col min="8215" max="8215" width="9.7109375" style="93" bestFit="1" customWidth="1"/>
    <col min="8216" max="8216" width="9.7109375" style="93" customWidth="1"/>
    <col min="8217" max="8217" width="9.7109375" style="93" bestFit="1" customWidth="1"/>
    <col min="8218" max="8219" width="14" style="93" customWidth="1"/>
    <col min="8220" max="8220" width="13.42578125" style="93" bestFit="1" customWidth="1"/>
    <col min="8221" max="8221" width="16" style="93" bestFit="1" customWidth="1"/>
    <col min="8222" max="8227" width="16" style="93" customWidth="1"/>
    <col min="8228" max="8232" width="9.140625" style="93"/>
    <col min="8233" max="8233" width="6.140625" style="93" bestFit="1" customWidth="1"/>
    <col min="8234" max="8234" width="6.42578125" style="93" bestFit="1" customWidth="1"/>
    <col min="8235" max="8235" width="5.5703125" style="93" bestFit="1" customWidth="1"/>
    <col min="8236" max="8236" width="6.5703125" style="93" bestFit="1" customWidth="1"/>
    <col min="8237" max="8237" width="6.85546875" style="93" bestFit="1" customWidth="1"/>
    <col min="8238" max="8238" width="6" style="93" bestFit="1" customWidth="1"/>
    <col min="8239" max="8239" width="6.5703125" style="93" bestFit="1" customWidth="1"/>
    <col min="8240" max="8240" width="6" style="93" bestFit="1" customWidth="1"/>
    <col min="8241" max="8241" width="6.5703125" style="93" bestFit="1" customWidth="1"/>
    <col min="8242" max="8242" width="9.140625" style="93"/>
    <col min="8243" max="8243" width="15.5703125" style="93" customWidth="1"/>
    <col min="8244" max="8448" width="9.140625" style="93"/>
    <col min="8449" max="8449" width="23.85546875" style="93" bestFit="1" customWidth="1"/>
    <col min="8450" max="8450" width="8.5703125" style="93" bestFit="1" customWidth="1"/>
    <col min="8451" max="8452" width="6.5703125" style="93" bestFit="1" customWidth="1"/>
    <col min="8453" max="8453" width="6.28515625" style="93" bestFit="1" customWidth="1"/>
    <col min="8454" max="8454" width="5.85546875" style="93" customWidth="1"/>
    <col min="8455" max="8455" width="5.5703125" style="93" bestFit="1" customWidth="1"/>
    <col min="8456" max="8457" width="4.5703125" style="93" customWidth="1"/>
    <col min="8458" max="8458" width="5.85546875" style="93" customWidth="1"/>
    <col min="8459" max="8459" width="5.5703125" style="93" bestFit="1" customWidth="1"/>
    <col min="8460" max="8461" width="4.5703125" style="93" bestFit="1" customWidth="1"/>
    <col min="8462" max="8462" width="5.5703125" style="93" bestFit="1" customWidth="1"/>
    <col min="8463" max="8466" width="4.5703125" style="93" bestFit="1" customWidth="1"/>
    <col min="8467" max="8467" width="6.28515625" style="93" bestFit="1" customWidth="1"/>
    <col min="8468" max="8470" width="6.28515625" style="93" customWidth="1"/>
    <col min="8471" max="8471" width="9.7109375" style="93" bestFit="1" customWidth="1"/>
    <col min="8472" max="8472" width="9.7109375" style="93" customWidth="1"/>
    <col min="8473" max="8473" width="9.7109375" style="93" bestFit="1" customWidth="1"/>
    <col min="8474" max="8475" width="14" style="93" customWidth="1"/>
    <col min="8476" max="8476" width="13.42578125" style="93" bestFit="1" customWidth="1"/>
    <col min="8477" max="8477" width="16" style="93" bestFit="1" customWidth="1"/>
    <col min="8478" max="8483" width="16" style="93" customWidth="1"/>
    <col min="8484" max="8488" width="9.140625" style="93"/>
    <col min="8489" max="8489" width="6.140625" style="93" bestFit="1" customWidth="1"/>
    <col min="8490" max="8490" width="6.42578125" style="93" bestFit="1" customWidth="1"/>
    <col min="8491" max="8491" width="5.5703125" style="93" bestFit="1" customWidth="1"/>
    <col min="8492" max="8492" width="6.5703125" style="93" bestFit="1" customWidth="1"/>
    <col min="8493" max="8493" width="6.85546875" style="93" bestFit="1" customWidth="1"/>
    <col min="8494" max="8494" width="6" style="93" bestFit="1" customWidth="1"/>
    <col min="8495" max="8495" width="6.5703125" style="93" bestFit="1" customWidth="1"/>
    <col min="8496" max="8496" width="6" style="93" bestFit="1" customWidth="1"/>
    <col min="8497" max="8497" width="6.5703125" style="93" bestFit="1" customWidth="1"/>
    <col min="8498" max="8498" width="9.140625" style="93"/>
    <col min="8499" max="8499" width="15.5703125" style="93" customWidth="1"/>
    <col min="8500" max="8704" width="9.140625" style="93"/>
    <col min="8705" max="8705" width="23.85546875" style="93" bestFit="1" customWidth="1"/>
    <col min="8706" max="8706" width="8.5703125" style="93" bestFit="1" customWidth="1"/>
    <col min="8707" max="8708" width="6.5703125" style="93" bestFit="1" customWidth="1"/>
    <col min="8709" max="8709" width="6.28515625" style="93" bestFit="1" customWidth="1"/>
    <col min="8710" max="8710" width="5.85546875" style="93" customWidth="1"/>
    <col min="8711" max="8711" width="5.5703125" style="93" bestFit="1" customWidth="1"/>
    <col min="8712" max="8713" width="4.5703125" style="93" customWidth="1"/>
    <col min="8714" max="8714" width="5.85546875" style="93" customWidth="1"/>
    <col min="8715" max="8715" width="5.5703125" style="93" bestFit="1" customWidth="1"/>
    <col min="8716" max="8717" width="4.5703125" style="93" bestFit="1" customWidth="1"/>
    <col min="8718" max="8718" width="5.5703125" style="93" bestFit="1" customWidth="1"/>
    <col min="8719" max="8722" width="4.5703125" style="93" bestFit="1" customWidth="1"/>
    <col min="8723" max="8723" width="6.28515625" style="93" bestFit="1" customWidth="1"/>
    <col min="8724" max="8726" width="6.28515625" style="93" customWidth="1"/>
    <col min="8727" max="8727" width="9.7109375" style="93" bestFit="1" customWidth="1"/>
    <col min="8728" max="8728" width="9.7109375" style="93" customWidth="1"/>
    <col min="8729" max="8729" width="9.7109375" style="93" bestFit="1" customWidth="1"/>
    <col min="8730" max="8731" width="14" style="93" customWidth="1"/>
    <col min="8732" max="8732" width="13.42578125" style="93" bestFit="1" customWidth="1"/>
    <col min="8733" max="8733" width="16" style="93" bestFit="1" customWidth="1"/>
    <col min="8734" max="8739" width="16" style="93" customWidth="1"/>
    <col min="8740" max="8744" width="9.140625" style="93"/>
    <col min="8745" max="8745" width="6.140625" style="93" bestFit="1" customWidth="1"/>
    <col min="8746" max="8746" width="6.42578125" style="93" bestFit="1" customWidth="1"/>
    <col min="8747" max="8747" width="5.5703125" style="93" bestFit="1" customWidth="1"/>
    <col min="8748" max="8748" width="6.5703125" style="93" bestFit="1" customWidth="1"/>
    <col min="8749" max="8749" width="6.85546875" style="93" bestFit="1" customWidth="1"/>
    <col min="8750" max="8750" width="6" style="93" bestFit="1" customWidth="1"/>
    <col min="8751" max="8751" width="6.5703125" style="93" bestFit="1" customWidth="1"/>
    <col min="8752" max="8752" width="6" style="93" bestFit="1" customWidth="1"/>
    <col min="8753" max="8753" width="6.5703125" style="93" bestFit="1" customWidth="1"/>
    <col min="8754" max="8754" width="9.140625" style="93"/>
    <col min="8755" max="8755" width="15.5703125" style="93" customWidth="1"/>
    <col min="8756" max="8960" width="9.140625" style="93"/>
    <col min="8961" max="8961" width="23.85546875" style="93" bestFit="1" customWidth="1"/>
    <col min="8962" max="8962" width="8.5703125" style="93" bestFit="1" customWidth="1"/>
    <col min="8963" max="8964" width="6.5703125" style="93" bestFit="1" customWidth="1"/>
    <col min="8965" max="8965" width="6.28515625" style="93" bestFit="1" customWidth="1"/>
    <col min="8966" max="8966" width="5.85546875" style="93" customWidth="1"/>
    <col min="8967" max="8967" width="5.5703125" style="93" bestFit="1" customWidth="1"/>
    <col min="8968" max="8969" width="4.5703125" style="93" customWidth="1"/>
    <col min="8970" max="8970" width="5.85546875" style="93" customWidth="1"/>
    <col min="8971" max="8971" width="5.5703125" style="93" bestFit="1" customWidth="1"/>
    <col min="8972" max="8973" width="4.5703125" style="93" bestFit="1" customWidth="1"/>
    <col min="8974" max="8974" width="5.5703125" style="93" bestFit="1" customWidth="1"/>
    <col min="8975" max="8978" width="4.5703125" style="93" bestFit="1" customWidth="1"/>
    <col min="8979" max="8979" width="6.28515625" style="93" bestFit="1" customWidth="1"/>
    <col min="8980" max="8982" width="6.28515625" style="93" customWidth="1"/>
    <col min="8983" max="8983" width="9.7109375" style="93" bestFit="1" customWidth="1"/>
    <col min="8984" max="8984" width="9.7109375" style="93" customWidth="1"/>
    <col min="8985" max="8985" width="9.7109375" style="93" bestFit="1" customWidth="1"/>
    <col min="8986" max="8987" width="14" style="93" customWidth="1"/>
    <col min="8988" max="8988" width="13.42578125" style="93" bestFit="1" customWidth="1"/>
    <col min="8989" max="8989" width="16" style="93" bestFit="1" customWidth="1"/>
    <col min="8990" max="8995" width="16" style="93" customWidth="1"/>
    <col min="8996" max="9000" width="9.140625" style="93"/>
    <col min="9001" max="9001" width="6.140625" style="93" bestFit="1" customWidth="1"/>
    <col min="9002" max="9002" width="6.42578125" style="93" bestFit="1" customWidth="1"/>
    <col min="9003" max="9003" width="5.5703125" style="93" bestFit="1" customWidth="1"/>
    <col min="9004" max="9004" width="6.5703125" style="93" bestFit="1" customWidth="1"/>
    <col min="9005" max="9005" width="6.85546875" style="93" bestFit="1" customWidth="1"/>
    <col min="9006" max="9006" width="6" style="93" bestFit="1" customWidth="1"/>
    <col min="9007" max="9007" width="6.5703125" style="93" bestFit="1" customWidth="1"/>
    <col min="9008" max="9008" width="6" style="93" bestFit="1" customWidth="1"/>
    <col min="9009" max="9009" width="6.5703125" style="93" bestFit="1" customWidth="1"/>
    <col min="9010" max="9010" width="9.140625" style="93"/>
    <col min="9011" max="9011" width="15.5703125" style="93" customWidth="1"/>
    <col min="9012" max="9216" width="9.140625" style="93"/>
    <col min="9217" max="9217" width="23.85546875" style="93" bestFit="1" customWidth="1"/>
    <col min="9218" max="9218" width="8.5703125" style="93" bestFit="1" customWidth="1"/>
    <col min="9219" max="9220" width="6.5703125" style="93" bestFit="1" customWidth="1"/>
    <col min="9221" max="9221" width="6.28515625" style="93" bestFit="1" customWidth="1"/>
    <col min="9222" max="9222" width="5.85546875" style="93" customWidth="1"/>
    <col min="9223" max="9223" width="5.5703125" style="93" bestFit="1" customWidth="1"/>
    <col min="9224" max="9225" width="4.5703125" style="93" customWidth="1"/>
    <col min="9226" max="9226" width="5.85546875" style="93" customWidth="1"/>
    <col min="9227" max="9227" width="5.5703125" style="93" bestFit="1" customWidth="1"/>
    <col min="9228" max="9229" width="4.5703125" style="93" bestFit="1" customWidth="1"/>
    <col min="9230" max="9230" width="5.5703125" style="93" bestFit="1" customWidth="1"/>
    <col min="9231" max="9234" width="4.5703125" style="93" bestFit="1" customWidth="1"/>
    <col min="9235" max="9235" width="6.28515625" style="93" bestFit="1" customWidth="1"/>
    <col min="9236" max="9238" width="6.28515625" style="93" customWidth="1"/>
    <col min="9239" max="9239" width="9.7109375" style="93" bestFit="1" customWidth="1"/>
    <col min="9240" max="9240" width="9.7109375" style="93" customWidth="1"/>
    <col min="9241" max="9241" width="9.7109375" style="93" bestFit="1" customWidth="1"/>
    <col min="9242" max="9243" width="14" style="93" customWidth="1"/>
    <col min="9244" max="9244" width="13.42578125" style="93" bestFit="1" customWidth="1"/>
    <col min="9245" max="9245" width="16" style="93" bestFit="1" customWidth="1"/>
    <col min="9246" max="9251" width="16" style="93" customWidth="1"/>
    <col min="9252" max="9256" width="9.140625" style="93"/>
    <col min="9257" max="9257" width="6.140625" style="93" bestFit="1" customWidth="1"/>
    <col min="9258" max="9258" width="6.42578125" style="93" bestFit="1" customWidth="1"/>
    <col min="9259" max="9259" width="5.5703125" style="93" bestFit="1" customWidth="1"/>
    <col min="9260" max="9260" width="6.5703125" style="93" bestFit="1" customWidth="1"/>
    <col min="9261" max="9261" width="6.85546875" style="93" bestFit="1" customWidth="1"/>
    <col min="9262" max="9262" width="6" style="93" bestFit="1" customWidth="1"/>
    <col min="9263" max="9263" width="6.5703125" style="93" bestFit="1" customWidth="1"/>
    <col min="9264" max="9264" width="6" style="93" bestFit="1" customWidth="1"/>
    <col min="9265" max="9265" width="6.5703125" style="93" bestFit="1" customWidth="1"/>
    <col min="9266" max="9266" width="9.140625" style="93"/>
    <col min="9267" max="9267" width="15.5703125" style="93" customWidth="1"/>
    <col min="9268" max="9472" width="9.140625" style="93"/>
    <col min="9473" max="9473" width="23.85546875" style="93" bestFit="1" customWidth="1"/>
    <col min="9474" max="9474" width="8.5703125" style="93" bestFit="1" customWidth="1"/>
    <col min="9475" max="9476" width="6.5703125" style="93" bestFit="1" customWidth="1"/>
    <col min="9477" max="9477" width="6.28515625" style="93" bestFit="1" customWidth="1"/>
    <col min="9478" max="9478" width="5.85546875" style="93" customWidth="1"/>
    <col min="9479" max="9479" width="5.5703125" style="93" bestFit="1" customWidth="1"/>
    <col min="9480" max="9481" width="4.5703125" style="93" customWidth="1"/>
    <col min="9482" max="9482" width="5.85546875" style="93" customWidth="1"/>
    <col min="9483" max="9483" width="5.5703125" style="93" bestFit="1" customWidth="1"/>
    <col min="9484" max="9485" width="4.5703125" style="93" bestFit="1" customWidth="1"/>
    <col min="9486" max="9486" width="5.5703125" style="93" bestFit="1" customWidth="1"/>
    <col min="9487" max="9490" width="4.5703125" style="93" bestFit="1" customWidth="1"/>
    <col min="9491" max="9491" width="6.28515625" style="93" bestFit="1" customWidth="1"/>
    <col min="9492" max="9494" width="6.28515625" style="93" customWidth="1"/>
    <col min="9495" max="9495" width="9.7109375" style="93" bestFit="1" customWidth="1"/>
    <col min="9496" max="9496" width="9.7109375" style="93" customWidth="1"/>
    <col min="9497" max="9497" width="9.7109375" style="93" bestFit="1" customWidth="1"/>
    <col min="9498" max="9499" width="14" style="93" customWidth="1"/>
    <col min="9500" max="9500" width="13.42578125" style="93" bestFit="1" customWidth="1"/>
    <col min="9501" max="9501" width="16" style="93" bestFit="1" customWidth="1"/>
    <col min="9502" max="9507" width="16" style="93" customWidth="1"/>
    <col min="9508" max="9512" width="9.140625" style="93"/>
    <col min="9513" max="9513" width="6.140625" style="93" bestFit="1" customWidth="1"/>
    <col min="9514" max="9514" width="6.42578125" style="93" bestFit="1" customWidth="1"/>
    <col min="9515" max="9515" width="5.5703125" style="93" bestFit="1" customWidth="1"/>
    <col min="9516" max="9516" width="6.5703125" style="93" bestFit="1" customWidth="1"/>
    <col min="9517" max="9517" width="6.85546875" style="93" bestFit="1" customWidth="1"/>
    <col min="9518" max="9518" width="6" style="93" bestFit="1" customWidth="1"/>
    <col min="9519" max="9519" width="6.5703125" style="93" bestFit="1" customWidth="1"/>
    <col min="9520" max="9520" width="6" style="93" bestFit="1" customWidth="1"/>
    <col min="9521" max="9521" width="6.5703125" style="93" bestFit="1" customWidth="1"/>
    <col min="9522" max="9522" width="9.140625" style="93"/>
    <col min="9523" max="9523" width="15.5703125" style="93" customWidth="1"/>
    <col min="9524" max="9728" width="9.140625" style="93"/>
    <col min="9729" max="9729" width="23.85546875" style="93" bestFit="1" customWidth="1"/>
    <col min="9730" max="9730" width="8.5703125" style="93" bestFit="1" customWidth="1"/>
    <col min="9731" max="9732" width="6.5703125" style="93" bestFit="1" customWidth="1"/>
    <col min="9733" max="9733" width="6.28515625" style="93" bestFit="1" customWidth="1"/>
    <col min="9734" max="9734" width="5.85546875" style="93" customWidth="1"/>
    <col min="9735" max="9735" width="5.5703125" style="93" bestFit="1" customWidth="1"/>
    <col min="9736" max="9737" width="4.5703125" style="93" customWidth="1"/>
    <col min="9738" max="9738" width="5.85546875" style="93" customWidth="1"/>
    <col min="9739" max="9739" width="5.5703125" style="93" bestFit="1" customWidth="1"/>
    <col min="9740" max="9741" width="4.5703125" style="93" bestFit="1" customWidth="1"/>
    <col min="9742" max="9742" width="5.5703125" style="93" bestFit="1" customWidth="1"/>
    <col min="9743" max="9746" width="4.5703125" style="93" bestFit="1" customWidth="1"/>
    <col min="9747" max="9747" width="6.28515625" style="93" bestFit="1" customWidth="1"/>
    <col min="9748" max="9750" width="6.28515625" style="93" customWidth="1"/>
    <col min="9751" max="9751" width="9.7109375" style="93" bestFit="1" customWidth="1"/>
    <col min="9752" max="9752" width="9.7109375" style="93" customWidth="1"/>
    <col min="9753" max="9753" width="9.7109375" style="93" bestFit="1" customWidth="1"/>
    <col min="9754" max="9755" width="14" style="93" customWidth="1"/>
    <col min="9756" max="9756" width="13.42578125" style="93" bestFit="1" customWidth="1"/>
    <col min="9757" max="9757" width="16" style="93" bestFit="1" customWidth="1"/>
    <col min="9758" max="9763" width="16" style="93" customWidth="1"/>
    <col min="9764" max="9768" width="9.140625" style="93"/>
    <col min="9769" max="9769" width="6.140625" style="93" bestFit="1" customWidth="1"/>
    <col min="9770" max="9770" width="6.42578125" style="93" bestFit="1" customWidth="1"/>
    <col min="9771" max="9771" width="5.5703125" style="93" bestFit="1" customWidth="1"/>
    <col min="9772" max="9772" width="6.5703125" style="93" bestFit="1" customWidth="1"/>
    <col min="9773" max="9773" width="6.85546875" style="93" bestFit="1" customWidth="1"/>
    <col min="9774" max="9774" width="6" style="93" bestFit="1" customWidth="1"/>
    <col min="9775" max="9775" width="6.5703125" style="93" bestFit="1" customWidth="1"/>
    <col min="9776" max="9776" width="6" style="93" bestFit="1" customWidth="1"/>
    <col min="9777" max="9777" width="6.5703125" style="93" bestFit="1" customWidth="1"/>
    <col min="9778" max="9778" width="9.140625" style="93"/>
    <col min="9779" max="9779" width="15.5703125" style="93" customWidth="1"/>
    <col min="9780" max="9984" width="9.140625" style="93"/>
    <col min="9985" max="9985" width="23.85546875" style="93" bestFit="1" customWidth="1"/>
    <col min="9986" max="9986" width="8.5703125" style="93" bestFit="1" customWidth="1"/>
    <col min="9987" max="9988" width="6.5703125" style="93" bestFit="1" customWidth="1"/>
    <col min="9989" max="9989" width="6.28515625" style="93" bestFit="1" customWidth="1"/>
    <col min="9990" max="9990" width="5.85546875" style="93" customWidth="1"/>
    <col min="9991" max="9991" width="5.5703125" style="93" bestFit="1" customWidth="1"/>
    <col min="9992" max="9993" width="4.5703125" style="93" customWidth="1"/>
    <col min="9994" max="9994" width="5.85546875" style="93" customWidth="1"/>
    <col min="9995" max="9995" width="5.5703125" style="93" bestFit="1" customWidth="1"/>
    <col min="9996" max="9997" width="4.5703125" style="93" bestFit="1" customWidth="1"/>
    <col min="9998" max="9998" width="5.5703125" style="93" bestFit="1" customWidth="1"/>
    <col min="9999" max="10002" width="4.5703125" style="93" bestFit="1" customWidth="1"/>
    <col min="10003" max="10003" width="6.28515625" style="93" bestFit="1" customWidth="1"/>
    <col min="10004" max="10006" width="6.28515625" style="93" customWidth="1"/>
    <col min="10007" max="10007" width="9.7109375" style="93" bestFit="1" customWidth="1"/>
    <col min="10008" max="10008" width="9.7109375" style="93" customWidth="1"/>
    <col min="10009" max="10009" width="9.7109375" style="93" bestFit="1" customWidth="1"/>
    <col min="10010" max="10011" width="14" style="93" customWidth="1"/>
    <col min="10012" max="10012" width="13.42578125" style="93" bestFit="1" customWidth="1"/>
    <col min="10013" max="10013" width="16" style="93" bestFit="1" customWidth="1"/>
    <col min="10014" max="10019" width="16" style="93" customWidth="1"/>
    <col min="10020" max="10024" width="9.140625" style="93"/>
    <col min="10025" max="10025" width="6.140625" style="93" bestFit="1" customWidth="1"/>
    <col min="10026" max="10026" width="6.42578125" style="93" bestFit="1" customWidth="1"/>
    <col min="10027" max="10027" width="5.5703125" style="93" bestFit="1" customWidth="1"/>
    <col min="10028" max="10028" width="6.5703125" style="93" bestFit="1" customWidth="1"/>
    <col min="10029" max="10029" width="6.85546875" style="93" bestFit="1" customWidth="1"/>
    <col min="10030" max="10030" width="6" style="93" bestFit="1" customWidth="1"/>
    <col min="10031" max="10031" width="6.5703125" style="93" bestFit="1" customWidth="1"/>
    <col min="10032" max="10032" width="6" style="93" bestFit="1" customWidth="1"/>
    <col min="10033" max="10033" width="6.5703125" style="93" bestFit="1" customWidth="1"/>
    <col min="10034" max="10034" width="9.140625" style="93"/>
    <col min="10035" max="10035" width="15.5703125" style="93" customWidth="1"/>
    <col min="10036" max="10240" width="9.140625" style="93"/>
    <col min="10241" max="10241" width="23.85546875" style="93" bestFit="1" customWidth="1"/>
    <col min="10242" max="10242" width="8.5703125" style="93" bestFit="1" customWidth="1"/>
    <col min="10243" max="10244" width="6.5703125" style="93" bestFit="1" customWidth="1"/>
    <col min="10245" max="10245" width="6.28515625" style="93" bestFit="1" customWidth="1"/>
    <col min="10246" max="10246" width="5.85546875" style="93" customWidth="1"/>
    <col min="10247" max="10247" width="5.5703125" style="93" bestFit="1" customWidth="1"/>
    <col min="10248" max="10249" width="4.5703125" style="93" customWidth="1"/>
    <col min="10250" max="10250" width="5.85546875" style="93" customWidth="1"/>
    <col min="10251" max="10251" width="5.5703125" style="93" bestFit="1" customWidth="1"/>
    <col min="10252" max="10253" width="4.5703125" style="93" bestFit="1" customWidth="1"/>
    <col min="10254" max="10254" width="5.5703125" style="93" bestFit="1" customWidth="1"/>
    <col min="10255" max="10258" width="4.5703125" style="93" bestFit="1" customWidth="1"/>
    <col min="10259" max="10259" width="6.28515625" style="93" bestFit="1" customWidth="1"/>
    <col min="10260" max="10262" width="6.28515625" style="93" customWidth="1"/>
    <col min="10263" max="10263" width="9.7109375" style="93" bestFit="1" customWidth="1"/>
    <col min="10264" max="10264" width="9.7109375" style="93" customWidth="1"/>
    <col min="10265" max="10265" width="9.7109375" style="93" bestFit="1" customWidth="1"/>
    <col min="10266" max="10267" width="14" style="93" customWidth="1"/>
    <col min="10268" max="10268" width="13.42578125" style="93" bestFit="1" customWidth="1"/>
    <col min="10269" max="10269" width="16" style="93" bestFit="1" customWidth="1"/>
    <col min="10270" max="10275" width="16" style="93" customWidth="1"/>
    <col min="10276" max="10280" width="9.140625" style="93"/>
    <col min="10281" max="10281" width="6.140625" style="93" bestFit="1" customWidth="1"/>
    <col min="10282" max="10282" width="6.42578125" style="93" bestFit="1" customWidth="1"/>
    <col min="10283" max="10283" width="5.5703125" style="93" bestFit="1" customWidth="1"/>
    <col min="10284" max="10284" width="6.5703125" style="93" bestFit="1" customWidth="1"/>
    <col min="10285" max="10285" width="6.85546875" style="93" bestFit="1" customWidth="1"/>
    <col min="10286" max="10286" width="6" style="93" bestFit="1" customWidth="1"/>
    <col min="10287" max="10287" width="6.5703125" style="93" bestFit="1" customWidth="1"/>
    <col min="10288" max="10288" width="6" style="93" bestFit="1" customWidth="1"/>
    <col min="10289" max="10289" width="6.5703125" style="93" bestFit="1" customWidth="1"/>
    <col min="10290" max="10290" width="9.140625" style="93"/>
    <col min="10291" max="10291" width="15.5703125" style="93" customWidth="1"/>
    <col min="10292" max="10496" width="9.140625" style="93"/>
    <col min="10497" max="10497" width="23.85546875" style="93" bestFit="1" customWidth="1"/>
    <col min="10498" max="10498" width="8.5703125" style="93" bestFit="1" customWidth="1"/>
    <col min="10499" max="10500" width="6.5703125" style="93" bestFit="1" customWidth="1"/>
    <col min="10501" max="10501" width="6.28515625" style="93" bestFit="1" customWidth="1"/>
    <col min="10502" max="10502" width="5.85546875" style="93" customWidth="1"/>
    <col min="10503" max="10503" width="5.5703125" style="93" bestFit="1" customWidth="1"/>
    <col min="10504" max="10505" width="4.5703125" style="93" customWidth="1"/>
    <col min="10506" max="10506" width="5.85546875" style="93" customWidth="1"/>
    <col min="10507" max="10507" width="5.5703125" style="93" bestFit="1" customWidth="1"/>
    <col min="10508" max="10509" width="4.5703125" style="93" bestFit="1" customWidth="1"/>
    <col min="10510" max="10510" width="5.5703125" style="93" bestFit="1" customWidth="1"/>
    <col min="10511" max="10514" width="4.5703125" style="93" bestFit="1" customWidth="1"/>
    <col min="10515" max="10515" width="6.28515625" style="93" bestFit="1" customWidth="1"/>
    <col min="10516" max="10518" width="6.28515625" style="93" customWidth="1"/>
    <col min="10519" max="10519" width="9.7109375" style="93" bestFit="1" customWidth="1"/>
    <col min="10520" max="10520" width="9.7109375" style="93" customWidth="1"/>
    <col min="10521" max="10521" width="9.7109375" style="93" bestFit="1" customWidth="1"/>
    <col min="10522" max="10523" width="14" style="93" customWidth="1"/>
    <col min="10524" max="10524" width="13.42578125" style="93" bestFit="1" customWidth="1"/>
    <col min="10525" max="10525" width="16" style="93" bestFit="1" customWidth="1"/>
    <col min="10526" max="10531" width="16" style="93" customWidth="1"/>
    <col min="10532" max="10536" width="9.140625" style="93"/>
    <col min="10537" max="10537" width="6.140625" style="93" bestFit="1" customWidth="1"/>
    <col min="10538" max="10538" width="6.42578125" style="93" bestFit="1" customWidth="1"/>
    <col min="10539" max="10539" width="5.5703125" style="93" bestFit="1" customWidth="1"/>
    <col min="10540" max="10540" width="6.5703125" style="93" bestFit="1" customWidth="1"/>
    <col min="10541" max="10541" width="6.85546875" style="93" bestFit="1" customWidth="1"/>
    <col min="10542" max="10542" width="6" style="93" bestFit="1" customWidth="1"/>
    <col min="10543" max="10543" width="6.5703125" style="93" bestFit="1" customWidth="1"/>
    <col min="10544" max="10544" width="6" style="93" bestFit="1" customWidth="1"/>
    <col min="10545" max="10545" width="6.5703125" style="93" bestFit="1" customWidth="1"/>
    <col min="10546" max="10546" width="9.140625" style="93"/>
    <col min="10547" max="10547" width="15.5703125" style="93" customWidth="1"/>
    <col min="10548" max="10752" width="9.140625" style="93"/>
    <col min="10753" max="10753" width="23.85546875" style="93" bestFit="1" customWidth="1"/>
    <col min="10754" max="10754" width="8.5703125" style="93" bestFit="1" customWidth="1"/>
    <col min="10755" max="10756" width="6.5703125" style="93" bestFit="1" customWidth="1"/>
    <col min="10757" max="10757" width="6.28515625" style="93" bestFit="1" customWidth="1"/>
    <col min="10758" max="10758" width="5.85546875" style="93" customWidth="1"/>
    <col min="10759" max="10759" width="5.5703125" style="93" bestFit="1" customWidth="1"/>
    <col min="10760" max="10761" width="4.5703125" style="93" customWidth="1"/>
    <col min="10762" max="10762" width="5.85546875" style="93" customWidth="1"/>
    <col min="10763" max="10763" width="5.5703125" style="93" bestFit="1" customWidth="1"/>
    <col min="10764" max="10765" width="4.5703125" style="93" bestFit="1" customWidth="1"/>
    <col min="10766" max="10766" width="5.5703125" style="93" bestFit="1" customWidth="1"/>
    <col min="10767" max="10770" width="4.5703125" style="93" bestFit="1" customWidth="1"/>
    <col min="10771" max="10771" width="6.28515625" style="93" bestFit="1" customWidth="1"/>
    <col min="10772" max="10774" width="6.28515625" style="93" customWidth="1"/>
    <col min="10775" max="10775" width="9.7109375" style="93" bestFit="1" customWidth="1"/>
    <col min="10776" max="10776" width="9.7109375" style="93" customWidth="1"/>
    <col min="10777" max="10777" width="9.7109375" style="93" bestFit="1" customWidth="1"/>
    <col min="10778" max="10779" width="14" style="93" customWidth="1"/>
    <col min="10780" max="10780" width="13.42578125" style="93" bestFit="1" customWidth="1"/>
    <col min="10781" max="10781" width="16" style="93" bestFit="1" customWidth="1"/>
    <col min="10782" max="10787" width="16" style="93" customWidth="1"/>
    <col min="10788" max="10792" width="9.140625" style="93"/>
    <col min="10793" max="10793" width="6.140625" style="93" bestFit="1" customWidth="1"/>
    <col min="10794" max="10794" width="6.42578125" style="93" bestFit="1" customWidth="1"/>
    <col min="10795" max="10795" width="5.5703125" style="93" bestFit="1" customWidth="1"/>
    <col min="10796" max="10796" width="6.5703125" style="93" bestFit="1" customWidth="1"/>
    <col min="10797" max="10797" width="6.85546875" style="93" bestFit="1" customWidth="1"/>
    <col min="10798" max="10798" width="6" style="93" bestFit="1" customWidth="1"/>
    <col min="10799" max="10799" width="6.5703125" style="93" bestFit="1" customWidth="1"/>
    <col min="10800" max="10800" width="6" style="93" bestFit="1" customWidth="1"/>
    <col min="10801" max="10801" width="6.5703125" style="93" bestFit="1" customWidth="1"/>
    <col min="10802" max="10802" width="9.140625" style="93"/>
    <col min="10803" max="10803" width="15.5703125" style="93" customWidth="1"/>
    <col min="10804" max="11008" width="9.140625" style="93"/>
    <col min="11009" max="11009" width="23.85546875" style="93" bestFit="1" customWidth="1"/>
    <col min="11010" max="11010" width="8.5703125" style="93" bestFit="1" customWidth="1"/>
    <col min="11011" max="11012" width="6.5703125" style="93" bestFit="1" customWidth="1"/>
    <col min="11013" max="11013" width="6.28515625" style="93" bestFit="1" customWidth="1"/>
    <col min="11014" max="11014" width="5.85546875" style="93" customWidth="1"/>
    <col min="11015" max="11015" width="5.5703125" style="93" bestFit="1" customWidth="1"/>
    <col min="11016" max="11017" width="4.5703125" style="93" customWidth="1"/>
    <col min="11018" max="11018" width="5.85546875" style="93" customWidth="1"/>
    <col min="11019" max="11019" width="5.5703125" style="93" bestFit="1" customWidth="1"/>
    <col min="11020" max="11021" width="4.5703125" style="93" bestFit="1" customWidth="1"/>
    <col min="11022" max="11022" width="5.5703125" style="93" bestFit="1" customWidth="1"/>
    <col min="11023" max="11026" width="4.5703125" style="93" bestFit="1" customWidth="1"/>
    <col min="11027" max="11027" width="6.28515625" style="93" bestFit="1" customWidth="1"/>
    <col min="11028" max="11030" width="6.28515625" style="93" customWidth="1"/>
    <col min="11031" max="11031" width="9.7109375" style="93" bestFit="1" customWidth="1"/>
    <col min="11032" max="11032" width="9.7109375" style="93" customWidth="1"/>
    <col min="11033" max="11033" width="9.7109375" style="93" bestFit="1" customWidth="1"/>
    <col min="11034" max="11035" width="14" style="93" customWidth="1"/>
    <col min="11036" max="11036" width="13.42578125" style="93" bestFit="1" customWidth="1"/>
    <col min="11037" max="11037" width="16" style="93" bestFit="1" customWidth="1"/>
    <col min="11038" max="11043" width="16" style="93" customWidth="1"/>
    <col min="11044" max="11048" width="9.140625" style="93"/>
    <col min="11049" max="11049" width="6.140625" style="93" bestFit="1" customWidth="1"/>
    <col min="11050" max="11050" width="6.42578125" style="93" bestFit="1" customWidth="1"/>
    <col min="11051" max="11051" width="5.5703125" style="93" bestFit="1" customWidth="1"/>
    <col min="11052" max="11052" width="6.5703125" style="93" bestFit="1" customWidth="1"/>
    <col min="11053" max="11053" width="6.85546875" style="93" bestFit="1" customWidth="1"/>
    <col min="11054" max="11054" width="6" style="93" bestFit="1" customWidth="1"/>
    <col min="11055" max="11055" width="6.5703125" style="93" bestFit="1" customWidth="1"/>
    <col min="11056" max="11056" width="6" style="93" bestFit="1" customWidth="1"/>
    <col min="11057" max="11057" width="6.5703125" style="93" bestFit="1" customWidth="1"/>
    <col min="11058" max="11058" width="9.140625" style="93"/>
    <col min="11059" max="11059" width="15.5703125" style="93" customWidth="1"/>
    <col min="11060" max="11264" width="9.140625" style="93"/>
    <col min="11265" max="11265" width="23.85546875" style="93" bestFit="1" customWidth="1"/>
    <col min="11266" max="11266" width="8.5703125" style="93" bestFit="1" customWidth="1"/>
    <col min="11267" max="11268" width="6.5703125" style="93" bestFit="1" customWidth="1"/>
    <col min="11269" max="11269" width="6.28515625" style="93" bestFit="1" customWidth="1"/>
    <col min="11270" max="11270" width="5.85546875" style="93" customWidth="1"/>
    <col min="11271" max="11271" width="5.5703125" style="93" bestFit="1" customWidth="1"/>
    <col min="11272" max="11273" width="4.5703125" style="93" customWidth="1"/>
    <col min="11274" max="11274" width="5.85546875" style="93" customWidth="1"/>
    <col min="11275" max="11275" width="5.5703125" style="93" bestFit="1" customWidth="1"/>
    <col min="11276" max="11277" width="4.5703125" style="93" bestFit="1" customWidth="1"/>
    <col min="11278" max="11278" width="5.5703125" style="93" bestFit="1" customWidth="1"/>
    <col min="11279" max="11282" width="4.5703125" style="93" bestFit="1" customWidth="1"/>
    <col min="11283" max="11283" width="6.28515625" style="93" bestFit="1" customWidth="1"/>
    <col min="11284" max="11286" width="6.28515625" style="93" customWidth="1"/>
    <col min="11287" max="11287" width="9.7109375" style="93" bestFit="1" customWidth="1"/>
    <col min="11288" max="11288" width="9.7109375" style="93" customWidth="1"/>
    <col min="11289" max="11289" width="9.7109375" style="93" bestFit="1" customWidth="1"/>
    <col min="11290" max="11291" width="14" style="93" customWidth="1"/>
    <col min="11292" max="11292" width="13.42578125" style="93" bestFit="1" customWidth="1"/>
    <col min="11293" max="11293" width="16" style="93" bestFit="1" customWidth="1"/>
    <col min="11294" max="11299" width="16" style="93" customWidth="1"/>
    <col min="11300" max="11304" width="9.140625" style="93"/>
    <col min="11305" max="11305" width="6.140625" style="93" bestFit="1" customWidth="1"/>
    <col min="11306" max="11306" width="6.42578125" style="93" bestFit="1" customWidth="1"/>
    <col min="11307" max="11307" width="5.5703125" style="93" bestFit="1" customWidth="1"/>
    <col min="11308" max="11308" width="6.5703125" style="93" bestFit="1" customWidth="1"/>
    <col min="11309" max="11309" width="6.85546875" style="93" bestFit="1" customWidth="1"/>
    <col min="11310" max="11310" width="6" style="93" bestFit="1" customWidth="1"/>
    <col min="11311" max="11311" width="6.5703125" style="93" bestFit="1" customWidth="1"/>
    <col min="11312" max="11312" width="6" style="93" bestFit="1" customWidth="1"/>
    <col min="11313" max="11313" width="6.5703125" style="93" bestFit="1" customWidth="1"/>
    <col min="11314" max="11314" width="9.140625" style="93"/>
    <col min="11315" max="11315" width="15.5703125" style="93" customWidth="1"/>
    <col min="11316" max="11520" width="9.140625" style="93"/>
    <col min="11521" max="11521" width="23.85546875" style="93" bestFit="1" customWidth="1"/>
    <col min="11522" max="11522" width="8.5703125" style="93" bestFit="1" customWidth="1"/>
    <col min="11523" max="11524" width="6.5703125" style="93" bestFit="1" customWidth="1"/>
    <col min="11525" max="11525" width="6.28515625" style="93" bestFit="1" customWidth="1"/>
    <col min="11526" max="11526" width="5.85546875" style="93" customWidth="1"/>
    <col min="11527" max="11527" width="5.5703125" style="93" bestFit="1" customWidth="1"/>
    <col min="11528" max="11529" width="4.5703125" style="93" customWidth="1"/>
    <col min="11530" max="11530" width="5.85546875" style="93" customWidth="1"/>
    <col min="11531" max="11531" width="5.5703125" style="93" bestFit="1" customWidth="1"/>
    <col min="11532" max="11533" width="4.5703125" style="93" bestFit="1" customWidth="1"/>
    <col min="11534" max="11534" width="5.5703125" style="93" bestFit="1" customWidth="1"/>
    <col min="11535" max="11538" width="4.5703125" style="93" bestFit="1" customWidth="1"/>
    <col min="11539" max="11539" width="6.28515625" style="93" bestFit="1" customWidth="1"/>
    <col min="11540" max="11542" width="6.28515625" style="93" customWidth="1"/>
    <col min="11543" max="11543" width="9.7109375" style="93" bestFit="1" customWidth="1"/>
    <col min="11544" max="11544" width="9.7109375" style="93" customWidth="1"/>
    <col min="11545" max="11545" width="9.7109375" style="93" bestFit="1" customWidth="1"/>
    <col min="11546" max="11547" width="14" style="93" customWidth="1"/>
    <col min="11548" max="11548" width="13.42578125" style="93" bestFit="1" customWidth="1"/>
    <col min="11549" max="11549" width="16" style="93" bestFit="1" customWidth="1"/>
    <col min="11550" max="11555" width="16" style="93" customWidth="1"/>
    <col min="11556" max="11560" width="9.140625" style="93"/>
    <col min="11561" max="11561" width="6.140625" style="93" bestFit="1" customWidth="1"/>
    <col min="11562" max="11562" width="6.42578125" style="93" bestFit="1" customWidth="1"/>
    <col min="11563" max="11563" width="5.5703125" style="93" bestFit="1" customWidth="1"/>
    <col min="11564" max="11564" width="6.5703125" style="93" bestFit="1" customWidth="1"/>
    <col min="11565" max="11565" width="6.85546875" style="93" bestFit="1" customWidth="1"/>
    <col min="11566" max="11566" width="6" style="93" bestFit="1" customWidth="1"/>
    <col min="11567" max="11567" width="6.5703125" style="93" bestFit="1" customWidth="1"/>
    <col min="11568" max="11568" width="6" style="93" bestFit="1" customWidth="1"/>
    <col min="11569" max="11569" width="6.5703125" style="93" bestFit="1" customWidth="1"/>
    <col min="11570" max="11570" width="9.140625" style="93"/>
    <col min="11571" max="11571" width="15.5703125" style="93" customWidth="1"/>
    <col min="11572" max="11776" width="9.140625" style="93"/>
    <col min="11777" max="11777" width="23.85546875" style="93" bestFit="1" customWidth="1"/>
    <col min="11778" max="11778" width="8.5703125" style="93" bestFit="1" customWidth="1"/>
    <col min="11779" max="11780" width="6.5703125" style="93" bestFit="1" customWidth="1"/>
    <col min="11781" max="11781" width="6.28515625" style="93" bestFit="1" customWidth="1"/>
    <col min="11782" max="11782" width="5.85546875" style="93" customWidth="1"/>
    <col min="11783" max="11783" width="5.5703125" style="93" bestFit="1" customWidth="1"/>
    <col min="11784" max="11785" width="4.5703125" style="93" customWidth="1"/>
    <col min="11786" max="11786" width="5.85546875" style="93" customWidth="1"/>
    <col min="11787" max="11787" width="5.5703125" style="93" bestFit="1" customWidth="1"/>
    <col min="11788" max="11789" width="4.5703125" style="93" bestFit="1" customWidth="1"/>
    <col min="11790" max="11790" width="5.5703125" style="93" bestFit="1" customWidth="1"/>
    <col min="11791" max="11794" width="4.5703125" style="93" bestFit="1" customWidth="1"/>
    <col min="11795" max="11795" width="6.28515625" style="93" bestFit="1" customWidth="1"/>
    <col min="11796" max="11798" width="6.28515625" style="93" customWidth="1"/>
    <col min="11799" max="11799" width="9.7109375" style="93" bestFit="1" customWidth="1"/>
    <col min="11800" max="11800" width="9.7109375" style="93" customWidth="1"/>
    <col min="11801" max="11801" width="9.7109375" style="93" bestFit="1" customWidth="1"/>
    <col min="11802" max="11803" width="14" style="93" customWidth="1"/>
    <col min="11804" max="11804" width="13.42578125" style="93" bestFit="1" customWidth="1"/>
    <col min="11805" max="11805" width="16" style="93" bestFit="1" customWidth="1"/>
    <col min="11806" max="11811" width="16" style="93" customWidth="1"/>
    <col min="11812" max="11816" width="9.140625" style="93"/>
    <col min="11817" max="11817" width="6.140625" style="93" bestFit="1" customWidth="1"/>
    <col min="11818" max="11818" width="6.42578125" style="93" bestFit="1" customWidth="1"/>
    <col min="11819" max="11819" width="5.5703125" style="93" bestFit="1" customWidth="1"/>
    <col min="11820" max="11820" width="6.5703125" style="93" bestFit="1" customWidth="1"/>
    <col min="11821" max="11821" width="6.85546875" style="93" bestFit="1" customWidth="1"/>
    <col min="11822" max="11822" width="6" style="93" bestFit="1" customWidth="1"/>
    <col min="11823" max="11823" width="6.5703125" style="93" bestFit="1" customWidth="1"/>
    <col min="11824" max="11824" width="6" style="93" bestFit="1" customWidth="1"/>
    <col min="11825" max="11825" width="6.5703125" style="93" bestFit="1" customWidth="1"/>
    <col min="11826" max="11826" width="9.140625" style="93"/>
    <col min="11827" max="11827" width="15.5703125" style="93" customWidth="1"/>
    <col min="11828" max="12032" width="9.140625" style="93"/>
    <col min="12033" max="12033" width="23.85546875" style="93" bestFit="1" customWidth="1"/>
    <col min="12034" max="12034" width="8.5703125" style="93" bestFit="1" customWidth="1"/>
    <col min="12035" max="12036" width="6.5703125" style="93" bestFit="1" customWidth="1"/>
    <col min="12037" max="12037" width="6.28515625" style="93" bestFit="1" customWidth="1"/>
    <col min="12038" max="12038" width="5.85546875" style="93" customWidth="1"/>
    <col min="12039" max="12039" width="5.5703125" style="93" bestFit="1" customWidth="1"/>
    <col min="12040" max="12041" width="4.5703125" style="93" customWidth="1"/>
    <col min="12042" max="12042" width="5.85546875" style="93" customWidth="1"/>
    <col min="12043" max="12043" width="5.5703125" style="93" bestFit="1" customWidth="1"/>
    <col min="12044" max="12045" width="4.5703125" style="93" bestFit="1" customWidth="1"/>
    <col min="12046" max="12046" width="5.5703125" style="93" bestFit="1" customWidth="1"/>
    <col min="12047" max="12050" width="4.5703125" style="93" bestFit="1" customWidth="1"/>
    <col min="12051" max="12051" width="6.28515625" style="93" bestFit="1" customWidth="1"/>
    <col min="12052" max="12054" width="6.28515625" style="93" customWidth="1"/>
    <col min="12055" max="12055" width="9.7109375" style="93" bestFit="1" customWidth="1"/>
    <col min="12056" max="12056" width="9.7109375" style="93" customWidth="1"/>
    <col min="12057" max="12057" width="9.7109375" style="93" bestFit="1" customWidth="1"/>
    <col min="12058" max="12059" width="14" style="93" customWidth="1"/>
    <col min="12060" max="12060" width="13.42578125" style="93" bestFit="1" customWidth="1"/>
    <col min="12061" max="12061" width="16" style="93" bestFit="1" customWidth="1"/>
    <col min="12062" max="12067" width="16" style="93" customWidth="1"/>
    <col min="12068" max="12072" width="9.140625" style="93"/>
    <col min="12073" max="12073" width="6.140625" style="93" bestFit="1" customWidth="1"/>
    <col min="12074" max="12074" width="6.42578125" style="93" bestFit="1" customWidth="1"/>
    <col min="12075" max="12075" width="5.5703125" style="93" bestFit="1" customWidth="1"/>
    <col min="12076" max="12076" width="6.5703125" style="93" bestFit="1" customWidth="1"/>
    <col min="12077" max="12077" width="6.85546875" style="93" bestFit="1" customWidth="1"/>
    <col min="12078" max="12078" width="6" style="93" bestFit="1" customWidth="1"/>
    <col min="12079" max="12079" width="6.5703125" style="93" bestFit="1" customWidth="1"/>
    <col min="12080" max="12080" width="6" style="93" bestFit="1" customWidth="1"/>
    <col min="12081" max="12081" width="6.5703125" style="93" bestFit="1" customWidth="1"/>
    <col min="12082" max="12082" width="9.140625" style="93"/>
    <col min="12083" max="12083" width="15.5703125" style="93" customWidth="1"/>
    <col min="12084" max="12288" width="9.140625" style="93"/>
    <col min="12289" max="12289" width="23.85546875" style="93" bestFit="1" customWidth="1"/>
    <col min="12290" max="12290" width="8.5703125" style="93" bestFit="1" customWidth="1"/>
    <col min="12291" max="12292" width="6.5703125" style="93" bestFit="1" customWidth="1"/>
    <col min="12293" max="12293" width="6.28515625" style="93" bestFit="1" customWidth="1"/>
    <col min="12294" max="12294" width="5.85546875" style="93" customWidth="1"/>
    <col min="12295" max="12295" width="5.5703125" style="93" bestFit="1" customWidth="1"/>
    <col min="12296" max="12297" width="4.5703125" style="93" customWidth="1"/>
    <col min="12298" max="12298" width="5.85546875" style="93" customWidth="1"/>
    <col min="12299" max="12299" width="5.5703125" style="93" bestFit="1" customWidth="1"/>
    <col min="12300" max="12301" width="4.5703125" style="93" bestFit="1" customWidth="1"/>
    <col min="12302" max="12302" width="5.5703125" style="93" bestFit="1" customWidth="1"/>
    <col min="12303" max="12306" width="4.5703125" style="93" bestFit="1" customWidth="1"/>
    <col min="12307" max="12307" width="6.28515625" style="93" bestFit="1" customWidth="1"/>
    <col min="12308" max="12310" width="6.28515625" style="93" customWidth="1"/>
    <col min="12311" max="12311" width="9.7109375" style="93" bestFit="1" customWidth="1"/>
    <col min="12312" max="12312" width="9.7109375" style="93" customWidth="1"/>
    <col min="12313" max="12313" width="9.7109375" style="93" bestFit="1" customWidth="1"/>
    <col min="12314" max="12315" width="14" style="93" customWidth="1"/>
    <col min="12316" max="12316" width="13.42578125" style="93" bestFit="1" customWidth="1"/>
    <col min="12317" max="12317" width="16" style="93" bestFit="1" customWidth="1"/>
    <col min="12318" max="12323" width="16" style="93" customWidth="1"/>
    <col min="12324" max="12328" width="9.140625" style="93"/>
    <col min="12329" max="12329" width="6.140625" style="93" bestFit="1" customWidth="1"/>
    <col min="12330" max="12330" width="6.42578125" style="93" bestFit="1" customWidth="1"/>
    <col min="12331" max="12331" width="5.5703125" style="93" bestFit="1" customWidth="1"/>
    <col min="12332" max="12332" width="6.5703125" style="93" bestFit="1" customWidth="1"/>
    <col min="12333" max="12333" width="6.85546875" style="93" bestFit="1" customWidth="1"/>
    <col min="12334" max="12334" width="6" style="93" bestFit="1" customWidth="1"/>
    <col min="12335" max="12335" width="6.5703125" style="93" bestFit="1" customWidth="1"/>
    <col min="12336" max="12336" width="6" style="93" bestFit="1" customWidth="1"/>
    <col min="12337" max="12337" width="6.5703125" style="93" bestFit="1" customWidth="1"/>
    <col min="12338" max="12338" width="9.140625" style="93"/>
    <col min="12339" max="12339" width="15.5703125" style="93" customWidth="1"/>
    <col min="12340" max="12544" width="9.140625" style="93"/>
    <col min="12545" max="12545" width="23.85546875" style="93" bestFit="1" customWidth="1"/>
    <col min="12546" max="12546" width="8.5703125" style="93" bestFit="1" customWidth="1"/>
    <col min="12547" max="12548" width="6.5703125" style="93" bestFit="1" customWidth="1"/>
    <col min="12549" max="12549" width="6.28515625" style="93" bestFit="1" customWidth="1"/>
    <col min="12550" max="12550" width="5.85546875" style="93" customWidth="1"/>
    <col min="12551" max="12551" width="5.5703125" style="93" bestFit="1" customWidth="1"/>
    <col min="12552" max="12553" width="4.5703125" style="93" customWidth="1"/>
    <col min="12554" max="12554" width="5.85546875" style="93" customWidth="1"/>
    <col min="12555" max="12555" width="5.5703125" style="93" bestFit="1" customWidth="1"/>
    <col min="12556" max="12557" width="4.5703125" style="93" bestFit="1" customWidth="1"/>
    <col min="12558" max="12558" width="5.5703125" style="93" bestFit="1" customWidth="1"/>
    <col min="12559" max="12562" width="4.5703125" style="93" bestFit="1" customWidth="1"/>
    <col min="12563" max="12563" width="6.28515625" style="93" bestFit="1" customWidth="1"/>
    <col min="12564" max="12566" width="6.28515625" style="93" customWidth="1"/>
    <col min="12567" max="12567" width="9.7109375" style="93" bestFit="1" customWidth="1"/>
    <col min="12568" max="12568" width="9.7109375" style="93" customWidth="1"/>
    <col min="12569" max="12569" width="9.7109375" style="93" bestFit="1" customWidth="1"/>
    <col min="12570" max="12571" width="14" style="93" customWidth="1"/>
    <col min="12572" max="12572" width="13.42578125" style="93" bestFit="1" customWidth="1"/>
    <col min="12573" max="12573" width="16" style="93" bestFit="1" customWidth="1"/>
    <col min="12574" max="12579" width="16" style="93" customWidth="1"/>
    <col min="12580" max="12584" width="9.140625" style="93"/>
    <col min="12585" max="12585" width="6.140625" style="93" bestFit="1" customWidth="1"/>
    <col min="12586" max="12586" width="6.42578125" style="93" bestFit="1" customWidth="1"/>
    <col min="12587" max="12587" width="5.5703125" style="93" bestFit="1" customWidth="1"/>
    <col min="12588" max="12588" width="6.5703125" style="93" bestFit="1" customWidth="1"/>
    <col min="12589" max="12589" width="6.85546875" style="93" bestFit="1" customWidth="1"/>
    <col min="12590" max="12590" width="6" style="93" bestFit="1" customWidth="1"/>
    <col min="12591" max="12591" width="6.5703125" style="93" bestFit="1" customWidth="1"/>
    <col min="12592" max="12592" width="6" style="93" bestFit="1" customWidth="1"/>
    <col min="12593" max="12593" width="6.5703125" style="93" bestFit="1" customWidth="1"/>
    <col min="12594" max="12594" width="9.140625" style="93"/>
    <col min="12595" max="12595" width="15.5703125" style="93" customWidth="1"/>
    <col min="12596" max="12800" width="9.140625" style="93"/>
    <col min="12801" max="12801" width="23.85546875" style="93" bestFit="1" customWidth="1"/>
    <col min="12802" max="12802" width="8.5703125" style="93" bestFit="1" customWidth="1"/>
    <col min="12803" max="12804" width="6.5703125" style="93" bestFit="1" customWidth="1"/>
    <col min="12805" max="12805" width="6.28515625" style="93" bestFit="1" customWidth="1"/>
    <col min="12806" max="12806" width="5.85546875" style="93" customWidth="1"/>
    <col min="12807" max="12807" width="5.5703125" style="93" bestFit="1" customWidth="1"/>
    <col min="12808" max="12809" width="4.5703125" style="93" customWidth="1"/>
    <col min="12810" max="12810" width="5.85546875" style="93" customWidth="1"/>
    <col min="12811" max="12811" width="5.5703125" style="93" bestFit="1" customWidth="1"/>
    <col min="12812" max="12813" width="4.5703125" style="93" bestFit="1" customWidth="1"/>
    <col min="12814" max="12814" width="5.5703125" style="93" bestFit="1" customWidth="1"/>
    <col min="12815" max="12818" width="4.5703125" style="93" bestFit="1" customWidth="1"/>
    <col min="12819" max="12819" width="6.28515625" style="93" bestFit="1" customWidth="1"/>
    <col min="12820" max="12822" width="6.28515625" style="93" customWidth="1"/>
    <col min="12823" max="12823" width="9.7109375" style="93" bestFit="1" customWidth="1"/>
    <col min="12824" max="12824" width="9.7109375" style="93" customWidth="1"/>
    <col min="12825" max="12825" width="9.7109375" style="93" bestFit="1" customWidth="1"/>
    <col min="12826" max="12827" width="14" style="93" customWidth="1"/>
    <col min="12828" max="12828" width="13.42578125" style="93" bestFit="1" customWidth="1"/>
    <col min="12829" max="12829" width="16" style="93" bestFit="1" customWidth="1"/>
    <col min="12830" max="12835" width="16" style="93" customWidth="1"/>
    <col min="12836" max="12840" width="9.140625" style="93"/>
    <col min="12841" max="12841" width="6.140625" style="93" bestFit="1" customWidth="1"/>
    <col min="12842" max="12842" width="6.42578125" style="93" bestFit="1" customWidth="1"/>
    <col min="12843" max="12843" width="5.5703125" style="93" bestFit="1" customWidth="1"/>
    <col min="12844" max="12844" width="6.5703125" style="93" bestFit="1" customWidth="1"/>
    <col min="12845" max="12845" width="6.85546875" style="93" bestFit="1" customWidth="1"/>
    <col min="12846" max="12846" width="6" style="93" bestFit="1" customWidth="1"/>
    <col min="12847" max="12847" width="6.5703125" style="93" bestFit="1" customWidth="1"/>
    <col min="12848" max="12848" width="6" style="93" bestFit="1" customWidth="1"/>
    <col min="12849" max="12849" width="6.5703125" style="93" bestFit="1" customWidth="1"/>
    <col min="12850" max="12850" width="9.140625" style="93"/>
    <col min="12851" max="12851" width="15.5703125" style="93" customWidth="1"/>
    <col min="12852" max="13056" width="9.140625" style="93"/>
    <col min="13057" max="13057" width="23.85546875" style="93" bestFit="1" customWidth="1"/>
    <col min="13058" max="13058" width="8.5703125" style="93" bestFit="1" customWidth="1"/>
    <col min="13059" max="13060" width="6.5703125" style="93" bestFit="1" customWidth="1"/>
    <col min="13061" max="13061" width="6.28515625" style="93" bestFit="1" customWidth="1"/>
    <col min="13062" max="13062" width="5.85546875" style="93" customWidth="1"/>
    <col min="13063" max="13063" width="5.5703125" style="93" bestFit="1" customWidth="1"/>
    <col min="13064" max="13065" width="4.5703125" style="93" customWidth="1"/>
    <col min="13066" max="13066" width="5.85546875" style="93" customWidth="1"/>
    <col min="13067" max="13067" width="5.5703125" style="93" bestFit="1" customWidth="1"/>
    <col min="13068" max="13069" width="4.5703125" style="93" bestFit="1" customWidth="1"/>
    <col min="13070" max="13070" width="5.5703125" style="93" bestFit="1" customWidth="1"/>
    <col min="13071" max="13074" width="4.5703125" style="93" bestFit="1" customWidth="1"/>
    <col min="13075" max="13075" width="6.28515625" style="93" bestFit="1" customWidth="1"/>
    <col min="13076" max="13078" width="6.28515625" style="93" customWidth="1"/>
    <col min="13079" max="13079" width="9.7109375" style="93" bestFit="1" customWidth="1"/>
    <col min="13080" max="13080" width="9.7109375" style="93" customWidth="1"/>
    <col min="13081" max="13081" width="9.7109375" style="93" bestFit="1" customWidth="1"/>
    <col min="13082" max="13083" width="14" style="93" customWidth="1"/>
    <col min="13084" max="13084" width="13.42578125" style="93" bestFit="1" customWidth="1"/>
    <col min="13085" max="13085" width="16" style="93" bestFit="1" customWidth="1"/>
    <col min="13086" max="13091" width="16" style="93" customWidth="1"/>
    <col min="13092" max="13096" width="9.140625" style="93"/>
    <col min="13097" max="13097" width="6.140625" style="93" bestFit="1" customWidth="1"/>
    <col min="13098" max="13098" width="6.42578125" style="93" bestFit="1" customWidth="1"/>
    <col min="13099" max="13099" width="5.5703125" style="93" bestFit="1" customWidth="1"/>
    <col min="13100" max="13100" width="6.5703125" style="93" bestFit="1" customWidth="1"/>
    <col min="13101" max="13101" width="6.85546875" style="93" bestFit="1" customWidth="1"/>
    <col min="13102" max="13102" width="6" style="93" bestFit="1" customWidth="1"/>
    <col min="13103" max="13103" width="6.5703125" style="93" bestFit="1" customWidth="1"/>
    <col min="13104" max="13104" width="6" style="93" bestFit="1" customWidth="1"/>
    <col min="13105" max="13105" width="6.5703125" style="93" bestFit="1" customWidth="1"/>
    <col min="13106" max="13106" width="9.140625" style="93"/>
    <col min="13107" max="13107" width="15.5703125" style="93" customWidth="1"/>
    <col min="13108" max="13312" width="9.140625" style="93"/>
    <col min="13313" max="13313" width="23.85546875" style="93" bestFit="1" customWidth="1"/>
    <col min="13314" max="13314" width="8.5703125" style="93" bestFit="1" customWidth="1"/>
    <col min="13315" max="13316" width="6.5703125" style="93" bestFit="1" customWidth="1"/>
    <col min="13317" max="13317" width="6.28515625" style="93" bestFit="1" customWidth="1"/>
    <col min="13318" max="13318" width="5.85546875" style="93" customWidth="1"/>
    <col min="13319" max="13319" width="5.5703125" style="93" bestFit="1" customWidth="1"/>
    <col min="13320" max="13321" width="4.5703125" style="93" customWidth="1"/>
    <col min="13322" max="13322" width="5.85546875" style="93" customWidth="1"/>
    <col min="13323" max="13323" width="5.5703125" style="93" bestFit="1" customWidth="1"/>
    <col min="13324" max="13325" width="4.5703125" style="93" bestFit="1" customWidth="1"/>
    <col min="13326" max="13326" width="5.5703125" style="93" bestFit="1" customWidth="1"/>
    <col min="13327" max="13330" width="4.5703125" style="93" bestFit="1" customWidth="1"/>
    <col min="13331" max="13331" width="6.28515625" style="93" bestFit="1" customWidth="1"/>
    <col min="13332" max="13334" width="6.28515625" style="93" customWidth="1"/>
    <col min="13335" max="13335" width="9.7109375" style="93" bestFit="1" customWidth="1"/>
    <col min="13336" max="13336" width="9.7109375" style="93" customWidth="1"/>
    <col min="13337" max="13337" width="9.7109375" style="93" bestFit="1" customWidth="1"/>
    <col min="13338" max="13339" width="14" style="93" customWidth="1"/>
    <col min="13340" max="13340" width="13.42578125" style="93" bestFit="1" customWidth="1"/>
    <col min="13341" max="13341" width="16" style="93" bestFit="1" customWidth="1"/>
    <col min="13342" max="13347" width="16" style="93" customWidth="1"/>
    <col min="13348" max="13352" width="9.140625" style="93"/>
    <col min="13353" max="13353" width="6.140625" style="93" bestFit="1" customWidth="1"/>
    <col min="13354" max="13354" width="6.42578125" style="93" bestFit="1" customWidth="1"/>
    <col min="13355" max="13355" width="5.5703125" style="93" bestFit="1" customWidth="1"/>
    <col min="13356" max="13356" width="6.5703125" style="93" bestFit="1" customWidth="1"/>
    <col min="13357" max="13357" width="6.85546875" style="93" bestFit="1" customWidth="1"/>
    <col min="13358" max="13358" width="6" style="93" bestFit="1" customWidth="1"/>
    <col min="13359" max="13359" width="6.5703125" style="93" bestFit="1" customWidth="1"/>
    <col min="13360" max="13360" width="6" style="93" bestFit="1" customWidth="1"/>
    <col min="13361" max="13361" width="6.5703125" style="93" bestFit="1" customWidth="1"/>
    <col min="13362" max="13362" width="9.140625" style="93"/>
    <col min="13363" max="13363" width="15.5703125" style="93" customWidth="1"/>
    <col min="13364" max="13568" width="9.140625" style="93"/>
    <col min="13569" max="13569" width="23.85546875" style="93" bestFit="1" customWidth="1"/>
    <col min="13570" max="13570" width="8.5703125" style="93" bestFit="1" customWidth="1"/>
    <col min="13571" max="13572" width="6.5703125" style="93" bestFit="1" customWidth="1"/>
    <col min="13573" max="13573" width="6.28515625" style="93" bestFit="1" customWidth="1"/>
    <col min="13574" max="13574" width="5.85546875" style="93" customWidth="1"/>
    <col min="13575" max="13575" width="5.5703125" style="93" bestFit="1" customWidth="1"/>
    <col min="13576" max="13577" width="4.5703125" style="93" customWidth="1"/>
    <col min="13578" max="13578" width="5.85546875" style="93" customWidth="1"/>
    <col min="13579" max="13579" width="5.5703125" style="93" bestFit="1" customWidth="1"/>
    <col min="13580" max="13581" width="4.5703125" style="93" bestFit="1" customWidth="1"/>
    <col min="13582" max="13582" width="5.5703125" style="93" bestFit="1" customWidth="1"/>
    <col min="13583" max="13586" width="4.5703125" style="93" bestFit="1" customWidth="1"/>
    <col min="13587" max="13587" width="6.28515625" style="93" bestFit="1" customWidth="1"/>
    <col min="13588" max="13590" width="6.28515625" style="93" customWidth="1"/>
    <col min="13591" max="13591" width="9.7109375" style="93" bestFit="1" customWidth="1"/>
    <col min="13592" max="13592" width="9.7109375" style="93" customWidth="1"/>
    <col min="13593" max="13593" width="9.7109375" style="93" bestFit="1" customWidth="1"/>
    <col min="13594" max="13595" width="14" style="93" customWidth="1"/>
    <col min="13596" max="13596" width="13.42578125" style="93" bestFit="1" customWidth="1"/>
    <col min="13597" max="13597" width="16" style="93" bestFit="1" customWidth="1"/>
    <col min="13598" max="13603" width="16" style="93" customWidth="1"/>
    <col min="13604" max="13608" width="9.140625" style="93"/>
    <col min="13609" max="13609" width="6.140625" style="93" bestFit="1" customWidth="1"/>
    <col min="13610" max="13610" width="6.42578125" style="93" bestFit="1" customWidth="1"/>
    <col min="13611" max="13611" width="5.5703125" style="93" bestFit="1" customWidth="1"/>
    <col min="13612" max="13612" width="6.5703125" style="93" bestFit="1" customWidth="1"/>
    <col min="13613" max="13613" width="6.85546875" style="93" bestFit="1" customWidth="1"/>
    <col min="13614" max="13614" width="6" style="93" bestFit="1" customWidth="1"/>
    <col min="13615" max="13615" width="6.5703125" style="93" bestFit="1" customWidth="1"/>
    <col min="13616" max="13616" width="6" style="93" bestFit="1" customWidth="1"/>
    <col min="13617" max="13617" width="6.5703125" style="93" bestFit="1" customWidth="1"/>
    <col min="13618" max="13618" width="9.140625" style="93"/>
    <col min="13619" max="13619" width="15.5703125" style="93" customWidth="1"/>
    <col min="13620" max="13824" width="9.140625" style="93"/>
    <col min="13825" max="13825" width="23.85546875" style="93" bestFit="1" customWidth="1"/>
    <col min="13826" max="13826" width="8.5703125" style="93" bestFit="1" customWidth="1"/>
    <col min="13827" max="13828" width="6.5703125" style="93" bestFit="1" customWidth="1"/>
    <col min="13829" max="13829" width="6.28515625" style="93" bestFit="1" customWidth="1"/>
    <col min="13830" max="13830" width="5.85546875" style="93" customWidth="1"/>
    <col min="13831" max="13831" width="5.5703125" style="93" bestFit="1" customWidth="1"/>
    <col min="13832" max="13833" width="4.5703125" style="93" customWidth="1"/>
    <col min="13834" max="13834" width="5.85546875" style="93" customWidth="1"/>
    <col min="13835" max="13835" width="5.5703125" style="93" bestFit="1" customWidth="1"/>
    <col min="13836" max="13837" width="4.5703125" style="93" bestFit="1" customWidth="1"/>
    <col min="13838" max="13838" width="5.5703125" style="93" bestFit="1" customWidth="1"/>
    <col min="13839" max="13842" width="4.5703125" style="93" bestFit="1" customWidth="1"/>
    <col min="13843" max="13843" width="6.28515625" style="93" bestFit="1" customWidth="1"/>
    <col min="13844" max="13846" width="6.28515625" style="93" customWidth="1"/>
    <col min="13847" max="13847" width="9.7109375" style="93" bestFit="1" customWidth="1"/>
    <col min="13848" max="13848" width="9.7109375" style="93" customWidth="1"/>
    <col min="13849" max="13849" width="9.7109375" style="93" bestFit="1" customWidth="1"/>
    <col min="13850" max="13851" width="14" style="93" customWidth="1"/>
    <col min="13852" max="13852" width="13.42578125" style="93" bestFit="1" customWidth="1"/>
    <col min="13853" max="13853" width="16" style="93" bestFit="1" customWidth="1"/>
    <col min="13854" max="13859" width="16" style="93" customWidth="1"/>
    <col min="13860" max="13864" width="9.140625" style="93"/>
    <col min="13865" max="13865" width="6.140625" style="93" bestFit="1" customWidth="1"/>
    <col min="13866" max="13866" width="6.42578125" style="93" bestFit="1" customWidth="1"/>
    <col min="13867" max="13867" width="5.5703125" style="93" bestFit="1" customWidth="1"/>
    <col min="13868" max="13868" width="6.5703125" style="93" bestFit="1" customWidth="1"/>
    <col min="13869" max="13869" width="6.85546875" style="93" bestFit="1" customWidth="1"/>
    <col min="13870" max="13870" width="6" style="93" bestFit="1" customWidth="1"/>
    <col min="13871" max="13871" width="6.5703125" style="93" bestFit="1" customWidth="1"/>
    <col min="13872" max="13872" width="6" style="93" bestFit="1" customWidth="1"/>
    <col min="13873" max="13873" width="6.5703125" style="93" bestFit="1" customWidth="1"/>
    <col min="13874" max="13874" width="9.140625" style="93"/>
    <col min="13875" max="13875" width="15.5703125" style="93" customWidth="1"/>
    <col min="13876" max="14080" width="9.140625" style="93"/>
    <col min="14081" max="14081" width="23.85546875" style="93" bestFit="1" customWidth="1"/>
    <col min="14082" max="14082" width="8.5703125" style="93" bestFit="1" customWidth="1"/>
    <col min="14083" max="14084" width="6.5703125" style="93" bestFit="1" customWidth="1"/>
    <col min="14085" max="14085" width="6.28515625" style="93" bestFit="1" customWidth="1"/>
    <col min="14086" max="14086" width="5.85546875" style="93" customWidth="1"/>
    <col min="14087" max="14087" width="5.5703125" style="93" bestFit="1" customWidth="1"/>
    <col min="14088" max="14089" width="4.5703125" style="93" customWidth="1"/>
    <col min="14090" max="14090" width="5.85546875" style="93" customWidth="1"/>
    <col min="14091" max="14091" width="5.5703125" style="93" bestFit="1" customWidth="1"/>
    <col min="14092" max="14093" width="4.5703125" style="93" bestFit="1" customWidth="1"/>
    <col min="14094" max="14094" width="5.5703125" style="93" bestFit="1" customWidth="1"/>
    <col min="14095" max="14098" width="4.5703125" style="93" bestFit="1" customWidth="1"/>
    <col min="14099" max="14099" width="6.28515625" style="93" bestFit="1" customWidth="1"/>
    <col min="14100" max="14102" width="6.28515625" style="93" customWidth="1"/>
    <col min="14103" max="14103" width="9.7109375" style="93" bestFit="1" customWidth="1"/>
    <col min="14104" max="14104" width="9.7109375" style="93" customWidth="1"/>
    <col min="14105" max="14105" width="9.7109375" style="93" bestFit="1" customWidth="1"/>
    <col min="14106" max="14107" width="14" style="93" customWidth="1"/>
    <col min="14108" max="14108" width="13.42578125" style="93" bestFit="1" customWidth="1"/>
    <col min="14109" max="14109" width="16" style="93" bestFit="1" customWidth="1"/>
    <col min="14110" max="14115" width="16" style="93" customWidth="1"/>
    <col min="14116" max="14120" width="9.140625" style="93"/>
    <col min="14121" max="14121" width="6.140625" style="93" bestFit="1" customWidth="1"/>
    <col min="14122" max="14122" width="6.42578125" style="93" bestFit="1" customWidth="1"/>
    <col min="14123" max="14123" width="5.5703125" style="93" bestFit="1" customWidth="1"/>
    <col min="14124" max="14124" width="6.5703125" style="93" bestFit="1" customWidth="1"/>
    <col min="14125" max="14125" width="6.85546875" style="93" bestFit="1" customWidth="1"/>
    <col min="14126" max="14126" width="6" style="93" bestFit="1" customWidth="1"/>
    <col min="14127" max="14127" width="6.5703125" style="93" bestFit="1" customWidth="1"/>
    <col min="14128" max="14128" width="6" style="93" bestFit="1" customWidth="1"/>
    <col min="14129" max="14129" width="6.5703125" style="93" bestFit="1" customWidth="1"/>
    <col min="14130" max="14130" width="9.140625" style="93"/>
    <col min="14131" max="14131" width="15.5703125" style="93" customWidth="1"/>
    <col min="14132" max="14336" width="9.140625" style="93"/>
    <col min="14337" max="14337" width="23.85546875" style="93" bestFit="1" customWidth="1"/>
    <col min="14338" max="14338" width="8.5703125" style="93" bestFit="1" customWidth="1"/>
    <col min="14339" max="14340" width="6.5703125" style="93" bestFit="1" customWidth="1"/>
    <col min="14341" max="14341" width="6.28515625" style="93" bestFit="1" customWidth="1"/>
    <col min="14342" max="14342" width="5.85546875" style="93" customWidth="1"/>
    <col min="14343" max="14343" width="5.5703125" style="93" bestFit="1" customWidth="1"/>
    <col min="14344" max="14345" width="4.5703125" style="93" customWidth="1"/>
    <col min="14346" max="14346" width="5.85546875" style="93" customWidth="1"/>
    <col min="14347" max="14347" width="5.5703125" style="93" bestFit="1" customWidth="1"/>
    <col min="14348" max="14349" width="4.5703125" style="93" bestFit="1" customWidth="1"/>
    <col min="14350" max="14350" width="5.5703125" style="93" bestFit="1" customWidth="1"/>
    <col min="14351" max="14354" width="4.5703125" style="93" bestFit="1" customWidth="1"/>
    <col min="14355" max="14355" width="6.28515625" style="93" bestFit="1" customWidth="1"/>
    <col min="14356" max="14358" width="6.28515625" style="93" customWidth="1"/>
    <col min="14359" max="14359" width="9.7109375" style="93" bestFit="1" customWidth="1"/>
    <col min="14360" max="14360" width="9.7109375" style="93" customWidth="1"/>
    <col min="14361" max="14361" width="9.7109375" style="93" bestFit="1" customWidth="1"/>
    <col min="14362" max="14363" width="14" style="93" customWidth="1"/>
    <col min="14364" max="14364" width="13.42578125" style="93" bestFit="1" customWidth="1"/>
    <col min="14365" max="14365" width="16" style="93" bestFit="1" customWidth="1"/>
    <col min="14366" max="14371" width="16" style="93" customWidth="1"/>
    <col min="14372" max="14376" width="9.140625" style="93"/>
    <col min="14377" max="14377" width="6.140625" style="93" bestFit="1" customWidth="1"/>
    <col min="14378" max="14378" width="6.42578125" style="93" bestFit="1" customWidth="1"/>
    <col min="14379" max="14379" width="5.5703125" style="93" bestFit="1" customWidth="1"/>
    <col min="14380" max="14380" width="6.5703125" style="93" bestFit="1" customWidth="1"/>
    <col min="14381" max="14381" width="6.85546875" style="93" bestFit="1" customWidth="1"/>
    <col min="14382" max="14382" width="6" style="93" bestFit="1" customWidth="1"/>
    <col min="14383" max="14383" width="6.5703125" style="93" bestFit="1" customWidth="1"/>
    <col min="14384" max="14384" width="6" style="93" bestFit="1" customWidth="1"/>
    <col min="14385" max="14385" width="6.5703125" style="93" bestFit="1" customWidth="1"/>
    <col min="14386" max="14386" width="9.140625" style="93"/>
    <col min="14387" max="14387" width="15.5703125" style="93" customWidth="1"/>
    <col min="14388" max="14592" width="9.140625" style="93"/>
    <col min="14593" max="14593" width="23.85546875" style="93" bestFit="1" customWidth="1"/>
    <col min="14594" max="14594" width="8.5703125" style="93" bestFit="1" customWidth="1"/>
    <col min="14595" max="14596" width="6.5703125" style="93" bestFit="1" customWidth="1"/>
    <col min="14597" max="14597" width="6.28515625" style="93" bestFit="1" customWidth="1"/>
    <col min="14598" max="14598" width="5.85546875" style="93" customWidth="1"/>
    <col min="14599" max="14599" width="5.5703125" style="93" bestFit="1" customWidth="1"/>
    <col min="14600" max="14601" width="4.5703125" style="93" customWidth="1"/>
    <col min="14602" max="14602" width="5.85546875" style="93" customWidth="1"/>
    <col min="14603" max="14603" width="5.5703125" style="93" bestFit="1" customWidth="1"/>
    <col min="14604" max="14605" width="4.5703125" style="93" bestFit="1" customWidth="1"/>
    <col min="14606" max="14606" width="5.5703125" style="93" bestFit="1" customWidth="1"/>
    <col min="14607" max="14610" width="4.5703125" style="93" bestFit="1" customWidth="1"/>
    <col min="14611" max="14611" width="6.28515625" style="93" bestFit="1" customWidth="1"/>
    <col min="14612" max="14614" width="6.28515625" style="93" customWidth="1"/>
    <col min="14615" max="14615" width="9.7109375" style="93" bestFit="1" customWidth="1"/>
    <col min="14616" max="14616" width="9.7109375" style="93" customWidth="1"/>
    <col min="14617" max="14617" width="9.7109375" style="93" bestFit="1" customWidth="1"/>
    <col min="14618" max="14619" width="14" style="93" customWidth="1"/>
    <col min="14620" max="14620" width="13.42578125" style="93" bestFit="1" customWidth="1"/>
    <col min="14621" max="14621" width="16" style="93" bestFit="1" customWidth="1"/>
    <col min="14622" max="14627" width="16" style="93" customWidth="1"/>
    <col min="14628" max="14632" width="9.140625" style="93"/>
    <col min="14633" max="14633" width="6.140625" style="93" bestFit="1" customWidth="1"/>
    <col min="14634" max="14634" width="6.42578125" style="93" bestFit="1" customWidth="1"/>
    <col min="14635" max="14635" width="5.5703125" style="93" bestFit="1" customWidth="1"/>
    <col min="14636" max="14636" width="6.5703125" style="93" bestFit="1" customWidth="1"/>
    <col min="14637" max="14637" width="6.85546875" style="93" bestFit="1" customWidth="1"/>
    <col min="14638" max="14638" width="6" style="93" bestFit="1" customWidth="1"/>
    <col min="14639" max="14639" width="6.5703125" style="93" bestFit="1" customWidth="1"/>
    <col min="14640" max="14640" width="6" style="93" bestFit="1" customWidth="1"/>
    <col min="14641" max="14641" width="6.5703125" style="93" bestFit="1" customWidth="1"/>
    <col min="14642" max="14642" width="9.140625" style="93"/>
    <col min="14643" max="14643" width="15.5703125" style="93" customWidth="1"/>
    <col min="14644" max="14848" width="9.140625" style="93"/>
    <col min="14849" max="14849" width="23.85546875" style="93" bestFit="1" customWidth="1"/>
    <col min="14850" max="14850" width="8.5703125" style="93" bestFit="1" customWidth="1"/>
    <col min="14851" max="14852" width="6.5703125" style="93" bestFit="1" customWidth="1"/>
    <col min="14853" max="14853" width="6.28515625" style="93" bestFit="1" customWidth="1"/>
    <col min="14854" max="14854" width="5.85546875" style="93" customWidth="1"/>
    <col min="14855" max="14855" width="5.5703125" style="93" bestFit="1" customWidth="1"/>
    <col min="14856" max="14857" width="4.5703125" style="93" customWidth="1"/>
    <col min="14858" max="14858" width="5.85546875" style="93" customWidth="1"/>
    <col min="14859" max="14859" width="5.5703125" style="93" bestFit="1" customWidth="1"/>
    <col min="14860" max="14861" width="4.5703125" style="93" bestFit="1" customWidth="1"/>
    <col min="14862" max="14862" width="5.5703125" style="93" bestFit="1" customWidth="1"/>
    <col min="14863" max="14866" width="4.5703125" style="93" bestFit="1" customWidth="1"/>
    <col min="14867" max="14867" width="6.28515625" style="93" bestFit="1" customWidth="1"/>
    <col min="14868" max="14870" width="6.28515625" style="93" customWidth="1"/>
    <col min="14871" max="14871" width="9.7109375" style="93" bestFit="1" customWidth="1"/>
    <col min="14872" max="14872" width="9.7109375" style="93" customWidth="1"/>
    <col min="14873" max="14873" width="9.7109375" style="93" bestFit="1" customWidth="1"/>
    <col min="14874" max="14875" width="14" style="93" customWidth="1"/>
    <col min="14876" max="14876" width="13.42578125" style="93" bestFit="1" customWidth="1"/>
    <col min="14877" max="14877" width="16" style="93" bestFit="1" customWidth="1"/>
    <col min="14878" max="14883" width="16" style="93" customWidth="1"/>
    <col min="14884" max="14888" width="9.140625" style="93"/>
    <col min="14889" max="14889" width="6.140625" style="93" bestFit="1" customWidth="1"/>
    <col min="14890" max="14890" width="6.42578125" style="93" bestFit="1" customWidth="1"/>
    <col min="14891" max="14891" width="5.5703125" style="93" bestFit="1" customWidth="1"/>
    <col min="14892" max="14892" width="6.5703125" style="93" bestFit="1" customWidth="1"/>
    <col min="14893" max="14893" width="6.85546875" style="93" bestFit="1" customWidth="1"/>
    <col min="14894" max="14894" width="6" style="93" bestFit="1" customWidth="1"/>
    <col min="14895" max="14895" width="6.5703125" style="93" bestFit="1" customWidth="1"/>
    <col min="14896" max="14896" width="6" style="93" bestFit="1" customWidth="1"/>
    <col min="14897" max="14897" width="6.5703125" style="93" bestFit="1" customWidth="1"/>
    <col min="14898" max="14898" width="9.140625" style="93"/>
    <col min="14899" max="14899" width="15.5703125" style="93" customWidth="1"/>
    <col min="14900" max="15104" width="9.140625" style="93"/>
    <col min="15105" max="15105" width="23.85546875" style="93" bestFit="1" customWidth="1"/>
    <col min="15106" max="15106" width="8.5703125" style="93" bestFit="1" customWidth="1"/>
    <col min="15107" max="15108" width="6.5703125" style="93" bestFit="1" customWidth="1"/>
    <col min="15109" max="15109" width="6.28515625" style="93" bestFit="1" customWidth="1"/>
    <col min="15110" max="15110" width="5.85546875" style="93" customWidth="1"/>
    <col min="15111" max="15111" width="5.5703125" style="93" bestFit="1" customWidth="1"/>
    <col min="15112" max="15113" width="4.5703125" style="93" customWidth="1"/>
    <col min="15114" max="15114" width="5.85546875" style="93" customWidth="1"/>
    <col min="15115" max="15115" width="5.5703125" style="93" bestFit="1" customWidth="1"/>
    <col min="15116" max="15117" width="4.5703125" style="93" bestFit="1" customWidth="1"/>
    <col min="15118" max="15118" width="5.5703125" style="93" bestFit="1" customWidth="1"/>
    <col min="15119" max="15122" width="4.5703125" style="93" bestFit="1" customWidth="1"/>
    <col min="15123" max="15123" width="6.28515625" style="93" bestFit="1" customWidth="1"/>
    <col min="15124" max="15126" width="6.28515625" style="93" customWidth="1"/>
    <col min="15127" max="15127" width="9.7109375" style="93" bestFit="1" customWidth="1"/>
    <col min="15128" max="15128" width="9.7109375" style="93" customWidth="1"/>
    <col min="15129" max="15129" width="9.7109375" style="93" bestFit="1" customWidth="1"/>
    <col min="15130" max="15131" width="14" style="93" customWidth="1"/>
    <col min="15132" max="15132" width="13.42578125" style="93" bestFit="1" customWidth="1"/>
    <col min="15133" max="15133" width="16" style="93" bestFit="1" customWidth="1"/>
    <col min="15134" max="15139" width="16" style="93" customWidth="1"/>
    <col min="15140" max="15144" width="9.140625" style="93"/>
    <col min="15145" max="15145" width="6.140625" style="93" bestFit="1" customWidth="1"/>
    <col min="15146" max="15146" width="6.42578125" style="93" bestFit="1" customWidth="1"/>
    <col min="15147" max="15147" width="5.5703125" style="93" bestFit="1" customWidth="1"/>
    <col min="15148" max="15148" width="6.5703125" style="93" bestFit="1" customWidth="1"/>
    <col min="15149" max="15149" width="6.85546875" style="93" bestFit="1" customWidth="1"/>
    <col min="15150" max="15150" width="6" style="93" bestFit="1" customWidth="1"/>
    <col min="15151" max="15151" width="6.5703125" style="93" bestFit="1" customWidth="1"/>
    <col min="15152" max="15152" width="6" style="93" bestFit="1" customWidth="1"/>
    <col min="15153" max="15153" width="6.5703125" style="93" bestFit="1" customWidth="1"/>
    <col min="15154" max="15154" width="9.140625" style="93"/>
    <col min="15155" max="15155" width="15.5703125" style="93" customWidth="1"/>
    <col min="15156" max="15360" width="9.140625" style="93"/>
    <col min="15361" max="15361" width="23.85546875" style="93" bestFit="1" customWidth="1"/>
    <col min="15362" max="15362" width="8.5703125" style="93" bestFit="1" customWidth="1"/>
    <col min="15363" max="15364" width="6.5703125" style="93" bestFit="1" customWidth="1"/>
    <col min="15365" max="15365" width="6.28515625" style="93" bestFit="1" customWidth="1"/>
    <col min="15366" max="15366" width="5.85546875" style="93" customWidth="1"/>
    <col min="15367" max="15367" width="5.5703125" style="93" bestFit="1" customWidth="1"/>
    <col min="15368" max="15369" width="4.5703125" style="93" customWidth="1"/>
    <col min="15370" max="15370" width="5.85546875" style="93" customWidth="1"/>
    <col min="15371" max="15371" width="5.5703125" style="93" bestFit="1" customWidth="1"/>
    <col min="15372" max="15373" width="4.5703125" style="93" bestFit="1" customWidth="1"/>
    <col min="15374" max="15374" width="5.5703125" style="93" bestFit="1" customWidth="1"/>
    <col min="15375" max="15378" width="4.5703125" style="93" bestFit="1" customWidth="1"/>
    <col min="15379" max="15379" width="6.28515625" style="93" bestFit="1" customWidth="1"/>
    <col min="15380" max="15382" width="6.28515625" style="93" customWidth="1"/>
    <col min="15383" max="15383" width="9.7109375" style="93" bestFit="1" customWidth="1"/>
    <col min="15384" max="15384" width="9.7109375" style="93" customWidth="1"/>
    <col min="15385" max="15385" width="9.7109375" style="93" bestFit="1" customWidth="1"/>
    <col min="15386" max="15387" width="14" style="93" customWidth="1"/>
    <col min="15388" max="15388" width="13.42578125" style="93" bestFit="1" customWidth="1"/>
    <col min="15389" max="15389" width="16" style="93" bestFit="1" customWidth="1"/>
    <col min="15390" max="15395" width="16" style="93" customWidth="1"/>
    <col min="15396" max="15400" width="9.140625" style="93"/>
    <col min="15401" max="15401" width="6.140625" style="93" bestFit="1" customWidth="1"/>
    <col min="15402" max="15402" width="6.42578125" style="93" bestFit="1" customWidth="1"/>
    <col min="15403" max="15403" width="5.5703125" style="93" bestFit="1" customWidth="1"/>
    <col min="15404" max="15404" width="6.5703125" style="93" bestFit="1" customWidth="1"/>
    <col min="15405" max="15405" width="6.85546875" style="93" bestFit="1" customWidth="1"/>
    <col min="15406" max="15406" width="6" style="93" bestFit="1" customWidth="1"/>
    <col min="15407" max="15407" width="6.5703125" style="93" bestFit="1" customWidth="1"/>
    <col min="15408" max="15408" width="6" style="93" bestFit="1" customWidth="1"/>
    <col min="15409" max="15409" width="6.5703125" style="93" bestFit="1" customWidth="1"/>
    <col min="15410" max="15410" width="9.140625" style="93"/>
    <col min="15411" max="15411" width="15.5703125" style="93" customWidth="1"/>
    <col min="15412" max="15616" width="9.140625" style="93"/>
    <col min="15617" max="15617" width="23.85546875" style="93" bestFit="1" customWidth="1"/>
    <col min="15618" max="15618" width="8.5703125" style="93" bestFit="1" customWidth="1"/>
    <col min="15619" max="15620" width="6.5703125" style="93" bestFit="1" customWidth="1"/>
    <col min="15621" max="15621" width="6.28515625" style="93" bestFit="1" customWidth="1"/>
    <col min="15622" max="15622" width="5.85546875" style="93" customWidth="1"/>
    <col min="15623" max="15623" width="5.5703125" style="93" bestFit="1" customWidth="1"/>
    <col min="15624" max="15625" width="4.5703125" style="93" customWidth="1"/>
    <col min="15626" max="15626" width="5.85546875" style="93" customWidth="1"/>
    <col min="15627" max="15627" width="5.5703125" style="93" bestFit="1" customWidth="1"/>
    <col min="15628" max="15629" width="4.5703125" style="93" bestFit="1" customWidth="1"/>
    <col min="15630" max="15630" width="5.5703125" style="93" bestFit="1" customWidth="1"/>
    <col min="15631" max="15634" width="4.5703125" style="93" bestFit="1" customWidth="1"/>
    <col min="15635" max="15635" width="6.28515625" style="93" bestFit="1" customWidth="1"/>
    <col min="15636" max="15638" width="6.28515625" style="93" customWidth="1"/>
    <col min="15639" max="15639" width="9.7109375" style="93" bestFit="1" customWidth="1"/>
    <col min="15640" max="15640" width="9.7109375" style="93" customWidth="1"/>
    <col min="15641" max="15641" width="9.7109375" style="93" bestFit="1" customWidth="1"/>
    <col min="15642" max="15643" width="14" style="93" customWidth="1"/>
    <col min="15644" max="15644" width="13.42578125" style="93" bestFit="1" customWidth="1"/>
    <col min="15645" max="15645" width="16" style="93" bestFit="1" customWidth="1"/>
    <col min="15646" max="15651" width="16" style="93" customWidth="1"/>
    <col min="15652" max="15656" width="9.140625" style="93"/>
    <col min="15657" max="15657" width="6.140625" style="93" bestFit="1" customWidth="1"/>
    <col min="15658" max="15658" width="6.42578125" style="93" bestFit="1" customWidth="1"/>
    <col min="15659" max="15659" width="5.5703125" style="93" bestFit="1" customWidth="1"/>
    <col min="15660" max="15660" width="6.5703125" style="93" bestFit="1" customWidth="1"/>
    <col min="15661" max="15661" width="6.85546875" style="93" bestFit="1" customWidth="1"/>
    <col min="15662" max="15662" width="6" style="93" bestFit="1" customWidth="1"/>
    <col min="15663" max="15663" width="6.5703125" style="93" bestFit="1" customWidth="1"/>
    <col min="15664" max="15664" width="6" style="93" bestFit="1" customWidth="1"/>
    <col min="15665" max="15665" width="6.5703125" style="93" bestFit="1" customWidth="1"/>
    <col min="15666" max="15666" width="9.140625" style="93"/>
    <col min="15667" max="15667" width="15.5703125" style="93" customWidth="1"/>
    <col min="15668" max="15872" width="9.140625" style="93"/>
    <col min="15873" max="15873" width="23.85546875" style="93" bestFit="1" customWidth="1"/>
    <col min="15874" max="15874" width="8.5703125" style="93" bestFit="1" customWidth="1"/>
    <col min="15875" max="15876" width="6.5703125" style="93" bestFit="1" customWidth="1"/>
    <col min="15877" max="15877" width="6.28515625" style="93" bestFit="1" customWidth="1"/>
    <col min="15878" max="15878" width="5.85546875" style="93" customWidth="1"/>
    <col min="15879" max="15879" width="5.5703125" style="93" bestFit="1" customWidth="1"/>
    <col min="15880" max="15881" width="4.5703125" style="93" customWidth="1"/>
    <col min="15882" max="15882" width="5.85546875" style="93" customWidth="1"/>
    <col min="15883" max="15883" width="5.5703125" style="93" bestFit="1" customWidth="1"/>
    <col min="15884" max="15885" width="4.5703125" style="93" bestFit="1" customWidth="1"/>
    <col min="15886" max="15886" width="5.5703125" style="93" bestFit="1" customWidth="1"/>
    <col min="15887" max="15890" width="4.5703125" style="93" bestFit="1" customWidth="1"/>
    <col min="15891" max="15891" width="6.28515625" style="93" bestFit="1" customWidth="1"/>
    <col min="15892" max="15894" width="6.28515625" style="93" customWidth="1"/>
    <col min="15895" max="15895" width="9.7109375" style="93" bestFit="1" customWidth="1"/>
    <col min="15896" max="15896" width="9.7109375" style="93" customWidth="1"/>
    <col min="15897" max="15897" width="9.7109375" style="93" bestFit="1" customWidth="1"/>
    <col min="15898" max="15899" width="14" style="93" customWidth="1"/>
    <col min="15900" max="15900" width="13.42578125" style="93" bestFit="1" customWidth="1"/>
    <col min="15901" max="15901" width="16" style="93" bestFit="1" customWidth="1"/>
    <col min="15902" max="15907" width="16" style="93" customWidth="1"/>
    <col min="15908" max="15912" width="9.140625" style="93"/>
    <col min="15913" max="15913" width="6.140625" style="93" bestFit="1" customWidth="1"/>
    <col min="15914" max="15914" width="6.42578125" style="93" bestFit="1" customWidth="1"/>
    <col min="15915" max="15915" width="5.5703125" style="93" bestFit="1" customWidth="1"/>
    <col min="15916" max="15916" width="6.5703125" style="93" bestFit="1" customWidth="1"/>
    <col min="15917" max="15917" width="6.85546875" style="93" bestFit="1" customWidth="1"/>
    <col min="15918" max="15918" width="6" style="93" bestFit="1" customWidth="1"/>
    <col min="15919" max="15919" width="6.5703125" style="93" bestFit="1" customWidth="1"/>
    <col min="15920" max="15920" width="6" style="93" bestFit="1" customWidth="1"/>
    <col min="15921" max="15921" width="6.5703125" style="93" bestFit="1" customWidth="1"/>
    <col min="15922" max="15922" width="9.140625" style="93"/>
    <col min="15923" max="15923" width="15.5703125" style="93" customWidth="1"/>
    <col min="15924" max="16128" width="9.140625" style="93"/>
    <col min="16129" max="16129" width="23.85546875" style="93" bestFit="1" customWidth="1"/>
    <col min="16130" max="16130" width="8.5703125" style="93" bestFit="1" customWidth="1"/>
    <col min="16131" max="16132" width="6.5703125" style="93" bestFit="1" customWidth="1"/>
    <col min="16133" max="16133" width="6.28515625" style="93" bestFit="1" customWidth="1"/>
    <col min="16134" max="16134" width="5.85546875" style="93" customWidth="1"/>
    <col min="16135" max="16135" width="5.5703125" style="93" bestFit="1" customWidth="1"/>
    <col min="16136" max="16137" width="4.5703125" style="93" customWidth="1"/>
    <col min="16138" max="16138" width="5.85546875" style="93" customWidth="1"/>
    <col min="16139" max="16139" width="5.5703125" style="93" bestFit="1" customWidth="1"/>
    <col min="16140" max="16141" width="4.5703125" style="93" bestFit="1" customWidth="1"/>
    <col min="16142" max="16142" width="5.5703125" style="93" bestFit="1" customWidth="1"/>
    <col min="16143" max="16146" width="4.5703125" style="93" bestFit="1" customWidth="1"/>
    <col min="16147" max="16147" width="6.28515625" style="93" bestFit="1" customWidth="1"/>
    <col min="16148" max="16150" width="6.28515625" style="93" customWidth="1"/>
    <col min="16151" max="16151" width="9.7109375" style="93" bestFit="1" customWidth="1"/>
    <col min="16152" max="16152" width="9.7109375" style="93" customWidth="1"/>
    <col min="16153" max="16153" width="9.7109375" style="93" bestFit="1" customWidth="1"/>
    <col min="16154" max="16155" width="14" style="93" customWidth="1"/>
    <col min="16156" max="16156" width="13.42578125" style="93" bestFit="1" customWidth="1"/>
    <col min="16157" max="16157" width="16" style="93" bestFit="1" customWidth="1"/>
    <col min="16158" max="16163" width="16" style="93" customWidth="1"/>
    <col min="16164" max="16168" width="9.140625" style="93"/>
    <col min="16169" max="16169" width="6.140625" style="93" bestFit="1" customWidth="1"/>
    <col min="16170" max="16170" width="6.42578125" style="93" bestFit="1" customWidth="1"/>
    <col min="16171" max="16171" width="5.5703125" style="93" bestFit="1" customWidth="1"/>
    <col min="16172" max="16172" width="6.5703125" style="93" bestFit="1" customWidth="1"/>
    <col min="16173" max="16173" width="6.85546875" style="93" bestFit="1" customWidth="1"/>
    <col min="16174" max="16174" width="6" style="93" bestFit="1" customWidth="1"/>
    <col min="16175" max="16175" width="6.5703125" style="93" bestFit="1" customWidth="1"/>
    <col min="16176" max="16176" width="6" style="93" bestFit="1" customWidth="1"/>
    <col min="16177" max="16177" width="6.5703125" style="93" bestFit="1" customWidth="1"/>
    <col min="16178" max="16178" width="9.140625" style="93"/>
    <col min="16179" max="16179" width="15.5703125" style="93" customWidth="1"/>
    <col min="16180" max="16384" width="9.140625" style="93"/>
  </cols>
  <sheetData>
    <row r="1" spans="1:53" x14ac:dyDescent="0.2">
      <c r="A1" s="92"/>
      <c r="AB1" s="93" t="s">
        <v>16</v>
      </c>
      <c r="AM1" s="94"/>
      <c r="AQ1" s="94"/>
      <c r="AR1" s="94"/>
      <c r="AS1" s="94"/>
      <c r="AT1" s="94"/>
      <c r="AY1" s="95"/>
      <c r="AZ1" s="95"/>
      <c r="BA1" s="95"/>
    </row>
    <row r="2" spans="1:53" x14ac:dyDescent="0.2">
      <c r="B2" s="96"/>
      <c r="C2" s="96"/>
      <c r="G2" s="96"/>
      <c r="H2" s="96"/>
      <c r="I2" s="96"/>
      <c r="J2" s="96"/>
      <c r="K2" s="96"/>
      <c r="L2" s="96" t="s">
        <v>17</v>
      </c>
      <c r="M2" s="96"/>
      <c r="W2" s="94"/>
      <c r="X2" s="94" t="s">
        <v>18</v>
      </c>
      <c r="Y2" s="94" t="s">
        <v>19</v>
      </c>
      <c r="Z2" s="94" t="s">
        <v>20</v>
      </c>
      <c r="AA2" s="94"/>
      <c r="AB2" s="94" t="s">
        <v>21</v>
      </c>
      <c r="AC2" s="94"/>
      <c r="AD2" s="94"/>
      <c r="AE2" s="94"/>
      <c r="AF2" s="94"/>
      <c r="AG2" s="94"/>
      <c r="AH2" s="94"/>
      <c r="AI2" s="94"/>
      <c r="AJ2" s="97"/>
      <c r="AK2" s="97"/>
      <c r="AL2" s="97"/>
      <c r="AM2" s="94"/>
    </row>
    <row r="3" spans="1:53" x14ac:dyDescent="0.2">
      <c r="B3" s="96"/>
      <c r="C3" s="96"/>
      <c r="F3" s="98" t="s">
        <v>22</v>
      </c>
      <c r="G3" s="96"/>
      <c r="H3" s="96"/>
      <c r="I3" s="96"/>
      <c r="J3" s="96"/>
      <c r="K3" s="96"/>
      <c r="L3" s="96" t="s">
        <v>23</v>
      </c>
      <c r="M3" s="96"/>
      <c r="W3" s="94" t="s">
        <v>24</v>
      </c>
      <c r="X3" s="94">
        <v>55.661999999999999</v>
      </c>
      <c r="Y3" s="94">
        <v>16.04</v>
      </c>
      <c r="Z3" s="94">
        <v>22.414000000000001</v>
      </c>
      <c r="AA3" s="94"/>
      <c r="AB3" s="97">
        <f>X3*Y3/Z3</f>
        <v>39.833072187025962</v>
      </c>
      <c r="AC3" s="94"/>
      <c r="AD3" s="94"/>
      <c r="AE3" s="94" t="s">
        <v>580</v>
      </c>
      <c r="AF3" s="94"/>
      <c r="AG3" s="94"/>
      <c r="AH3" s="94"/>
      <c r="AI3" s="94"/>
      <c r="AJ3" s="97"/>
      <c r="AK3" s="97"/>
      <c r="AL3" s="97"/>
      <c r="AM3" s="94"/>
      <c r="AQ3" s="94"/>
    </row>
    <row r="4" spans="1:53" x14ac:dyDescent="0.2">
      <c r="F4" s="93" t="s">
        <v>25</v>
      </c>
      <c r="G4" s="93" t="s">
        <v>26</v>
      </c>
      <c r="H4" s="93" t="s">
        <v>27</v>
      </c>
      <c r="I4" s="93" t="s">
        <v>28</v>
      </c>
      <c r="L4" s="93" t="s">
        <v>29</v>
      </c>
      <c r="W4" s="99" t="s">
        <v>30</v>
      </c>
      <c r="X4" s="99"/>
    </row>
    <row r="5" spans="1:53" x14ac:dyDescent="0.2">
      <c r="F5" s="100">
        <v>12.0107</v>
      </c>
      <c r="G5" s="100">
        <v>1.0079400000000001</v>
      </c>
      <c r="H5" s="100">
        <v>15.9994</v>
      </c>
      <c r="I5" s="96">
        <v>14</v>
      </c>
      <c r="J5" s="96"/>
      <c r="K5" s="96"/>
      <c r="L5" s="96" t="s">
        <v>31</v>
      </c>
      <c r="M5" s="96"/>
      <c r="N5" s="96"/>
      <c r="W5" s="93" t="s">
        <v>32</v>
      </c>
    </row>
    <row r="6" spans="1:53" x14ac:dyDescent="0.2">
      <c r="F6" s="100"/>
      <c r="G6" s="100"/>
      <c r="H6" s="100"/>
      <c r="I6" s="96"/>
      <c r="J6" s="96"/>
      <c r="K6" s="96"/>
      <c r="L6" s="96"/>
      <c r="M6" s="96"/>
      <c r="N6" s="96"/>
      <c r="AN6" s="93" t="s">
        <v>510</v>
      </c>
    </row>
    <row r="7" spans="1:53" x14ac:dyDescent="0.2">
      <c r="F7" s="93" t="s">
        <v>33</v>
      </c>
      <c r="J7" s="93" t="s">
        <v>34</v>
      </c>
      <c r="W7" s="93" t="s">
        <v>35</v>
      </c>
      <c r="X7" s="93" t="s">
        <v>35</v>
      </c>
      <c r="Y7" s="93" t="s">
        <v>35</v>
      </c>
      <c r="Z7" s="96" t="s">
        <v>36</v>
      </c>
      <c r="AA7" s="96" t="s">
        <v>36</v>
      </c>
      <c r="AB7" s="96"/>
      <c r="AD7" s="93" t="s">
        <v>256</v>
      </c>
      <c r="AE7" s="96" t="s">
        <v>285</v>
      </c>
      <c r="AF7" s="96" t="s">
        <v>287</v>
      </c>
      <c r="AG7" s="96" t="s">
        <v>35</v>
      </c>
      <c r="AH7" s="96" t="s">
        <v>35</v>
      </c>
      <c r="AI7" s="96" t="s">
        <v>35</v>
      </c>
      <c r="AJ7" s="96" t="s">
        <v>35</v>
      </c>
      <c r="AK7" s="93" t="s">
        <v>316</v>
      </c>
      <c r="AL7" s="93" t="s">
        <v>14</v>
      </c>
      <c r="AN7" s="93" t="s">
        <v>14</v>
      </c>
      <c r="AO7" s="93" t="s">
        <v>14</v>
      </c>
    </row>
    <row r="8" spans="1:53" x14ac:dyDescent="0.2">
      <c r="B8" s="93" t="s">
        <v>38</v>
      </c>
      <c r="C8" s="93" t="s">
        <v>39</v>
      </c>
      <c r="D8" s="93" t="s">
        <v>40</v>
      </c>
      <c r="E8" s="93" t="s">
        <v>41</v>
      </c>
      <c r="F8" s="93" t="s">
        <v>42</v>
      </c>
      <c r="G8" s="93" t="s">
        <v>43</v>
      </c>
      <c r="H8" s="93" t="s">
        <v>44</v>
      </c>
      <c r="I8" s="93" t="s">
        <v>45</v>
      </c>
      <c r="J8" s="93" t="s">
        <v>25</v>
      </c>
      <c r="K8" s="93" t="s">
        <v>26</v>
      </c>
      <c r="L8" s="93" t="s">
        <v>27</v>
      </c>
      <c r="M8" s="93" t="s">
        <v>28</v>
      </c>
      <c r="N8" s="93" t="s">
        <v>46</v>
      </c>
      <c r="O8" s="93" t="s">
        <v>47</v>
      </c>
      <c r="P8" s="93" t="s">
        <v>48</v>
      </c>
      <c r="Q8" s="93" t="s">
        <v>49</v>
      </c>
      <c r="R8" s="93" t="s">
        <v>50</v>
      </c>
      <c r="S8" s="93" t="s">
        <v>51</v>
      </c>
      <c r="T8" s="93" t="s">
        <v>52</v>
      </c>
      <c r="U8" s="93" t="s">
        <v>53</v>
      </c>
      <c r="V8" s="93" t="s">
        <v>54</v>
      </c>
      <c r="W8" s="93" t="s">
        <v>55</v>
      </c>
      <c r="X8" s="93" t="s">
        <v>241</v>
      </c>
      <c r="Y8" s="94" t="s">
        <v>242</v>
      </c>
      <c r="Z8" s="93" t="s">
        <v>243</v>
      </c>
      <c r="AA8" s="93" t="s">
        <v>56</v>
      </c>
      <c r="AB8" s="94" t="s">
        <v>240</v>
      </c>
      <c r="AC8" s="101" t="s">
        <v>259</v>
      </c>
      <c r="AD8" s="96" t="s">
        <v>257</v>
      </c>
      <c r="AE8" s="96" t="s">
        <v>286</v>
      </c>
      <c r="AF8" s="96" t="s">
        <v>288</v>
      </c>
      <c r="AG8" s="94" t="s">
        <v>310</v>
      </c>
      <c r="AH8" s="94" t="s">
        <v>311</v>
      </c>
      <c r="AI8" s="94" t="s">
        <v>312</v>
      </c>
      <c r="AJ8" s="94" t="s">
        <v>313</v>
      </c>
      <c r="AK8" s="93" t="s">
        <v>314</v>
      </c>
      <c r="AL8" s="93" t="s">
        <v>273</v>
      </c>
      <c r="AN8" s="93" t="s">
        <v>24</v>
      </c>
      <c r="AO8" s="93" t="s">
        <v>273</v>
      </c>
    </row>
    <row r="9" spans="1:53" x14ac:dyDescent="0.2">
      <c r="B9" s="102"/>
      <c r="C9" s="102"/>
      <c r="D9" s="102"/>
      <c r="F9" s="103"/>
      <c r="G9" s="103"/>
      <c r="H9" s="103"/>
      <c r="I9" s="103"/>
      <c r="J9" s="96"/>
      <c r="K9" s="96"/>
      <c r="L9" s="96"/>
      <c r="M9" s="96"/>
      <c r="N9" s="96"/>
      <c r="O9" s="96"/>
      <c r="P9" s="96"/>
      <c r="Q9" s="96"/>
      <c r="R9" s="96"/>
      <c r="S9" s="96"/>
      <c r="T9" s="104"/>
      <c r="U9" s="96"/>
      <c r="V9" s="105"/>
      <c r="W9" s="106"/>
      <c r="X9" s="106"/>
      <c r="Y9" s="106"/>
      <c r="Z9" s="96"/>
      <c r="AA9" s="107"/>
      <c r="AB9" s="96"/>
      <c r="AC9" s="108"/>
      <c r="AD9" s="96"/>
      <c r="AE9" s="96"/>
      <c r="AF9" s="96"/>
      <c r="AG9" s="96"/>
      <c r="AH9" s="96"/>
      <c r="AI9" s="96"/>
      <c r="AJ9" s="108"/>
      <c r="AK9" s="108"/>
      <c r="AL9" s="108"/>
      <c r="AM9" s="108"/>
      <c r="AN9" s="108"/>
      <c r="AO9" s="108"/>
      <c r="AP9" s="96"/>
      <c r="AQ9" s="96"/>
      <c r="AR9" s="96"/>
    </row>
    <row r="10" spans="1:53" x14ac:dyDescent="0.2">
      <c r="A10" s="93" t="s">
        <v>37</v>
      </c>
      <c r="B10" s="102">
        <v>0</v>
      </c>
      <c r="C10" s="102">
        <v>100</v>
      </c>
      <c r="D10" s="102">
        <v>0</v>
      </c>
      <c r="E10" s="93">
        <f>SUM(B10:D10)</f>
        <v>100</v>
      </c>
      <c r="F10" s="103">
        <v>57</v>
      </c>
      <c r="G10" s="103">
        <v>104</v>
      </c>
      <c r="H10" s="103">
        <v>6</v>
      </c>
      <c r="I10" s="103">
        <v>0</v>
      </c>
      <c r="J10" s="96">
        <f t="shared" ref="J10:M12" si="0">F10*F$5</f>
        <v>684.60990000000004</v>
      </c>
      <c r="K10" s="96">
        <f t="shared" si="0"/>
        <v>104.82576</v>
      </c>
      <c r="L10" s="96">
        <f t="shared" si="0"/>
        <v>95.996399999999994</v>
      </c>
      <c r="M10" s="96">
        <f t="shared" si="0"/>
        <v>0</v>
      </c>
      <c r="N10" s="96">
        <f>SUM(J10:M10)</f>
        <v>885.43206000000009</v>
      </c>
      <c r="O10" s="96">
        <f>J10*100/$N10</f>
        <v>77.319303301486499</v>
      </c>
      <c r="P10" s="96">
        <f>G10*G$5*100/$N10</f>
        <v>11.838938833997043</v>
      </c>
      <c r="Q10" s="96">
        <f t="shared" ref="Q10:R12" si="1">H10*H$5*100/$N10</f>
        <v>10.841757864516447</v>
      </c>
      <c r="R10" s="96">
        <f t="shared" si="1"/>
        <v>0</v>
      </c>
      <c r="S10" s="96">
        <f t="shared" ref="S10:S17" si="2">SUM(O10:R10)</f>
        <v>100</v>
      </c>
      <c r="T10" s="104">
        <f>(-G10+2*H10+3*I10)/F10</f>
        <v>-1.6140350877192982</v>
      </c>
      <c r="U10" s="96">
        <f t="shared" ref="U10:U17" si="3">(4-T10)/(4+T10)</f>
        <v>2.3529411764705879</v>
      </c>
      <c r="V10" s="105">
        <f t="shared" ref="V10:V17" si="4">U10/(U10+1)</f>
        <v>0.70175438596491224</v>
      </c>
      <c r="W10" s="106">
        <f>22.414*(4*F10+G10-2*H10-3*I10)/(8*N10)</f>
        <v>1.0125678078564266</v>
      </c>
      <c r="X10" s="106">
        <f t="shared" ref="X10:X12" si="5">F10/2+G10/8-H10/4-3*I10/8</f>
        <v>40</v>
      </c>
      <c r="Y10" s="106">
        <f t="shared" ref="Y10:Y12" si="6">F10/2-G10/8+H10/4-5*I10/8</f>
        <v>17</v>
      </c>
      <c r="Z10" s="96">
        <f>(34.1*O10+102*P10+6.3*R10-9.85*Q10)/S10</f>
        <v>37.373686886829013</v>
      </c>
      <c r="AA10" s="107">
        <f>Z10*E10/100</f>
        <v>37.373686886829013</v>
      </c>
      <c r="AB10" s="96">
        <f>(F10+G10/4-H10/2-(3*I10/4))*32/N10</f>
        <v>2.8912438521821762</v>
      </c>
      <c r="AC10" s="108">
        <f t="shared" ref="AC10:AC12" si="7">W10/AB10</f>
        <v>0.35021875000000002</v>
      </c>
      <c r="AD10" s="108">
        <f>F10/(F10+G10/4-H10/2-(3*I10/4))</f>
        <v>0.71250000000000002</v>
      </c>
      <c r="AE10" s="108">
        <f>18*(4*F10-G10-2*H10-3*I10)/(4*N10)</f>
        <v>0.56921363339836595</v>
      </c>
      <c r="AF10" s="96">
        <f>(4*F10-G10-2*H10-3*I10)/4</f>
        <v>28</v>
      </c>
      <c r="AG10" s="106">
        <f t="shared" ref="AG10:AG12" si="8">I10</f>
        <v>0</v>
      </c>
      <c r="AH10" s="106">
        <f t="shared" ref="AH10:AH12" si="9">AG10*17/N10</f>
        <v>0</v>
      </c>
      <c r="AI10" s="106">
        <f t="shared" ref="AI10:AI12" si="10">Y10*44/N10</f>
        <v>0.84478531305947957</v>
      </c>
      <c r="AJ10" s="106">
        <f t="shared" ref="AJ10:AJ12" si="11">X10*16/S10</f>
        <v>6.4</v>
      </c>
      <c r="AK10" s="109">
        <f t="shared" ref="AK10:AK12" si="12">AG10/(AG10+X10+Y10)</f>
        <v>0</v>
      </c>
      <c r="AL10" s="109">
        <f t="shared" ref="AL10:AL12" si="13">Y10/(Y10+X10+AG10)</f>
        <v>0.2982456140350877</v>
      </c>
      <c r="AM10" s="96"/>
      <c r="AN10" s="109">
        <f>X10/(X10+Y10)</f>
        <v>0.70175438596491224</v>
      </c>
      <c r="AO10" s="108">
        <f>Y10/(Y10+X10)</f>
        <v>0.2982456140350877</v>
      </c>
      <c r="AP10" s="96"/>
      <c r="AQ10" s="96"/>
      <c r="AR10" s="96"/>
    </row>
    <row r="11" spans="1:53" x14ac:dyDescent="0.2">
      <c r="A11" s="93" t="s">
        <v>57</v>
      </c>
      <c r="B11" s="102">
        <v>0</v>
      </c>
      <c r="C11" s="102">
        <v>0</v>
      </c>
      <c r="D11" s="102">
        <v>100</v>
      </c>
      <c r="E11" s="93">
        <f>SUM(B11:D11)</f>
        <v>100</v>
      </c>
      <c r="F11" s="103">
        <v>6</v>
      </c>
      <c r="G11" s="103">
        <v>10</v>
      </c>
      <c r="H11" s="103">
        <v>5</v>
      </c>
      <c r="I11" s="103">
        <v>0</v>
      </c>
      <c r="J11" s="96">
        <f t="shared" si="0"/>
        <v>72.0642</v>
      </c>
      <c r="K11" s="96">
        <f t="shared" si="0"/>
        <v>10.0794</v>
      </c>
      <c r="L11" s="96">
        <f t="shared" si="0"/>
        <v>79.997</v>
      </c>
      <c r="M11" s="96">
        <f t="shared" si="0"/>
        <v>0</v>
      </c>
      <c r="N11" s="96">
        <f>SUM(J11:M11)</f>
        <v>162.14060000000001</v>
      </c>
      <c r="O11" s="96">
        <f>F11*F$5*100/$N11</f>
        <v>44.445499769952747</v>
      </c>
      <c r="P11" s="96">
        <f>G11*G$5*100/$N11</f>
        <v>6.2164565815101209</v>
      </c>
      <c r="Q11" s="96">
        <f t="shared" si="1"/>
        <v>49.338043648537131</v>
      </c>
      <c r="R11" s="96">
        <f t="shared" si="1"/>
        <v>0</v>
      </c>
      <c r="S11" s="96">
        <f t="shared" si="2"/>
        <v>100</v>
      </c>
      <c r="T11" s="104">
        <f>(-G11+2*H11+3*I11)/F11</f>
        <v>0</v>
      </c>
      <c r="U11" s="96">
        <f t="shared" si="3"/>
        <v>1</v>
      </c>
      <c r="V11" s="105">
        <f t="shared" si="4"/>
        <v>0.5</v>
      </c>
      <c r="W11" s="106">
        <f>22.414*(4*F11+G11-2*H11-3*I11)/(8*N11)</f>
        <v>0.41471414315723515</v>
      </c>
      <c r="X11" s="106">
        <f t="shared" si="5"/>
        <v>3</v>
      </c>
      <c r="Y11" s="106">
        <f t="shared" si="6"/>
        <v>3</v>
      </c>
      <c r="Z11" s="96">
        <f t="shared" ref="Z11:Z17" si="14">(34.1*O11+102*P11+6.3*R11-9.85*Q11)/S11</f>
        <v>16.636903835313305</v>
      </c>
      <c r="AA11" s="107">
        <f t="shared" ref="AA11:AA15" si="15">Z11*E11/100</f>
        <v>16.636903835313305</v>
      </c>
      <c r="AB11" s="96">
        <f t="shared" ref="AB11:AB12" si="16">(F11+G11/4-H11/2-(3*I11/4))*32/N11</f>
        <v>1.1841574534693962</v>
      </c>
      <c r="AC11" s="108">
        <f t="shared" si="7"/>
        <v>0.35021875000000008</v>
      </c>
      <c r="AD11" s="108">
        <f t="shared" ref="AD11:AD17" si="17">F11/(F11+G11/4-H11/2-(3*I11/4))</f>
        <v>1</v>
      </c>
      <c r="AE11" s="108">
        <f t="shared" ref="AE11:AE17" si="18">18*(4*F11-G11-2*H11-3*I11)/(4*N11)</f>
        <v>0.1110147612627559</v>
      </c>
      <c r="AF11" s="96">
        <f t="shared" ref="AF11:AF17" si="19">(4*F11-G11-2*H11-3*I11)/4</f>
        <v>1</v>
      </c>
      <c r="AG11" s="106">
        <f t="shared" si="8"/>
        <v>0</v>
      </c>
      <c r="AH11" s="106">
        <f t="shared" si="9"/>
        <v>0</v>
      </c>
      <c r="AI11" s="106">
        <f t="shared" si="10"/>
        <v>0.81410824926020997</v>
      </c>
      <c r="AJ11" s="106">
        <f t="shared" si="11"/>
        <v>0.48</v>
      </c>
      <c r="AK11" s="109">
        <f t="shared" si="12"/>
        <v>0</v>
      </c>
      <c r="AL11" s="109">
        <f t="shared" si="13"/>
        <v>0.5</v>
      </c>
      <c r="AM11" s="108"/>
      <c r="AN11" s="109">
        <f t="shared" ref="AN11:AN17" si="20">X11/(X11+Y11)</f>
        <v>0.5</v>
      </c>
      <c r="AO11" s="108">
        <f t="shared" ref="AO11:AO17" si="21">Y11/(Y11+X11)</f>
        <v>0.5</v>
      </c>
      <c r="AP11" s="96"/>
      <c r="AQ11" s="96"/>
      <c r="AR11" s="96"/>
    </row>
    <row r="12" spans="1:53" x14ac:dyDescent="0.2">
      <c r="A12" s="93" t="s">
        <v>58</v>
      </c>
      <c r="B12" s="102">
        <v>100</v>
      </c>
      <c r="C12" s="102">
        <v>0</v>
      </c>
      <c r="D12" s="102">
        <v>0</v>
      </c>
      <c r="E12" s="93">
        <f>SUM(B12:D12)</f>
        <v>100</v>
      </c>
      <c r="F12" s="96">
        <f>[1]Amino!J25</f>
        <v>2.0307070707070705</v>
      </c>
      <c r="G12" s="96">
        <f>[1]Amino!K25</f>
        <v>3.9107070707070712</v>
      </c>
      <c r="H12" s="96">
        <f>[1]Amino!L25</f>
        <v>1</v>
      </c>
      <c r="I12" s="96">
        <f>[1]Amino!M25</f>
        <v>0.52808080808080804</v>
      </c>
      <c r="J12" s="96">
        <f t="shared" si="0"/>
        <v>24.39021341414141</v>
      </c>
      <c r="K12" s="96">
        <f t="shared" si="0"/>
        <v>3.9417580848484857</v>
      </c>
      <c r="L12" s="96">
        <f t="shared" si="0"/>
        <v>15.9994</v>
      </c>
      <c r="M12" s="96">
        <f t="shared" si="0"/>
        <v>7.3931313131313123</v>
      </c>
      <c r="N12" s="96">
        <f>SUM(J12:M12)</f>
        <v>51.724502812121209</v>
      </c>
      <c r="O12" s="96">
        <f>F12*F$5*100/$N12</f>
        <v>47.154079958455902</v>
      </c>
      <c r="P12" s="96">
        <f>G12*G$5*100/$N12</f>
        <v>7.6206785383053841</v>
      </c>
      <c r="Q12" s="96">
        <f t="shared" si="1"/>
        <v>30.931955127948903</v>
      </c>
      <c r="R12" s="96">
        <f t="shared" si="1"/>
        <v>14.293286375289803</v>
      </c>
      <c r="S12" s="96">
        <f t="shared" si="2"/>
        <v>100</v>
      </c>
      <c r="T12" s="104">
        <f>(-G12+2*H12+3*I12)/F12</f>
        <v>-0.16076402705929208</v>
      </c>
      <c r="U12" s="96">
        <f t="shared" si="3"/>
        <v>1.0837479270315094</v>
      </c>
      <c r="V12" s="105">
        <f t="shared" si="4"/>
        <v>0.52009550338241162</v>
      </c>
      <c r="W12" s="106">
        <f>22.414*(4*F12+G12-2*H12-3*I12)/(8*N12)</f>
        <v>0.45767102973677953</v>
      </c>
      <c r="X12" s="106">
        <f t="shared" si="5"/>
        <v>1.0561616161616161</v>
      </c>
      <c r="Y12" s="106">
        <f t="shared" si="6"/>
        <v>0.44646464646464634</v>
      </c>
      <c r="Z12" s="96">
        <f t="shared" si="14"/>
        <v>21.706312836445246</v>
      </c>
      <c r="AA12" s="107">
        <f t="shared" si="15"/>
        <v>21.706312836445246</v>
      </c>
      <c r="AB12" s="96">
        <f t="shared" si="16"/>
        <v>1.3068147543122106</v>
      </c>
      <c r="AC12" s="108">
        <f t="shared" si="7"/>
        <v>0.35021875000000002</v>
      </c>
      <c r="AD12" s="108">
        <f t="shared" si="17"/>
        <v>0.9613618974751339</v>
      </c>
      <c r="AE12" s="108">
        <f t="shared" si="18"/>
        <v>5.4625069200131972E-2</v>
      </c>
      <c r="AF12" s="96">
        <f t="shared" si="19"/>
        <v>0.15696969696969676</v>
      </c>
      <c r="AG12" s="106">
        <f t="shared" si="8"/>
        <v>0.52808080808080804</v>
      </c>
      <c r="AH12" s="106">
        <f t="shared" si="9"/>
        <v>0.1735613345570905</v>
      </c>
      <c r="AI12" s="106">
        <f t="shared" si="10"/>
        <v>0.37978991341490337</v>
      </c>
      <c r="AJ12" s="106">
        <f t="shared" si="11"/>
        <v>0.16898585858585857</v>
      </c>
      <c r="AK12" s="109">
        <f t="shared" si="12"/>
        <v>0.26004775169120575</v>
      </c>
      <c r="AL12" s="109">
        <f t="shared" si="13"/>
        <v>0.21985674492638277</v>
      </c>
      <c r="AM12" s="108"/>
      <c r="AN12" s="109">
        <f t="shared" si="20"/>
        <v>0.70287711750470561</v>
      </c>
      <c r="AO12" s="108">
        <f t="shared" si="21"/>
        <v>0.29712288249529439</v>
      </c>
      <c r="AP12" s="96"/>
      <c r="AQ12" s="96"/>
      <c r="AR12" s="96"/>
    </row>
    <row r="13" spans="1:53" ht="18" customHeight="1" x14ac:dyDescent="0.2">
      <c r="A13" s="110"/>
      <c r="B13" s="110"/>
      <c r="C13" s="110"/>
      <c r="D13" s="110"/>
      <c r="E13" s="110"/>
      <c r="F13" s="111"/>
      <c r="G13" s="111"/>
      <c r="H13" s="111"/>
      <c r="I13" s="111"/>
      <c r="J13" s="111"/>
      <c r="K13" s="111"/>
      <c r="L13" s="111"/>
      <c r="M13" s="111"/>
      <c r="N13" s="111"/>
      <c r="O13" s="111"/>
      <c r="P13" s="111"/>
      <c r="Q13" s="111"/>
      <c r="R13" s="111"/>
      <c r="S13" s="111"/>
      <c r="T13" s="111"/>
      <c r="U13" s="111"/>
      <c r="V13" s="111"/>
      <c r="W13" s="112"/>
      <c r="X13" s="113"/>
      <c r="Y13" s="113"/>
      <c r="Z13" s="113"/>
      <c r="AA13" s="111"/>
      <c r="AB13" s="114"/>
      <c r="AC13" s="115"/>
      <c r="AD13" s="116"/>
      <c r="AE13" s="116"/>
      <c r="AF13" s="116"/>
      <c r="AG13" s="116"/>
      <c r="AH13" s="112"/>
      <c r="AI13" s="112"/>
      <c r="AJ13" s="112"/>
      <c r="AK13" s="117"/>
      <c r="AL13" s="117"/>
      <c r="AM13" s="117"/>
      <c r="AN13" s="117"/>
      <c r="AO13" s="117"/>
    </row>
    <row r="14" spans="1:53" x14ac:dyDescent="0.2">
      <c r="A14" s="110"/>
      <c r="B14" s="110"/>
      <c r="C14" s="110"/>
      <c r="D14" s="110"/>
      <c r="E14" s="110"/>
      <c r="F14" s="111"/>
      <c r="G14" s="111"/>
      <c r="H14" s="111"/>
      <c r="I14" s="111"/>
      <c r="J14" s="111"/>
      <c r="K14" s="111"/>
      <c r="L14" s="111"/>
      <c r="M14" s="111"/>
      <c r="N14" s="111"/>
      <c r="O14" s="111"/>
      <c r="P14" s="111"/>
      <c r="Q14" s="111"/>
      <c r="R14" s="111"/>
      <c r="S14" s="111"/>
      <c r="T14" s="111"/>
      <c r="U14" s="111"/>
      <c r="V14" s="111"/>
      <c r="W14" s="112"/>
      <c r="X14" s="113"/>
      <c r="Y14" s="113"/>
      <c r="Z14" s="113"/>
      <c r="AA14" s="111"/>
      <c r="AB14" s="114"/>
      <c r="AC14" s="115"/>
      <c r="AD14" s="116"/>
      <c r="AE14" s="116"/>
      <c r="AF14" s="116"/>
      <c r="AG14" s="116"/>
      <c r="AH14" s="112"/>
      <c r="AI14" s="112"/>
      <c r="AJ14" s="112"/>
      <c r="AK14" s="117"/>
      <c r="AL14" s="117"/>
      <c r="AM14" s="117"/>
      <c r="AN14" s="117"/>
      <c r="AO14" s="117"/>
      <c r="AP14" s="108"/>
      <c r="AQ14" s="108"/>
      <c r="AR14" s="108"/>
      <c r="AS14" s="108"/>
      <c r="AT14" s="108"/>
    </row>
    <row r="15" spans="1:53" x14ac:dyDescent="0.2">
      <c r="A15" s="93" t="s">
        <v>258</v>
      </c>
      <c r="B15" s="102">
        <f>Summary!D30</f>
        <v>50</v>
      </c>
      <c r="C15" s="102">
        <f>Summary!D28</f>
        <v>20</v>
      </c>
      <c r="D15" s="102">
        <f>Summary!D29</f>
        <v>30</v>
      </c>
      <c r="E15" s="93">
        <f t="shared" ref="E15" si="22">B15+C15+D15</f>
        <v>100</v>
      </c>
      <c r="F15" s="96">
        <f t="shared" ref="F15:I15" si="23">O15/F$5</f>
        <v>4.3606576278244455</v>
      </c>
      <c r="G15" s="96">
        <f t="shared" si="23"/>
        <v>7.9797051515022073</v>
      </c>
      <c r="H15" s="96">
        <f t="shared" si="23"/>
        <v>2.0273099135866897</v>
      </c>
      <c r="I15" s="96">
        <f t="shared" si="23"/>
        <v>0.51047451340320726</v>
      </c>
      <c r="J15" s="96">
        <f t="shared" ref="J15:M15" si="24">F15*F$5</f>
        <v>52.374550570511069</v>
      </c>
      <c r="K15" s="96">
        <f t="shared" si="24"/>
        <v>8.0430640104051356</v>
      </c>
      <c r="L15" s="96">
        <f t="shared" si="24"/>
        <v>32.43574223143888</v>
      </c>
      <c r="M15" s="96">
        <f t="shared" si="24"/>
        <v>7.1466431876449015</v>
      </c>
      <c r="N15" s="96">
        <f t="shared" ref="N15" si="25">SUM(J15:M15)</f>
        <v>99.999999999999986</v>
      </c>
      <c r="O15" s="96">
        <f t="shared" ref="O15" si="26">($B15*$O$12/100+$C15*$O$10/100+$D15*$O$11/100)</f>
        <v>52.374550570511069</v>
      </c>
      <c r="P15" s="96">
        <f t="shared" ref="P15:R15" si="27">($B15*P$12/100+$C15*P$10/100+$D15*P$11/100)</f>
        <v>8.0430640104051356</v>
      </c>
      <c r="Q15" s="96">
        <f t="shared" si="27"/>
        <v>32.43574223143888</v>
      </c>
      <c r="R15" s="96">
        <f t="shared" si="27"/>
        <v>7.1466431876449015</v>
      </c>
      <c r="S15" s="96">
        <f t="shared" si="2"/>
        <v>99.999999999999986</v>
      </c>
      <c r="T15" s="104">
        <f t="shared" ref="T15:T17" si="28">(-G15+2*H15+3*I15)/F15</f>
        <v>-0.54892220128582225</v>
      </c>
      <c r="U15" s="96">
        <f t="shared" si="3"/>
        <v>1.3181163875762769</v>
      </c>
      <c r="V15" s="105">
        <f t="shared" si="4"/>
        <v>0.56861527516072785</v>
      </c>
      <c r="W15" s="106">
        <f t="shared" ref="W15" si="29">22.414*(4*F15+G15-2*H15-3*I15)/(8*N15)</f>
        <v>0.55576331938684542</v>
      </c>
      <c r="X15" s="118">
        <f>F15/2+G15/8-H15/4-3*I15/8</f>
        <v>2.4795365369271232</v>
      </c>
      <c r="Y15" s="106">
        <f t="shared" ref="Y15" si="30">F15/2-G15/8+H15/4-5*I15/8</f>
        <v>1.3706465774941148</v>
      </c>
      <c r="Z15" s="96">
        <f t="shared" si="14"/>
        <v>23.318964946182415</v>
      </c>
      <c r="AA15" s="107">
        <f t="shared" si="15"/>
        <v>23.318964946182415</v>
      </c>
      <c r="AB15" s="96">
        <f t="shared" ref="AB15" si="31">(F15+G15/4-H15/2-(3*I15/4))*32/N15</f>
        <v>1.586903383633359</v>
      </c>
      <c r="AC15" s="108">
        <f t="shared" ref="AC15" si="32">W15/AB15</f>
        <v>0.35021874999999997</v>
      </c>
      <c r="AD15" s="108">
        <f t="shared" si="17"/>
        <v>0.87932917359398666</v>
      </c>
      <c r="AE15" s="108">
        <f t="shared" si="18"/>
        <v>0.17445968965856584</v>
      </c>
      <c r="AF15" s="96">
        <f t="shared" si="19"/>
        <v>0.96922049810314348</v>
      </c>
      <c r="AG15" s="106">
        <f>I15</f>
        <v>0.51047451340320726</v>
      </c>
      <c r="AH15" s="106">
        <f>AG15*17/N15</f>
        <v>8.6780667278545234E-2</v>
      </c>
      <c r="AI15" s="106">
        <f>Y15*44/N15</f>
        <v>0.60308449409741061</v>
      </c>
      <c r="AJ15" s="106">
        <f>X15*16/S15</f>
        <v>0.39672584590833976</v>
      </c>
      <c r="AK15" s="109">
        <f>AG15/(AG15+X15+Y15)</f>
        <v>0.1170636534604267</v>
      </c>
      <c r="AL15" s="109">
        <f>Y15/(Y15+X15+AG15)</f>
        <v>0.31432107137884552</v>
      </c>
      <c r="AM15" s="96"/>
      <c r="AN15" s="109">
        <f t="shared" si="20"/>
        <v>0.64400483385836271</v>
      </c>
      <c r="AO15" s="108">
        <f t="shared" si="21"/>
        <v>0.35599516614163718</v>
      </c>
      <c r="AP15" s="96"/>
      <c r="AQ15" s="107"/>
      <c r="AR15" s="107"/>
    </row>
    <row r="16" spans="1:53" x14ac:dyDescent="0.2">
      <c r="B16" s="102"/>
      <c r="C16" s="102"/>
      <c r="D16" s="102"/>
      <c r="F16" s="96">
        <f>F15/F15</f>
        <v>1</v>
      </c>
      <c r="G16" s="96">
        <f>G15/F15</f>
        <v>1.8299315911860119</v>
      </c>
      <c r="H16" s="96">
        <f>H15/F15</f>
        <v>0.46490921475945474</v>
      </c>
      <c r="I16" s="96">
        <f>I15/F15</f>
        <v>0.1170636534604267</v>
      </c>
      <c r="J16" s="96"/>
      <c r="K16" s="96"/>
      <c r="L16" s="96"/>
      <c r="M16" s="96"/>
      <c r="N16" s="96"/>
      <c r="O16" s="96"/>
      <c r="P16" s="96"/>
      <c r="Q16" s="96"/>
      <c r="R16" s="96"/>
      <c r="S16" s="96"/>
      <c r="T16" s="104"/>
      <c r="U16" s="96"/>
      <c r="V16" s="105"/>
      <c r="W16" s="106"/>
      <c r="X16" s="118"/>
      <c r="Y16" s="106"/>
      <c r="Z16" s="96"/>
      <c r="AA16" s="107"/>
      <c r="AB16" s="96"/>
      <c r="AC16" s="108"/>
      <c r="AD16" s="108"/>
      <c r="AE16" s="108"/>
      <c r="AF16" s="96"/>
      <c r="AG16" s="106"/>
      <c r="AH16" s="106"/>
      <c r="AI16" s="106"/>
      <c r="AJ16" s="106"/>
      <c r="AK16" s="109"/>
      <c r="AL16" s="109"/>
      <c r="AM16" s="96"/>
      <c r="AN16" s="109"/>
      <c r="AO16" s="108"/>
      <c r="AP16" s="96"/>
      <c r="AQ16" s="107"/>
      <c r="AR16" s="107"/>
    </row>
    <row r="17" spans="1:44" x14ac:dyDescent="0.2">
      <c r="A17" s="93" t="s">
        <v>59</v>
      </c>
      <c r="F17" s="108">
        <v>1</v>
      </c>
      <c r="G17" s="108">
        <v>1.83</v>
      </c>
      <c r="H17" s="108">
        <v>0.48</v>
      </c>
      <c r="I17" s="108">
        <v>0.11</v>
      </c>
      <c r="J17" s="96">
        <f>F17*F$5</f>
        <v>12.0107</v>
      </c>
      <c r="K17" s="96">
        <f>G17*G$5</f>
        <v>1.8445302000000001</v>
      </c>
      <c r="L17" s="96">
        <f>H17*H$5</f>
        <v>7.6797119999999994</v>
      </c>
      <c r="M17" s="96">
        <f>I17*I$5</f>
        <v>1.54</v>
      </c>
      <c r="N17" s="96">
        <f>SUM(J17:M17)</f>
        <v>23.074942199999999</v>
      </c>
      <c r="O17" s="96">
        <f>F17*F5*100/($F$5*$F$17+$G$5*$G$17+$H$5*$H$17+$I$5*$I$17)</f>
        <v>52.050834606207594</v>
      </c>
      <c r="P17" s="96">
        <f>G17*G5*100/($F$5*$F$17+$G$5*$G$17+$H$5*$H$17+$I$5*$I$17)</f>
        <v>7.9936503589595134</v>
      </c>
      <c r="Q17" s="96">
        <f>H17*H5*100/($F$5*$F$17+$G$5*$G$17+$H$5*$H$17+$I$5*$I$17)</f>
        <v>33.28160882673847</v>
      </c>
      <c r="R17" s="96">
        <f>I17*I5*100/($F$5*$F$17+$G$5*$G$17+$H$5*$H$17+$I$5*$I$17)</f>
        <v>6.673906208094424</v>
      </c>
      <c r="S17" s="96">
        <f t="shared" si="2"/>
        <v>100</v>
      </c>
      <c r="T17" s="104">
        <f t="shared" si="28"/>
        <v>-0.54</v>
      </c>
      <c r="U17" s="96">
        <f t="shared" si="3"/>
        <v>1.3121387283236994</v>
      </c>
      <c r="V17" s="105">
        <f t="shared" si="4"/>
        <v>0.5675</v>
      </c>
      <c r="W17" s="106">
        <f>22.414*(4*F17+G17-2*H17-3*I17)/(8*N17)</f>
        <v>0.5512449344293483</v>
      </c>
      <c r="X17" s="118">
        <f t="shared" ref="X17" si="33">F17/2+G17/8-H17/4-3*I17/8</f>
        <v>0.5675</v>
      </c>
      <c r="Y17" s="106">
        <f t="shared" ref="Y17" si="34">F17/2-G17/8+H17/4-5*I17/8</f>
        <v>0.32250000000000001</v>
      </c>
      <c r="Z17" s="96">
        <f t="shared" si="14"/>
        <v>23.045075588531702</v>
      </c>
      <c r="AA17" s="107"/>
      <c r="AB17" s="96">
        <f t="shared" ref="AB17" si="35">(F17+G17/4-H17/2-(3*I17/4))*32/N17</f>
        <v>1.5740017758311005</v>
      </c>
      <c r="AC17" s="108">
        <f t="shared" ref="AC17" si="36">W17/AB17</f>
        <v>0.35021875000000008</v>
      </c>
      <c r="AD17" s="108">
        <f t="shared" si="17"/>
        <v>0.88105726872246692</v>
      </c>
      <c r="AE17" s="108">
        <f t="shared" si="18"/>
        <v>0.17161473106528516</v>
      </c>
      <c r="AF17" s="96">
        <f t="shared" si="19"/>
        <v>0.21999999999999997</v>
      </c>
      <c r="AG17" s="106">
        <f t="shared" ref="AG17" si="37">I17</f>
        <v>0.11</v>
      </c>
      <c r="AH17" s="106">
        <f t="shared" ref="AH17" si="38">AG17*17/N17</f>
        <v>8.1040289669718005E-2</v>
      </c>
      <c r="AI17" s="106">
        <f t="shared" ref="AI17" si="39">Y17*44/N17</f>
        <v>0.61495278631727202</v>
      </c>
      <c r="AJ17" s="106">
        <f t="shared" ref="AJ17" si="40">X17*16/S17</f>
        <v>9.0800000000000006E-2</v>
      </c>
      <c r="AK17" s="109">
        <f t="shared" ref="AK17" si="41">AG17/(AG17+X17+Y17)</f>
        <v>0.11</v>
      </c>
      <c r="AL17" s="109">
        <f t="shared" ref="AL17" si="42">Y17/(Y17+X17+AG17)</f>
        <v>0.32250000000000001</v>
      </c>
      <c r="AM17" s="104"/>
      <c r="AN17" s="109">
        <f t="shared" si="20"/>
        <v>0.63764044943820219</v>
      </c>
      <c r="AO17" s="108">
        <f t="shared" si="21"/>
        <v>0.36235955056179775</v>
      </c>
      <c r="AP17" s="96"/>
      <c r="AQ17" s="96"/>
      <c r="AR17" s="96"/>
    </row>
    <row r="18" spans="1:44" x14ac:dyDescent="0.2">
      <c r="X18" s="106"/>
      <c r="Y18" s="106"/>
      <c r="AB18" s="96"/>
      <c r="AC18" s="108"/>
    </row>
    <row r="19" spans="1:44" ht="12.75" customHeight="1" x14ac:dyDescent="0.2">
      <c r="F19" s="96"/>
      <c r="G19" s="96"/>
      <c r="H19" s="96"/>
      <c r="I19" s="96"/>
      <c r="X19" s="106"/>
      <c r="Y19" s="106"/>
    </row>
    <row r="20" spans="1:44" x14ac:dyDescent="0.2">
      <c r="F20" s="108"/>
      <c r="G20" s="108"/>
      <c r="H20" s="108"/>
      <c r="I20" s="108"/>
      <c r="X20" s="106"/>
      <c r="Y20" s="106"/>
    </row>
    <row r="21" spans="1:44" x14ac:dyDescent="0.2">
      <c r="X21" s="106"/>
      <c r="Y21" s="106"/>
    </row>
    <row r="22" spans="1:44" x14ac:dyDescent="0.2">
      <c r="F22" s="96"/>
      <c r="G22" s="96"/>
      <c r="H22" s="96"/>
      <c r="I22" s="96"/>
    </row>
    <row r="23" spans="1:44" x14ac:dyDescent="0.2">
      <c r="F23" s="108"/>
      <c r="G23" s="108"/>
      <c r="H23" s="108"/>
      <c r="I23" s="108"/>
    </row>
    <row r="24" spans="1:44" x14ac:dyDescent="0.2">
      <c r="X24" s="106"/>
      <c r="Y24" s="106"/>
    </row>
    <row r="25" spans="1:44" x14ac:dyDescent="0.2">
      <c r="X25" s="106"/>
      <c r="Y25" s="106"/>
    </row>
    <row r="26" spans="1:44" x14ac:dyDescent="0.2">
      <c r="X26" s="106"/>
      <c r="Y26" s="106"/>
    </row>
  </sheetData>
  <pageMargins left="0.7" right="0.7" top="0.75" bottom="0.75" header="0.3" footer="0.3"/>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workbookViewId="0">
      <selection activeCell="B23" sqref="B23"/>
    </sheetView>
  </sheetViews>
  <sheetFormatPr defaultColWidth="20.7109375" defaultRowHeight="14.25" x14ac:dyDescent="0.2"/>
  <cols>
    <col min="1" max="1" width="24.140625" style="12" customWidth="1"/>
    <col min="2" max="2" width="29.7109375" style="12" customWidth="1"/>
    <col min="3" max="16384" width="20.7109375" style="12"/>
  </cols>
  <sheetData>
    <row r="1" spans="1:4" x14ac:dyDescent="0.2">
      <c r="A1" s="12" t="s">
        <v>509</v>
      </c>
    </row>
    <row r="2" spans="1:4" x14ac:dyDescent="0.2">
      <c r="A2" s="12" t="s">
        <v>87</v>
      </c>
    </row>
    <row r="3" spans="1:4" ht="17.25" x14ac:dyDescent="0.2">
      <c r="A3" s="12" t="s">
        <v>88</v>
      </c>
      <c r="B3" s="12" t="s">
        <v>89</v>
      </c>
      <c r="C3" s="12" t="s">
        <v>571</v>
      </c>
      <c r="D3" s="12" t="s">
        <v>90</v>
      </c>
    </row>
    <row r="4" spans="1:4" x14ac:dyDescent="0.2">
      <c r="A4" s="12">
        <f>Summary!D45</f>
        <v>0.3</v>
      </c>
      <c r="B4" s="12">
        <f>Summary!D46</f>
        <v>20</v>
      </c>
      <c r="C4" s="12">
        <f>Summary!D51</f>
        <v>0.3</v>
      </c>
      <c r="D4" s="12">
        <f>Summary!D47</f>
        <v>219</v>
      </c>
    </row>
    <row r="5" spans="1:4" x14ac:dyDescent="0.2">
      <c r="A5" s="12" t="s">
        <v>91</v>
      </c>
    </row>
    <row r="6" spans="1:4" x14ac:dyDescent="0.2">
      <c r="B6" s="12" t="s">
        <v>92</v>
      </c>
    </row>
    <row r="7" spans="1:4" x14ac:dyDescent="0.2">
      <c r="A7" s="12" t="s">
        <v>98</v>
      </c>
      <c r="B7" s="17">
        <v>0.01</v>
      </c>
    </row>
    <row r="8" spans="1:4" x14ac:dyDescent="0.2">
      <c r="A8" s="12" t="s">
        <v>93</v>
      </c>
    </row>
    <row r="9" spans="1:4" ht="17.25" x14ac:dyDescent="0.2">
      <c r="A9" s="12" t="s">
        <v>572</v>
      </c>
      <c r="B9" s="12" t="s">
        <v>573</v>
      </c>
    </row>
    <row r="10" spans="1:4" x14ac:dyDescent="0.2">
      <c r="A10" s="37">
        <f>Summary!D107</f>
        <v>998.2</v>
      </c>
      <c r="B10" s="37">
        <f>Summary!D108</f>
        <v>1.0020000000000001E-3</v>
      </c>
    </row>
    <row r="12" spans="1:4" ht="18.75" x14ac:dyDescent="0.35">
      <c r="A12" s="12" t="s">
        <v>574</v>
      </c>
    </row>
    <row r="13" spans="1:4" x14ac:dyDescent="0.2">
      <c r="A13" s="15">
        <f>(B4*A4)/(B4+(2*A4))</f>
        <v>0.29126213592233008</v>
      </c>
    </row>
    <row r="15" spans="1:4" x14ac:dyDescent="0.2">
      <c r="A15" s="12" t="s">
        <v>94</v>
      </c>
    </row>
    <row r="16" spans="1:4" x14ac:dyDescent="0.2">
      <c r="A16" s="13">
        <f>(A13*A10*C4)/B10</f>
        <v>87047.264693913137</v>
      </c>
    </row>
    <row r="18" spans="1:5" ht="18.75" x14ac:dyDescent="0.35">
      <c r="A18" s="12" t="s">
        <v>575</v>
      </c>
    </row>
    <row r="19" spans="1:5" x14ac:dyDescent="0.2">
      <c r="A19" s="28">
        <f>2*((C4^2)*(B7^2)*D4)/(A13^(4/3))</f>
        <v>2.0417594762673807E-2</v>
      </c>
    </row>
    <row r="21" spans="1:5" ht="18.75" x14ac:dyDescent="0.35">
      <c r="A21" s="12" t="s">
        <v>576</v>
      </c>
      <c r="C21" s="12" t="s">
        <v>224</v>
      </c>
      <c r="E21" s="12" t="s">
        <v>184</v>
      </c>
    </row>
    <row r="22" spans="1:5" x14ac:dyDescent="0.2">
      <c r="A22" s="28">
        <f>((2*C22)*(C4^2))/(2*9.81)</f>
        <v>2.2018348623853209E-2</v>
      </c>
      <c r="C22" s="17">
        <v>2.4</v>
      </c>
      <c r="E22" s="87"/>
    </row>
    <row r="24" spans="1:5" ht="18.75" x14ac:dyDescent="0.35">
      <c r="A24" s="12" t="s">
        <v>577</v>
      </c>
      <c r="C24" s="12" t="s">
        <v>95</v>
      </c>
      <c r="E24" s="12" t="s">
        <v>185</v>
      </c>
    </row>
    <row r="25" spans="1:5" x14ac:dyDescent="0.2">
      <c r="A25" s="28">
        <f>C25*(C4^2)/(2*9.81)</f>
        <v>9.1743119266055034E-3</v>
      </c>
      <c r="C25" s="17">
        <v>2</v>
      </c>
      <c r="E25" s="87"/>
    </row>
    <row r="27" spans="1:5" ht="19.5" x14ac:dyDescent="0.35">
      <c r="A27" s="12" t="s">
        <v>578</v>
      </c>
    </row>
    <row r="28" spans="1:5" x14ac:dyDescent="0.2">
      <c r="A28" s="15">
        <f>A4*B4*C4*A10*9.81*(A19+A22+A25)</f>
        <v>909.69348732031926</v>
      </c>
      <c r="E28" s="12">
        <v>0.2</v>
      </c>
    </row>
    <row r="30" spans="1:5" ht="18.75" x14ac:dyDescent="0.35">
      <c r="A30" s="12" t="s">
        <v>579</v>
      </c>
      <c r="C30" s="12" t="s">
        <v>96</v>
      </c>
    </row>
    <row r="31" spans="1:5" x14ac:dyDescent="0.2">
      <c r="A31" s="13">
        <f>A28*100/C31</f>
        <v>1819.3869746406385</v>
      </c>
      <c r="C31" s="13">
        <f>Summary!D55</f>
        <v>50</v>
      </c>
    </row>
    <row r="33" spans="1:3" x14ac:dyDescent="0.2">
      <c r="A33" s="12" t="s">
        <v>97</v>
      </c>
      <c r="C33" s="12" t="s">
        <v>28</v>
      </c>
    </row>
    <row r="34" spans="1:3" x14ac:dyDescent="0.2">
      <c r="C34" s="12">
        <v>6</v>
      </c>
    </row>
    <row r="36" spans="1:3" x14ac:dyDescent="0.2">
      <c r="A36" s="12" t="s">
        <v>103</v>
      </c>
      <c r="B36" s="28">
        <f>A25+A22+A19</f>
        <v>5.1610255313132514E-2</v>
      </c>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8:I52"/>
  <sheetViews>
    <sheetView topLeftCell="A24" workbookViewId="0">
      <selection activeCell="G55" sqref="G55"/>
    </sheetView>
  </sheetViews>
  <sheetFormatPr defaultRowHeight="15" x14ac:dyDescent="0.25"/>
  <cols>
    <col min="1" max="1" width="27.5703125" style="1" customWidth="1"/>
    <col min="2" max="2" width="16.85546875" style="1" customWidth="1"/>
    <col min="3" max="3" width="14.28515625" style="1" customWidth="1"/>
    <col min="4" max="4" width="23.42578125" style="1" customWidth="1"/>
    <col min="5" max="5" width="27" style="1" customWidth="1"/>
    <col min="6" max="6" width="17.42578125" style="1" customWidth="1"/>
    <col min="7" max="9" width="24.85546875" style="1" customWidth="1"/>
    <col min="10" max="16384" width="9.140625" style="1"/>
  </cols>
  <sheetData>
    <row r="8" spans="1:7" x14ac:dyDescent="0.25">
      <c r="A8" s="1" t="s">
        <v>452</v>
      </c>
      <c r="G8" s="7" t="s">
        <v>497</v>
      </c>
    </row>
    <row r="9" spans="1:7" x14ac:dyDescent="0.25">
      <c r="A9" s="1" t="s">
        <v>77</v>
      </c>
      <c r="B9" s="4">
        <f>'Data input and ouput'!C19/100</f>
        <v>0.6</v>
      </c>
    </row>
    <row r="10" spans="1:7" x14ac:dyDescent="0.25">
      <c r="A10" s="1" t="s">
        <v>289</v>
      </c>
      <c r="B10" s="1">
        <f>'Data input and ouput'!C20</f>
        <v>20</v>
      </c>
      <c r="C10" s="4"/>
    </row>
    <row r="14" spans="1:7" ht="18" x14ac:dyDescent="0.25">
      <c r="B14" s="1" t="s">
        <v>85</v>
      </c>
      <c r="C14" s="1" t="s">
        <v>78</v>
      </c>
      <c r="D14" s="1" t="s">
        <v>86</v>
      </c>
      <c r="E14" s="1" t="s">
        <v>79</v>
      </c>
      <c r="F14" s="1" t="s">
        <v>80</v>
      </c>
      <c r="G14" s="1" t="s">
        <v>81</v>
      </c>
    </row>
    <row r="15" spans="1:7" x14ac:dyDescent="0.25">
      <c r="A15" s="1" t="s">
        <v>82</v>
      </c>
      <c r="B15" s="5">
        <f>Summary!D93</f>
        <v>64.020641666666663</v>
      </c>
      <c r="C15" s="4">
        <f>Summary!F95</f>
        <v>1.65738978942304E-4</v>
      </c>
      <c r="D15" s="5">
        <f>B15*C15*Summary!D107</f>
        <v>10.59161649265854</v>
      </c>
      <c r="E15" s="10">
        <v>0.9</v>
      </c>
      <c r="F15" s="5">
        <f>D15/(1-E15)</f>
        <v>105.91616492658542</v>
      </c>
      <c r="G15" s="4">
        <f>F15/(B15*1000)</f>
        <v>1.6544064878020789E-3</v>
      </c>
    </row>
    <row r="16" spans="1:7" x14ac:dyDescent="0.25">
      <c r="A16" s="1" t="s">
        <v>83</v>
      </c>
      <c r="B16" s="5">
        <f>D16/(C16*Summary!D107)</f>
        <v>1.9206192499999999</v>
      </c>
      <c r="C16" s="4">
        <f>Summary!D98*Summary!F95</f>
        <v>3.3147795788460799E-3</v>
      </c>
      <c r="D16" s="5">
        <f>B9*D15</f>
        <v>6.3549698955951239</v>
      </c>
      <c r="E16" s="4">
        <f>E15</f>
        <v>0.9</v>
      </c>
      <c r="F16" s="5">
        <f t="shared" ref="F16:F17" si="0">D16/(1-E16)</f>
        <v>63.54969895595125</v>
      </c>
      <c r="G16" s="4">
        <f t="shared" ref="G16:G17" si="1">F16/(B16*1000)</f>
        <v>3.3088129756041577E-2</v>
      </c>
    </row>
    <row r="17" spans="1:7" x14ac:dyDescent="0.25">
      <c r="A17" s="1" t="s">
        <v>84</v>
      </c>
      <c r="B17" s="5">
        <f>B15-B16</f>
        <v>62.100022416666661</v>
      </c>
      <c r="C17" s="4">
        <f>D17/(B17*Summary!D107)</f>
        <v>6.834597069785731E-5</v>
      </c>
      <c r="D17" s="5">
        <f>D15-D16</f>
        <v>4.236646597063416</v>
      </c>
      <c r="E17" s="4">
        <f>E15</f>
        <v>0.9</v>
      </c>
      <c r="F17" s="5">
        <f t="shared" si="0"/>
        <v>42.366465970634167</v>
      </c>
      <c r="G17" s="4">
        <f t="shared" si="1"/>
        <v>6.8222947950601195E-4</v>
      </c>
    </row>
    <row r="19" spans="1:7" x14ac:dyDescent="0.25">
      <c r="A19" s="1" t="s">
        <v>77</v>
      </c>
      <c r="B19" s="4">
        <f>'Data input and ouput'!C21/100</f>
        <v>0.9</v>
      </c>
    </row>
    <row r="20" spans="1:7" x14ac:dyDescent="0.25">
      <c r="A20" s="1" t="s">
        <v>289</v>
      </c>
      <c r="B20" s="1">
        <f>'Data input and ouput'!C22</f>
        <v>30</v>
      </c>
    </row>
    <row r="22" spans="1:7" ht="18" x14ac:dyDescent="0.25">
      <c r="B22" s="1" t="s">
        <v>85</v>
      </c>
      <c r="C22" s="1" t="s">
        <v>78</v>
      </c>
      <c r="D22" s="1" t="s">
        <v>86</v>
      </c>
      <c r="E22" s="1" t="s">
        <v>79</v>
      </c>
      <c r="F22" s="1" t="s">
        <v>80</v>
      </c>
      <c r="G22" s="1" t="s">
        <v>81</v>
      </c>
    </row>
    <row r="23" spans="1:7" ht="15.75" customHeight="1" x14ac:dyDescent="0.25">
      <c r="A23" s="1" t="s">
        <v>82</v>
      </c>
      <c r="B23" s="5">
        <f>B16</f>
        <v>1.9206192499999999</v>
      </c>
      <c r="C23" s="4">
        <f>C16</f>
        <v>3.3147795788460799E-3</v>
      </c>
      <c r="D23" s="5">
        <f>D16</f>
        <v>6.3549698955951239</v>
      </c>
      <c r="E23" s="10">
        <v>0.9</v>
      </c>
      <c r="F23" s="5">
        <f>D23/(1-E23)</f>
        <v>63.54969895595125</v>
      </c>
      <c r="G23" s="4">
        <f>F23/(B23*1000)</f>
        <v>3.3088129756041577E-2</v>
      </c>
    </row>
    <row r="24" spans="1:7" x14ac:dyDescent="0.25">
      <c r="A24" s="1" t="s">
        <v>83</v>
      </c>
      <c r="B24" s="5">
        <f>D24/(C24*Density)</f>
        <v>5.761857749999999E-2</v>
      </c>
      <c r="C24" s="4">
        <f>C16*B20</f>
        <v>9.9443387365382399E-2</v>
      </c>
      <c r="D24" s="5">
        <f>D23*B19</f>
        <v>5.7194729060356115</v>
      </c>
      <c r="E24" s="4">
        <f>E23</f>
        <v>0.9</v>
      </c>
      <c r="F24" s="5">
        <f t="shared" ref="F24:F25" si="2">D24/(1-E24)</f>
        <v>57.194729060356131</v>
      </c>
      <c r="G24" s="4">
        <f t="shared" ref="G24:G25" si="3">F24/(B24*1000)</f>
        <v>0.99264389268124753</v>
      </c>
    </row>
    <row r="25" spans="1:7" x14ac:dyDescent="0.25">
      <c r="A25" s="1" t="s">
        <v>84</v>
      </c>
      <c r="B25" s="5">
        <f>B23-B24</f>
        <v>1.8630006724999999</v>
      </c>
      <c r="C25" s="4">
        <f>D25/(B25*Density)</f>
        <v>3.417298534892866E-4</v>
      </c>
      <c r="D25" s="5">
        <f>D23-D24</f>
        <v>0.63549698955951239</v>
      </c>
      <c r="E25" s="4">
        <f>E23</f>
        <v>0.9</v>
      </c>
      <c r="F25" s="5">
        <f t="shared" si="2"/>
        <v>6.3549698955951257</v>
      </c>
      <c r="G25" s="4">
        <f t="shared" si="3"/>
        <v>3.4111473975300599E-3</v>
      </c>
    </row>
    <row r="26" spans="1:7" x14ac:dyDescent="0.25">
      <c r="B26" s="5"/>
      <c r="C26" s="4"/>
      <c r="D26" s="5"/>
      <c r="E26" s="4"/>
      <c r="F26" s="5"/>
      <c r="G26" s="4"/>
    </row>
    <row r="27" spans="1:7" ht="18" x14ac:dyDescent="0.25">
      <c r="A27" s="1" t="s">
        <v>453</v>
      </c>
      <c r="B27" s="5">
        <f>B15*Summary!D92*'Data input and ouput'!C23</f>
        <v>7.6824769999999987</v>
      </c>
      <c r="C27" s="1" t="s">
        <v>450</v>
      </c>
    </row>
    <row r="28" spans="1:7" ht="18" x14ac:dyDescent="0.25">
      <c r="A28" s="1" t="s">
        <v>508</v>
      </c>
      <c r="B28" s="5">
        <f>B16*Summary!D92*'Data input and ouput'!C24</f>
        <v>46.094861999999999</v>
      </c>
      <c r="C28" s="1" t="s">
        <v>450</v>
      </c>
      <c r="D28" s="5">
        <f>B27+B28</f>
        <v>53.777338999999998</v>
      </c>
    </row>
    <row r="29" spans="1:7" ht="18" x14ac:dyDescent="0.25">
      <c r="A29" s="1" t="s">
        <v>459</v>
      </c>
      <c r="B29" s="5">
        <f>IF(B38=1,D29,D28)</f>
        <v>53.777338999999998</v>
      </c>
      <c r="C29" s="1" t="s">
        <v>450</v>
      </c>
      <c r="D29" s="5">
        <f>D28+B46</f>
        <v>62.590547548786397</v>
      </c>
    </row>
    <row r="31" spans="1:7" x14ac:dyDescent="0.25">
      <c r="A31" s="1" t="s">
        <v>451</v>
      </c>
    </row>
    <row r="32" spans="1:7" x14ac:dyDescent="0.25">
      <c r="B32" s="1" t="s">
        <v>444</v>
      </c>
      <c r="D32" s="1" t="s">
        <v>447</v>
      </c>
      <c r="E32" s="1" t="s">
        <v>289</v>
      </c>
      <c r="F32" s="1" t="s">
        <v>448</v>
      </c>
    </row>
    <row r="33" spans="1:7" ht="18" x14ac:dyDescent="0.25">
      <c r="A33" s="1" t="s">
        <v>445</v>
      </c>
      <c r="B33" s="1" t="s">
        <v>446</v>
      </c>
      <c r="D33" s="1">
        <v>90</v>
      </c>
      <c r="E33" s="1">
        <v>120</v>
      </c>
      <c r="F33" s="1">
        <f>'Data input and ouput'!C24</f>
        <v>1</v>
      </c>
      <c r="G33" s="1" t="s">
        <v>449</v>
      </c>
    </row>
    <row r="34" spans="1:7" x14ac:dyDescent="0.25">
      <c r="A34" s="1" t="s">
        <v>452</v>
      </c>
      <c r="D34" s="1">
        <v>60</v>
      </c>
      <c r="E34" s="1">
        <v>20</v>
      </c>
      <c r="F34" s="1">
        <f>'Data input and ouput'!C23</f>
        <v>5.0000000000000001E-3</v>
      </c>
    </row>
    <row r="35" spans="1:7" ht="18" x14ac:dyDescent="0.25">
      <c r="A35" s="1" t="s">
        <v>484</v>
      </c>
      <c r="B35" s="1" t="s">
        <v>485</v>
      </c>
      <c r="D35" s="1">
        <v>70</v>
      </c>
      <c r="E35" s="1">
        <v>35</v>
      </c>
      <c r="G35" s="1" t="s">
        <v>449</v>
      </c>
    </row>
    <row r="38" spans="1:7" x14ac:dyDescent="0.25">
      <c r="A38" s="1" t="s">
        <v>482</v>
      </c>
      <c r="B38" s="22">
        <v>0</v>
      </c>
    </row>
    <row r="39" spans="1:7" x14ac:dyDescent="0.25">
      <c r="A39" s="1" t="s">
        <v>462</v>
      </c>
      <c r="B39" s="23">
        <v>1</v>
      </c>
      <c r="E39" s="1" t="s">
        <v>463</v>
      </c>
    </row>
    <row r="40" spans="1:7" ht="18" x14ac:dyDescent="0.25">
      <c r="A40" s="1" t="s">
        <v>464</v>
      </c>
      <c r="B40" s="2">
        <v>1</v>
      </c>
      <c r="C40" s="1" t="s">
        <v>465</v>
      </c>
      <c r="E40" s="1" t="s">
        <v>466</v>
      </c>
      <c r="F40" s="5">
        <v>5.5555560000000002</v>
      </c>
      <c r="G40" s="1" t="s">
        <v>75</v>
      </c>
    </row>
    <row r="41" spans="1:7" ht="18" x14ac:dyDescent="0.25">
      <c r="A41" s="1" t="s">
        <v>467</v>
      </c>
      <c r="B41" s="5">
        <f>B40/Summary!D95</f>
        <v>6.0444637238368522</v>
      </c>
      <c r="C41" s="1" t="s">
        <v>468</v>
      </c>
      <c r="E41" s="1" t="s">
        <v>469</v>
      </c>
      <c r="F41" s="1">
        <v>4.04</v>
      </c>
      <c r="G41" s="1" t="s">
        <v>75</v>
      </c>
    </row>
    <row r="42" spans="1:7" ht="18" x14ac:dyDescent="0.25">
      <c r="B42" s="9"/>
      <c r="D42" s="9"/>
      <c r="E42" s="1" t="s">
        <v>470</v>
      </c>
      <c r="F42" s="1">
        <v>3.2</v>
      </c>
      <c r="G42" s="1" t="s">
        <v>75</v>
      </c>
    </row>
    <row r="43" spans="1:7" ht="18" x14ac:dyDescent="0.25">
      <c r="A43" s="1" t="s">
        <v>471</v>
      </c>
      <c r="B43" s="5">
        <f>B15*Summary!D92*B40*F44/1000</f>
        <v>8.5360862384423992</v>
      </c>
      <c r="C43" s="1" t="s">
        <v>450</v>
      </c>
    </row>
    <row r="44" spans="1:7" ht="18" x14ac:dyDescent="0.25">
      <c r="A44" s="1" t="s">
        <v>472</v>
      </c>
      <c r="B44" s="5">
        <f>F51</f>
        <v>0.27712231034399998</v>
      </c>
      <c r="C44" s="1" t="s">
        <v>450</v>
      </c>
      <c r="F44" s="5">
        <f>IF(B39=1,F40,F41)</f>
        <v>5.5555560000000002</v>
      </c>
      <c r="G44" s="1" t="s">
        <v>75</v>
      </c>
    </row>
    <row r="46" spans="1:7" ht="18" x14ac:dyDescent="0.25">
      <c r="A46" s="1" t="s">
        <v>473</v>
      </c>
      <c r="B46" s="5">
        <f>B43+B44</f>
        <v>8.8132085487863989</v>
      </c>
      <c r="C46" s="1" t="s">
        <v>450</v>
      </c>
    </row>
    <row r="47" spans="1:7" x14ac:dyDescent="0.25">
      <c r="E47" s="1" t="s">
        <v>474</v>
      </c>
    </row>
    <row r="48" spans="1:7" ht="18" x14ac:dyDescent="0.25">
      <c r="A48" s="1" t="s">
        <v>483</v>
      </c>
      <c r="B48" s="5">
        <f>B46/(B15*Summary!D92)</f>
        <v>5.7359159999999998E-3</v>
      </c>
      <c r="C48" s="1" t="s">
        <v>475</v>
      </c>
      <c r="E48" s="1" t="s">
        <v>476</v>
      </c>
      <c r="F48" s="1">
        <v>300</v>
      </c>
      <c r="G48" s="1" t="s">
        <v>261</v>
      </c>
    </row>
    <row r="49" spans="5:9" ht="18" x14ac:dyDescent="0.25">
      <c r="E49" s="1" t="s">
        <v>477</v>
      </c>
      <c r="F49" s="3">
        <f>(F48^2)*Viscosity</f>
        <v>90.18</v>
      </c>
      <c r="G49" s="1" t="s">
        <v>478</v>
      </c>
      <c r="H49" s="1">
        <v>100</v>
      </c>
    </row>
    <row r="50" spans="5:9" x14ac:dyDescent="0.25">
      <c r="E50" s="1" t="s">
        <v>479</v>
      </c>
      <c r="F50" s="1">
        <v>60</v>
      </c>
      <c r="G50" s="1" t="s">
        <v>480</v>
      </c>
      <c r="H50" s="1">
        <v>1200</v>
      </c>
    </row>
    <row r="51" spans="5:9" ht="18" x14ac:dyDescent="0.25">
      <c r="E51" s="1" t="s">
        <v>333</v>
      </c>
      <c r="F51" s="5">
        <f>(F49*B27*24*F50/3600)/1000</f>
        <v>0.27712231034399998</v>
      </c>
      <c r="G51" s="1" t="s">
        <v>450</v>
      </c>
      <c r="H51" s="5">
        <f>(H49*B27*24*H50/3600)/1000</f>
        <v>6.1459815999999989</v>
      </c>
      <c r="I51" s="1" t="s">
        <v>450</v>
      </c>
    </row>
    <row r="52" spans="5:9" ht="18" x14ac:dyDescent="0.25">
      <c r="E52" s="1" t="s">
        <v>481</v>
      </c>
      <c r="F52" s="5">
        <f>B27*(60/3600)</f>
        <v>0.12804128333333331</v>
      </c>
      <c r="G52" s="1" t="s">
        <v>156</v>
      </c>
    </row>
  </sheetData>
  <dataValidations count="1">
    <dataValidation type="whole" allowBlank="1" showInputMessage="1" showErrorMessage="1" sqref="B38">
      <formula1>0</formula1>
      <formula2>1</formula2>
    </dataValidation>
  </dataValidations>
  <pageMargins left="0.7" right="0.7" top="0.75" bottom="0.75" header="0.3" footer="0.3"/>
  <pageSetup paperSize="8" orientation="landscape" r:id="rId1"/>
  <ignoredErrors>
    <ignoredError sqref="C17"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tabSelected="1" zoomScale="75" zoomScaleNormal="75" workbookViewId="0">
      <selection activeCell="D5" sqref="D5"/>
    </sheetView>
  </sheetViews>
  <sheetFormatPr defaultRowHeight="14.25" x14ac:dyDescent="0.2"/>
  <cols>
    <col min="1" max="1" width="41.42578125" style="14" customWidth="1"/>
    <col min="2" max="2" width="21.140625" style="12" customWidth="1"/>
    <col min="3" max="3" width="12.28515625" style="14" customWidth="1"/>
    <col min="4" max="4" width="8.5703125" style="12" bestFit="1" customWidth="1"/>
    <col min="5" max="7" width="9.140625" style="12"/>
    <col min="8" max="8" width="9.28515625" style="12" bestFit="1" customWidth="1"/>
    <col min="9" max="9" width="9.140625" style="12"/>
    <col min="10" max="10" width="12.42578125" style="12" customWidth="1"/>
    <col min="11" max="11" width="9.140625" style="12"/>
    <col min="12" max="12" width="9.28515625" style="12" bestFit="1" customWidth="1"/>
    <col min="13" max="13" width="9.140625" style="12"/>
    <col min="14" max="15" width="9.28515625" style="12" bestFit="1" customWidth="1"/>
    <col min="16" max="16384" width="9.140625" style="12"/>
  </cols>
  <sheetData>
    <row r="1" spans="1:16" ht="18.75" x14ac:dyDescent="0.35">
      <c r="A1" s="14" t="s">
        <v>141</v>
      </c>
      <c r="B1" s="25"/>
    </row>
    <row r="3" spans="1:16" x14ac:dyDescent="0.2">
      <c r="A3" s="26" t="s">
        <v>172</v>
      </c>
    </row>
    <row r="4" spans="1:16" x14ac:dyDescent="0.2">
      <c r="A4" s="26"/>
    </row>
    <row r="5" spans="1:16" x14ac:dyDescent="0.2">
      <c r="A5" s="26" t="s">
        <v>173</v>
      </c>
      <c r="B5" s="12" t="s">
        <v>279</v>
      </c>
      <c r="C5" s="12" t="s">
        <v>280</v>
      </c>
      <c r="D5" s="24">
        <v>1</v>
      </c>
    </row>
    <row r="6" spans="1:16" ht="17.25" x14ac:dyDescent="0.2">
      <c r="A6" s="26" t="s">
        <v>152</v>
      </c>
      <c r="B6" s="12" t="s">
        <v>143</v>
      </c>
      <c r="D6" s="12">
        <f>Summary!D82</f>
        <v>2</v>
      </c>
      <c r="K6" s="12" t="s">
        <v>511</v>
      </c>
    </row>
    <row r="7" spans="1:16" x14ac:dyDescent="0.2">
      <c r="A7" s="26" t="s">
        <v>174</v>
      </c>
      <c r="B7" s="12" t="s">
        <v>137</v>
      </c>
      <c r="D7" s="12">
        <f>((D6*Summary!D107*9.81)/1000)+Summary!D74</f>
        <v>119.58468400000001</v>
      </c>
    </row>
    <row r="8" spans="1:16" x14ac:dyDescent="0.2">
      <c r="A8" s="26" t="s">
        <v>175</v>
      </c>
      <c r="B8" s="12" t="s">
        <v>137</v>
      </c>
      <c r="D8" s="17">
        <v>6.89</v>
      </c>
      <c r="E8" s="12" t="s">
        <v>176</v>
      </c>
      <c r="F8" s="12" t="s">
        <v>177</v>
      </c>
    </row>
    <row r="9" spans="1:16" x14ac:dyDescent="0.2">
      <c r="A9" s="26"/>
    </row>
    <row r="10" spans="1:16" ht="17.25" x14ac:dyDescent="0.2">
      <c r="A10" s="26" t="s">
        <v>139</v>
      </c>
      <c r="B10" s="12" t="s">
        <v>512</v>
      </c>
      <c r="D10" s="13">
        <f>IF(D5=1,Summary!E80,Summary!D80)</f>
        <v>340.43346595739752</v>
      </c>
      <c r="H10" s="12" t="s">
        <v>226</v>
      </c>
      <c r="J10" s="12">
        <f>D13/1000</f>
        <v>4.6E-5</v>
      </c>
      <c r="K10" s="12" t="s">
        <v>102</v>
      </c>
      <c r="M10" s="12" t="s">
        <v>226</v>
      </c>
      <c r="O10" s="12">
        <f>D12</f>
        <v>0.15</v>
      </c>
      <c r="P10" s="12" t="s">
        <v>143</v>
      </c>
    </row>
    <row r="11" spans="1:16" ht="17.25" x14ac:dyDescent="0.2">
      <c r="A11" s="26" t="s">
        <v>178</v>
      </c>
      <c r="B11" s="12" t="s">
        <v>143</v>
      </c>
      <c r="D11" s="17">
        <v>10</v>
      </c>
      <c r="F11" s="27"/>
      <c r="H11" s="12" t="s">
        <v>227</v>
      </c>
      <c r="J11" s="12">
        <f>D13</f>
        <v>4.5999999999999999E-2</v>
      </c>
      <c r="K11" s="12" t="s">
        <v>102</v>
      </c>
      <c r="M11" s="12" t="s">
        <v>228</v>
      </c>
      <c r="O11" s="28">
        <f>(1.14+(2*LOG10(J10/J11)))^-2</f>
        <v>4.2337719521075713E-2</v>
      </c>
    </row>
    <row r="12" spans="1:16" ht="17.25" x14ac:dyDescent="0.2">
      <c r="A12" s="26" t="s">
        <v>179</v>
      </c>
      <c r="B12" s="12" t="s">
        <v>143</v>
      </c>
      <c r="D12" s="17">
        <v>0.15</v>
      </c>
      <c r="H12" s="12" t="s">
        <v>229</v>
      </c>
      <c r="J12" s="12">
        <f>D11</f>
        <v>10</v>
      </c>
      <c r="K12" s="12" t="s">
        <v>143</v>
      </c>
      <c r="M12" s="12" t="s">
        <v>230</v>
      </c>
      <c r="O12" s="28">
        <f>PI()*(O10)^2/4</f>
        <v>1.7671458676442587E-2</v>
      </c>
      <c r="P12" s="12" t="s">
        <v>513</v>
      </c>
    </row>
    <row r="13" spans="1:16" ht="17.25" x14ac:dyDescent="0.2">
      <c r="A13" s="26" t="s">
        <v>225</v>
      </c>
      <c r="B13" s="12" t="s">
        <v>102</v>
      </c>
      <c r="D13" s="17">
        <v>4.5999999999999999E-2</v>
      </c>
      <c r="H13" s="12" t="s">
        <v>231</v>
      </c>
      <c r="J13" s="28">
        <f>D10/3600</f>
        <v>9.4564851654832638E-2</v>
      </c>
      <c r="K13" s="12" t="s">
        <v>514</v>
      </c>
      <c r="M13" s="12" t="s">
        <v>232</v>
      </c>
      <c r="O13" s="15">
        <f>J13/O12</f>
        <v>5.3512759408421022</v>
      </c>
      <c r="P13" s="12" t="s">
        <v>515</v>
      </c>
    </row>
    <row r="14" spans="1:16" ht="17.25" x14ac:dyDescent="0.2">
      <c r="A14" s="26" t="s">
        <v>181</v>
      </c>
      <c r="B14" s="12" t="s">
        <v>137</v>
      </c>
      <c r="D14" s="29">
        <f>O11*(D11/D12)*(O13^2)/(2*9.81)</f>
        <v>4.1195700457753643</v>
      </c>
      <c r="H14" s="12" t="s">
        <v>238</v>
      </c>
      <c r="J14" s="15">
        <f>Summary!L84</f>
        <v>1.2472370689552936</v>
      </c>
      <c r="K14" s="12" t="s">
        <v>516</v>
      </c>
      <c r="M14" s="12" t="s">
        <v>234</v>
      </c>
      <c r="O14" s="13">
        <f>O10*O13*J14/J15</f>
        <v>55619.247663557362</v>
      </c>
    </row>
    <row r="15" spans="1:16" x14ac:dyDescent="0.2">
      <c r="A15" s="26"/>
      <c r="H15" s="12" t="s">
        <v>507</v>
      </c>
      <c r="J15" s="30">
        <f>Summary!I68</f>
        <v>1.8E-5</v>
      </c>
      <c r="K15" s="12" t="s">
        <v>237</v>
      </c>
    </row>
    <row r="16" spans="1:16" x14ac:dyDescent="0.2">
      <c r="A16" s="26"/>
    </row>
    <row r="17" spans="1:16" x14ac:dyDescent="0.2">
      <c r="A17" s="26" t="s">
        <v>182</v>
      </c>
      <c r="C17" s="12" t="s">
        <v>137</v>
      </c>
      <c r="D17" s="29">
        <f>D7+D8+D14-Summary!D74</f>
        <v>30.594254045775386</v>
      </c>
      <c r="F17" s="12" t="s">
        <v>189</v>
      </c>
      <c r="H17" s="12">
        <f>Summary!D73</f>
        <v>20</v>
      </c>
      <c r="I17" s="12" t="s">
        <v>191</v>
      </c>
      <c r="J17" s="12">
        <f>H17+273.15</f>
        <v>293.14999999999998</v>
      </c>
      <c r="K17" s="12" t="s">
        <v>190</v>
      </c>
    </row>
    <row r="18" spans="1:16" x14ac:dyDescent="0.2">
      <c r="A18" s="26"/>
      <c r="M18" s="31" t="s">
        <v>498</v>
      </c>
    </row>
    <row r="19" spans="1:16" x14ac:dyDescent="0.2">
      <c r="A19" s="26" t="s">
        <v>183</v>
      </c>
      <c r="B19" s="12" t="s">
        <v>195</v>
      </c>
      <c r="D19" s="12">
        <f>Summary!O75*LN(('Gas Power'!D17+Summary!D74)/Summary!D74)</f>
        <v>2.2193407154689986</v>
      </c>
    </row>
    <row r="20" spans="1:16" ht="19.5" x14ac:dyDescent="0.35">
      <c r="A20" s="26" t="s">
        <v>192</v>
      </c>
      <c r="B20" s="12" t="s">
        <v>109</v>
      </c>
      <c r="D20" s="15">
        <f>((Summary!D74*1000)*(Summary!D80/3600)*(LN(('Gas Power'!D17+Summary!D74)/Summary!D74)))/1000</f>
        <v>1.7404896758147521</v>
      </c>
      <c r="F20" s="12" t="s">
        <v>186</v>
      </c>
      <c r="K20" s="12" t="s">
        <v>188</v>
      </c>
      <c r="N20" s="12" t="s">
        <v>517</v>
      </c>
      <c r="O20" s="12">
        <v>1.0049999999999999</v>
      </c>
      <c r="P20" s="12" t="s">
        <v>518</v>
      </c>
    </row>
    <row r="21" spans="1:16" ht="17.25" x14ac:dyDescent="0.2">
      <c r="A21" s="26"/>
      <c r="N21" s="12" t="s">
        <v>194</v>
      </c>
      <c r="O21" s="12">
        <v>0.71799999999999997</v>
      </c>
      <c r="P21" s="12" t="s">
        <v>518</v>
      </c>
    </row>
    <row r="22" spans="1:16" ht="15.75" x14ac:dyDescent="0.3">
      <c r="A22" s="26" t="s">
        <v>193</v>
      </c>
      <c r="B22" s="12" t="s">
        <v>109</v>
      </c>
      <c r="D22" s="15">
        <f>((Summary!D80/3600)*Summary!L84)*'Gas Power'!O20*('Gas Power'!L24-'Gas Power'!J17)</f>
        <v>1.8987780474092077</v>
      </c>
      <c r="F22" s="32" t="s">
        <v>519</v>
      </c>
      <c r="O22" s="12">
        <v>1.4</v>
      </c>
    </row>
    <row r="23" spans="1:16" x14ac:dyDescent="0.2">
      <c r="A23" s="26"/>
    </row>
    <row r="24" spans="1:16" ht="17.25" x14ac:dyDescent="0.2">
      <c r="A24" s="26"/>
      <c r="F24" s="12" t="s">
        <v>520</v>
      </c>
      <c r="L24" s="12">
        <f>J17*(((D17+Summary!D74)/Summary!D74)^((O22-1)/O22))</f>
        <v>316.38148568228888</v>
      </c>
      <c r="M24" s="12" t="s">
        <v>190</v>
      </c>
      <c r="N24" s="13">
        <f>L24-273.15</f>
        <v>43.231485682288906</v>
      </c>
      <c r="O24" s="12" t="s">
        <v>191</v>
      </c>
    </row>
    <row r="25" spans="1:16" x14ac:dyDescent="0.2">
      <c r="A25" s="26"/>
    </row>
    <row r="26" spans="1:16" ht="18.75" x14ac:dyDescent="0.35">
      <c r="A26" s="26"/>
      <c r="F26" s="33" t="s">
        <v>521</v>
      </c>
      <c r="L26" s="12" t="s">
        <v>188</v>
      </c>
    </row>
    <row r="27" spans="1:16" x14ac:dyDescent="0.2">
      <c r="A27" s="34"/>
      <c r="C27" s="12"/>
      <c r="F27" s="135"/>
      <c r="G27" s="136"/>
      <c r="H27" s="136"/>
      <c r="I27" s="136"/>
      <c r="J27" s="137"/>
    </row>
    <row r="28" spans="1:16" x14ac:dyDescent="0.2">
      <c r="A28" s="26"/>
      <c r="L28" s="35"/>
    </row>
    <row r="29" spans="1:16" x14ac:dyDescent="0.2">
      <c r="A29" s="26"/>
      <c r="F29" s="36"/>
    </row>
    <row r="30" spans="1:16" x14ac:dyDescent="0.2">
      <c r="A30" s="26"/>
    </row>
    <row r="31" spans="1:16" x14ac:dyDescent="0.2">
      <c r="A31" s="26" t="s">
        <v>436</v>
      </c>
      <c r="B31" s="12" t="s">
        <v>14</v>
      </c>
      <c r="D31" s="37">
        <f>'Data input and ouput'!C34</f>
        <v>80</v>
      </c>
    </row>
    <row r="32" spans="1:16" x14ac:dyDescent="0.2">
      <c r="A32" s="26" t="s">
        <v>187</v>
      </c>
      <c r="B32" s="12" t="s">
        <v>109</v>
      </c>
      <c r="D32" s="15">
        <f>D22*100/D31</f>
        <v>2.3734725592615096</v>
      </c>
    </row>
    <row r="33" spans="1:4" x14ac:dyDescent="0.2">
      <c r="A33" s="26" t="s">
        <v>196</v>
      </c>
      <c r="B33" s="12" t="s">
        <v>138</v>
      </c>
      <c r="D33" s="13">
        <f>Summary!D79</f>
        <v>12</v>
      </c>
    </row>
    <row r="34" spans="1:4" ht="17.25" x14ac:dyDescent="0.2">
      <c r="A34" s="26" t="s">
        <v>197</v>
      </c>
      <c r="B34" s="12" t="s">
        <v>522</v>
      </c>
      <c r="D34" s="18">
        <f>D33*D32</f>
        <v>28.481670711138115</v>
      </c>
    </row>
  </sheetData>
  <mergeCells count="1">
    <mergeCell ref="F27:J27"/>
  </mergeCells>
  <dataValidations count="1">
    <dataValidation type="whole" allowBlank="1" showInputMessage="1" showErrorMessage="1" sqref="D5">
      <formula1>0</formula1>
      <formula2>1</formula2>
    </dataValidation>
  </dataValidations>
  <pageMargins left="0.7" right="0.7" top="0.75" bottom="0.75" header="0.3" footer="0.3"/>
  <pageSetup paperSize="8"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9"/>
  <sheetViews>
    <sheetView topLeftCell="B1" workbookViewId="0">
      <selection activeCell="G16" sqref="G16"/>
    </sheetView>
  </sheetViews>
  <sheetFormatPr defaultRowHeight="14.25" x14ac:dyDescent="0.2"/>
  <cols>
    <col min="1" max="1" width="31.85546875" style="14" customWidth="1"/>
    <col min="2" max="3" width="9.140625" style="12"/>
    <col min="4" max="4" width="12.5703125" style="12" bestFit="1" customWidth="1"/>
    <col min="5" max="7" width="9.140625" style="12"/>
    <col min="8" max="8" width="9.28515625" style="12" bestFit="1" customWidth="1"/>
    <col min="9" max="10" width="9.140625" style="12"/>
    <col min="11" max="11" width="9.42578125" style="12" bestFit="1" customWidth="1"/>
    <col min="12" max="12" width="9.140625" style="12"/>
    <col min="13" max="13" width="9.5703125" style="12" bestFit="1" customWidth="1"/>
    <col min="14" max="17" width="9.140625" style="12"/>
    <col min="18" max="18" width="9.28515625" style="12" bestFit="1" customWidth="1"/>
    <col min="19" max="16384" width="9.140625" style="12"/>
  </cols>
  <sheetData>
    <row r="1" spans="1:20" ht="17.25" x14ac:dyDescent="0.2">
      <c r="A1" s="14" t="s">
        <v>198</v>
      </c>
      <c r="B1" s="27"/>
    </row>
    <row r="3" spans="1:20" x14ac:dyDescent="0.2">
      <c r="A3" s="38" t="s">
        <v>199</v>
      </c>
    </row>
    <row r="4" spans="1:20" x14ac:dyDescent="0.2">
      <c r="A4" s="38"/>
    </row>
    <row r="5" spans="1:20" ht="17.25" x14ac:dyDescent="0.2">
      <c r="A5" s="38" t="s">
        <v>201</v>
      </c>
      <c r="B5" s="12" t="s">
        <v>512</v>
      </c>
      <c r="D5" s="39">
        <f>D28+(Summary!D64/24)</f>
        <v>64.020641666666663</v>
      </c>
      <c r="K5" s="12" t="s">
        <v>226</v>
      </c>
      <c r="M5" s="12">
        <f>R5*1000</f>
        <v>100</v>
      </c>
      <c r="N5" s="12" t="s">
        <v>102</v>
      </c>
      <c r="P5" s="12" t="s">
        <v>226</v>
      </c>
      <c r="R5" s="12">
        <f>D7</f>
        <v>0.1</v>
      </c>
      <c r="S5" s="12" t="s">
        <v>143</v>
      </c>
    </row>
    <row r="6" spans="1:20" x14ac:dyDescent="0.2">
      <c r="A6" s="38" t="s">
        <v>214</v>
      </c>
      <c r="B6" s="12" t="s">
        <v>143</v>
      </c>
      <c r="D6" s="17">
        <v>10</v>
      </c>
      <c r="K6" s="12" t="s">
        <v>227</v>
      </c>
      <c r="M6" s="12">
        <f>D8</f>
        <v>4.5999999999999999E-2</v>
      </c>
      <c r="N6" s="12" t="s">
        <v>102</v>
      </c>
      <c r="P6" s="12" t="s">
        <v>228</v>
      </c>
      <c r="R6" s="28">
        <f>(1.14+(2*LOG10(M5/M6)))^-2</f>
        <v>1.6375680258800988E-2</v>
      </c>
    </row>
    <row r="7" spans="1:20" ht="17.25" x14ac:dyDescent="0.2">
      <c r="A7" s="38" t="s">
        <v>215</v>
      </c>
      <c r="B7" s="12" t="s">
        <v>143</v>
      </c>
      <c r="D7" s="17">
        <v>0.1</v>
      </c>
      <c r="K7" s="12" t="s">
        <v>229</v>
      </c>
      <c r="M7" s="12">
        <f>D6</f>
        <v>10</v>
      </c>
      <c r="N7" s="12" t="s">
        <v>143</v>
      </c>
      <c r="P7" s="12" t="s">
        <v>230</v>
      </c>
      <c r="R7" s="28">
        <f>PI()*(R5)^2/4</f>
        <v>7.8539816339744835E-3</v>
      </c>
      <c r="S7" s="12" t="s">
        <v>513</v>
      </c>
    </row>
    <row r="8" spans="1:20" ht="17.25" x14ac:dyDescent="0.2">
      <c r="A8" s="38" t="s">
        <v>225</v>
      </c>
      <c r="B8" s="12" t="s">
        <v>102</v>
      </c>
      <c r="D8" s="17">
        <v>4.5999999999999999E-2</v>
      </c>
      <c r="F8" s="12" t="s">
        <v>236</v>
      </c>
      <c r="K8" s="12" t="s">
        <v>231</v>
      </c>
      <c r="M8" s="28">
        <f>D5/3600</f>
        <v>1.7783511574074071E-2</v>
      </c>
      <c r="N8" s="12" t="s">
        <v>514</v>
      </c>
      <c r="P8" s="12" t="s">
        <v>232</v>
      </c>
      <c r="R8" s="15">
        <f>M8/R7</f>
        <v>2.2642670180366564</v>
      </c>
      <c r="S8" s="12" t="s">
        <v>515</v>
      </c>
    </row>
    <row r="9" spans="1:20" ht="17.25" x14ac:dyDescent="0.2">
      <c r="A9" s="38" t="s">
        <v>202</v>
      </c>
      <c r="B9" s="12" t="s">
        <v>143</v>
      </c>
      <c r="D9" s="29">
        <f>R6*(D6/D7)*(R8^2)/(2*9.81)</f>
        <v>0.42791314530681362</v>
      </c>
      <c r="F9" s="40"/>
      <c r="K9" s="12" t="s">
        <v>233</v>
      </c>
      <c r="M9" s="12">
        <f>Summary!D107</f>
        <v>998.2</v>
      </c>
      <c r="N9" s="12" t="s">
        <v>516</v>
      </c>
      <c r="P9" s="12" t="s">
        <v>234</v>
      </c>
      <c r="R9" s="13">
        <f>R5*R8*M9/M10</f>
        <v>225567.99774492919</v>
      </c>
    </row>
    <row r="10" spans="1:20" x14ac:dyDescent="0.2">
      <c r="A10" s="38"/>
      <c r="K10" s="12" t="s">
        <v>235</v>
      </c>
      <c r="M10" s="12">
        <f>Summary!D108</f>
        <v>1.0020000000000001E-3</v>
      </c>
      <c r="N10" s="12" t="s">
        <v>237</v>
      </c>
    </row>
    <row r="11" spans="1:20" x14ac:dyDescent="0.2">
      <c r="A11" s="38"/>
    </row>
    <row r="12" spans="1:20" ht="17.25" x14ac:dyDescent="0.2">
      <c r="A12" s="38" t="s">
        <v>203</v>
      </c>
      <c r="B12" s="12" t="s">
        <v>143</v>
      </c>
      <c r="D12" s="17">
        <v>0</v>
      </c>
      <c r="K12" s="12" t="s">
        <v>523</v>
      </c>
    </row>
    <row r="13" spans="1:20" x14ac:dyDescent="0.2">
      <c r="A13" s="38" t="s">
        <v>200</v>
      </c>
      <c r="B13" s="12" t="s">
        <v>143</v>
      </c>
      <c r="D13" s="17">
        <v>0.3</v>
      </c>
    </row>
    <row r="14" spans="1:20" ht="19.5" x14ac:dyDescent="0.35">
      <c r="A14" s="38"/>
      <c r="K14" s="41" t="s">
        <v>524</v>
      </c>
      <c r="L14" s="41"/>
      <c r="M14" s="41"/>
      <c r="N14" s="41"/>
      <c r="O14" s="41"/>
      <c r="P14" s="41"/>
      <c r="Q14" s="41"/>
      <c r="R14" s="42"/>
      <c r="S14" s="42"/>
      <c r="T14" s="42"/>
    </row>
    <row r="15" spans="1:20" ht="17.25" x14ac:dyDescent="0.2">
      <c r="A15" s="38" t="s">
        <v>204</v>
      </c>
      <c r="D15" s="29">
        <f>D13+D12+D9</f>
        <v>0.72791314530681361</v>
      </c>
      <c r="K15" s="12" t="s">
        <v>525</v>
      </c>
    </row>
    <row r="16" spans="1:20" x14ac:dyDescent="0.2">
      <c r="A16" s="38"/>
    </row>
    <row r="17" spans="1:19" x14ac:dyDescent="0.2">
      <c r="A17" s="38" t="s">
        <v>205</v>
      </c>
      <c r="B17" s="12" t="s">
        <v>206</v>
      </c>
      <c r="D17" s="15">
        <f>(D5/3600)*9.81*M9*D15/1000</f>
        <v>0.12676041640052188</v>
      </c>
    </row>
    <row r="18" spans="1:19" x14ac:dyDescent="0.2">
      <c r="A18" s="38" t="s">
        <v>208</v>
      </c>
      <c r="D18" s="15">
        <f>'Data input and ouput'!C35</f>
        <v>80</v>
      </c>
    </row>
    <row r="19" spans="1:19" x14ac:dyDescent="0.2">
      <c r="A19" s="38" t="s">
        <v>209</v>
      </c>
      <c r="D19" s="15">
        <f>D17*100/D18</f>
        <v>0.15845052050065236</v>
      </c>
    </row>
    <row r="20" spans="1:19" x14ac:dyDescent="0.2">
      <c r="A20" s="38" t="s">
        <v>196</v>
      </c>
      <c r="D20" s="12">
        <v>24</v>
      </c>
    </row>
    <row r="21" spans="1:19" ht="17.25" x14ac:dyDescent="0.2">
      <c r="A21" s="38" t="s">
        <v>207</v>
      </c>
      <c r="B21" s="12" t="s">
        <v>522</v>
      </c>
      <c r="D21" s="15">
        <f>D20*D19</f>
        <v>3.802812492015657</v>
      </c>
    </row>
    <row r="22" spans="1:19" x14ac:dyDescent="0.2">
      <c r="A22" s="38"/>
    </row>
    <row r="23" spans="1:19" x14ac:dyDescent="0.2">
      <c r="A23" s="38"/>
    </row>
    <row r="24" spans="1:19" x14ac:dyDescent="0.2">
      <c r="A24" s="38"/>
    </row>
    <row r="27" spans="1:19" x14ac:dyDescent="0.2">
      <c r="A27" s="43" t="s">
        <v>504</v>
      </c>
    </row>
    <row r="28" spans="1:19" ht="17.25" x14ac:dyDescent="0.2">
      <c r="A28" s="43" t="s">
        <v>201</v>
      </c>
      <c r="B28" s="12" t="s">
        <v>512</v>
      </c>
      <c r="D28" s="15">
        <f>Summary!D93</f>
        <v>64.020641666666663</v>
      </c>
      <c r="K28" s="12" t="s">
        <v>226</v>
      </c>
      <c r="M28" s="12">
        <f>R28*1000</f>
        <v>100</v>
      </c>
      <c r="N28" s="12" t="s">
        <v>102</v>
      </c>
      <c r="P28" s="12" t="s">
        <v>226</v>
      </c>
      <c r="R28" s="12">
        <f>D30</f>
        <v>0.1</v>
      </c>
      <c r="S28" s="12" t="s">
        <v>143</v>
      </c>
    </row>
    <row r="29" spans="1:19" x14ac:dyDescent="0.2">
      <c r="A29" s="43" t="s">
        <v>214</v>
      </c>
      <c r="B29" s="12" t="s">
        <v>143</v>
      </c>
      <c r="D29" s="44">
        <v>10</v>
      </c>
      <c r="K29" s="12" t="s">
        <v>227</v>
      </c>
      <c r="M29" s="12">
        <f>D31</f>
        <v>4.5999999999999999E-2</v>
      </c>
      <c r="N29" s="12" t="s">
        <v>102</v>
      </c>
      <c r="P29" s="12" t="s">
        <v>228</v>
      </c>
      <c r="R29" s="28">
        <f>(1.14+(2*LOG10(M28/M29)))^-2</f>
        <v>1.6375680258800988E-2</v>
      </c>
    </row>
    <row r="30" spans="1:19" ht="17.25" x14ac:dyDescent="0.2">
      <c r="A30" s="43" t="s">
        <v>215</v>
      </c>
      <c r="B30" s="12" t="s">
        <v>143</v>
      </c>
      <c r="D30" s="44">
        <v>0.1</v>
      </c>
      <c r="K30" s="12" t="s">
        <v>229</v>
      </c>
      <c r="M30" s="12">
        <f>D29</f>
        <v>10</v>
      </c>
      <c r="N30" s="12" t="s">
        <v>143</v>
      </c>
      <c r="P30" s="12" t="s">
        <v>230</v>
      </c>
      <c r="R30" s="28">
        <f>PI()*(R28)^2/4</f>
        <v>7.8539816339744835E-3</v>
      </c>
      <c r="S30" s="12" t="s">
        <v>513</v>
      </c>
    </row>
    <row r="31" spans="1:19" ht="17.25" x14ac:dyDescent="0.2">
      <c r="A31" s="43" t="s">
        <v>225</v>
      </c>
      <c r="D31" s="44">
        <v>4.5999999999999999E-2</v>
      </c>
      <c r="F31" s="12" t="s">
        <v>180</v>
      </c>
      <c r="K31" s="12" t="s">
        <v>231</v>
      </c>
      <c r="M31" s="28">
        <f>D28/3600</f>
        <v>1.7783511574074071E-2</v>
      </c>
      <c r="N31" s="12" t="s">
        <v>514</v>
      </c>
      <c r="P31" s="12" t="s">
        <v>232</v>
      </c>
      <c r="R31" s="15">
        <f>M31/R30</f>
        <v>2.2642670180366564</v>
      </c>
      <c r="S31" s="12" t="s">
        <v>515</v>
      </c>
    </row>
    <row r="32" spans="1:19" ht="17.25" x14ac:dyDescent="0.2">
      <c r="A32" s="43" t="s">
        <v>202</v>
      </c>
      <c r="B32" s="12" t="s">
        <v>143</v>
      </c>
      <c r="D32" s="29">
        <f>R29*(D29/D30)*(R31^2)/(2*9.81)</f>
        <v>0.42791314530681362</v>
      </c>
      <c r="K32" s="12" t="s">
        <v>233</v>
      </c>
      <c r="M32" s="12">
        <f>Summary!D107</f>
        <v>998.2</v>
      </c>
      <c r="N32" s="12" t="s">
        <v>516</v>
      </c>
      <c r="P32" s="12" t="s">
        <v>234</v>
      </c>
      <c r="R32" s="13">
        <f>R28*R31*M32/M33</f>
        <v>225567.99774492919</v>
      </c>
    </row>
    <row r="33" spans="1:19" x14ac:dyDescent="0.2">
      <c r="A33" s="43"/>
      <c r="K33" s="12" t="s">
        <v>235</v>
      </c>
      <c r="M33" s="12">
        <f>Summary!D108</f>
        <v>1.0020000000000001E-3</v>
      </c>
      <c r="N33" s="12" t="s">
        <v>237</v>
      </c>
    </row>
    <row r="34" spans="1:19" x14ac:dyDescent="0.2">
      <c r="A34" s="43"/>
    </row>
    <row r="35" spans="1:19" x14ac:dyDescent="0.2">
      <c r="A35" s="43" t="s">
        <v>203</v>
      </c>
      <c r="B35" s="12" t="s">
        <v>143</v>
      </c>
      <c r="D35" s="44">
        <v>0</v>
      </c>
    </row>
    <row r="36" spans="1:19" x14ac:dyDescent="0.2">
      <c r="A36" s="43" t="s">
        <v>200</v>
      </c>
      <c r="B36" s="12" t="s">
        <v>143</v>
      </c>
      <c r="D36" s="44">
        <v>3</v>
      </c>
    </row>
    <row r="37" spans="1:19" x14ac:dyDescent="0.2">
      <c r="A37" s="43"/>
    </row>
    <row r="38" spans="1:19" x14ac:dyDescent="0.2">
      <c r="A38" s="43" t="s">
        <v>204</v>
      </c>
      <c r="B38" s="12" t="s">
        <v>143</v>
      </c>
      <c r="D38" s="29">
        <f>D36+D35+D32</f>
        <v>3.4279131453068135</v>
      </c>
    </row>
    <row r="39" spans="1:19" x14ac:dyDescent="0.2">
      <c r="A39" s="43"/>
    </row>
    <row r="40" spans="1:19" x14ac:dyDescent="0.2">
      <c r="A40" s="43" t="s">
        <v>205</v>
      </c>
      <c r="B40" s="12" t="s">
        <v>109</v>
      </c>
      <c r="D40" s="15">
        <f>((D28/3600)*Summary!D107*9.81*D38)/1000</f>
        <v>0.59694443009510945</v>
      </c>
    </row>
    <row r="41" spans="1:19" x14ac:dyDescent="0.2">
      <c r="A41" s="43" t="s">
        <v>208</v>
      </c>
      <c r="B41" s="12" t="s">
        <v>14</v>
      </c>
      <c r="D41" s="37">
        <f>'Data input and ouput'!C35</f>
        <v>80</v>
      </c>
    </row>
    <row r="42" spans="1:19" x14ac:dyDescent="0.2">
      <c r="A42" s="43" t="s">
        <v>209</v>
      </c>
      <c r="B42" s="12" t="s">
        <v>109</v>
      </c>
      <c r="D42" s="15">
        <f>D40*100/D41</f>
        <v>0.74618053761888681</v>
      </c>
    </row>
    <row r="43" spans="1:19" x14ac:dyDescent="0.2">
      <c r="A43" s="43" t="s">
        <v>196</v>
      </c>
      <c r="D43" s="12">
        <f>Summary!D92</f>
        <v>24</v>
      </c>
    </row>
    <row r="44" spans="1:19" ht="17.25" x14ac:dyDescent="0.2">
      <c r="A44" s="43" t="s">
        <v>210</v>
      </c>
      <c r="B44" s="12" t="s">
        <v>522</v>
      </c>
      <c r="D44" s="15">
        <f>D43*D42</f>
        <v>17.908332902853282</v>
      </c>
    </row>
    <row r="46" spans="1:19" x14ac:dyDescent="0.2">
      <c r="A46" s="43" t="s">
        <v>505</v>
      </c>
    </row>
    <row r="47" spans="1:19" ht="17.25" x14ac:dyDescent="0.2">
      <c r="A47" s="43" t="s">
        <v>201</v>
      </c>
      <c r="B47" s="12" t="s">
        <v>512</v>
      </c>
      <c r="D47" s="15">
        <f>Harvesting!B23</f>
        <v>1.9206192499999999</v>
      </c>
      <c r="K47" s="12" t="s">
        <v>226</v>
      </c>
      <c r="M47" s="12">
        <f>R47*1000</f>
        <v>50</v>
      </c>
      <c r="N47" s="12" t="s">
        <v>102</v>
      </c>
      <c r="P47" s="12" t="s">
        <v>226</v>
      </c>
      <c r="R47" s="12">
        <f>D49</f>
        <v>0.05</v>
      </c>
      <c r="S47" s="12" t="s">
        <v>143</v>
      </c>
    </row>
    <row r="48" spans="1:19" x14ac:dyDescent="0.2">
      <c r="A48" s="43" t="s">
        <v>214</v>
      </c>
      <c r="B48" s="12" t="s">
        <v>143</v>
      </c>
      <c r="D48" s="44">
        <v>10</v>
      </c>
      <c r="K48" s="12" t="s">
        <v>227</v>
      </c>
      <c r="M48" s="12">
        <f>D50</f>
        <v>4.5999999999999999E-2</v>
      </c>
      <c r="N48" s="12" t="s">
        <v>102</v>
      </c>
      <c r="P48" s="12" t="s">
        <v>228</v>
      </c>
      <c r="R48" s="28">
        <f>(1.14+(2*LOG10(M47/M48)))^-2</f>
        <v>1.9223721172513489E-2</v>
      </c>
    </row>
    <row r="49" spans="1:19" ht="17.25" x14ac:dyDescent="0.2">
      <c r="A49" s="43" t="s">
        <v>215</v>
      </c>
      <c r="B49" s="12" t="s">
        <v>143</v>
      </c>
      <c r="D49" s="44">
        <v>0.05</v>
      </c>
      <c r="K49" s="12" t="s">
        <v>229</v>
      </c>
      <c r="M49" s="12">
        <f>D48</f>
        <v>10</v>
      </c>
      <c r="N49" s="12" t="s">
        <v>143</v>
      </c>
      <c r="P49" s="12" t="s">
        <v>230</v>
      </c>
      <c r="R49" s="28">
        <f>PI()*(R47)^2/4</f>
        <v>1.9634954084936209E-3</v>
      </c>
      <c r="S49" s="12" t="s">
        <v>513</v>
      </c>
    </row>
    <row r="50" spans="1:19" ht="17.25" x14ac:dyDescent="0.2">
      <c r="A50" s="43" t="s">
        <v>225</v>
      </c>
      <c r="D50" s="44">
        <v>4.5999999999999999E-2</v>
      </c>
      <c r="F50" s="12" t="s">
        <v>180</v>
      </c>
      <c r="K50" s="12" t="s">
        <v>231</v>
      </c>
      <c r="M50" s="28">
        <f>D47/3600</f>
        <v>5.335053472222222E-4</v>
      </c>
      <c r="N50" s="12" t="s">
        <v>514</v>
      </c>
      <c r="P50" s="12" t="s">
        <v>232</v>
      </c>
      <c r="R50" s="15">
        <f>M50/R49</f>
        <v>0.27171204216439881</v>
      </c>
      <c r="S50" s="12" t="s">
        <v>515</v>
      </c>
    </row>
    <row r="51" spans="1:19" ht="17.25" x14ac:dyDescent="0.2">
      <c r="A51" s="43" t="s">
        <v>202</v>
      </c>
      <c r="B51" s="12" t="s">
        <v>143</v>
      </c>
      <c r="D51" s="29">
        <f>R48*(D48/D49)*(R50^2)/(2*9.81)</f>
        <v>1.4467257934271111E-2</v>
      </c>
      <c r="K51" s="12" t="s">
        <v>233</v>
      </c>
      <c r="M51" s="12">
        <f>Summary!D107</f>
        <v>998.2</v>
      </c>
      <c r="N51" s="12" t="s">
        <v>516</v>
      </c>
      <c r="P51" s="12" t="s">
        <v>234</v>
      </c>
      <c r="R51" s="13">
        <f>R47*R50*M51/M52</f>
        <v>13534.079864695756</v>
      </c>
    </row>
    <row r="52" spans="1:19" x14ac:dyDescent="0.2">
      <c r="A52" s="43"/>
      <c r="K52" s="12" t="s">
        <v>235</v>
      </c>
      <c r="M52" s="12">
        <f>Summary!D108</f>
        <v>1.0020000000000001E-3</v>
      </c>
      <c r="N52" s="12" t="s">
        <v>237</v>
      </c>
    </row>
    <row r="53" spans="1:19" x14ac:dyDescent="0.2">
      <c r="A53" s="43"/>
    </row>
    <row r="54" spans="1:19" x14ac:dyDescent="0.2">
      <c r="A54" s="43" t="s">
        <v>203</v>
      </c>
      <c r="B54" s="12" t="s">
        <v>143</v>
      </c>
      <c r="D54" s="44">
        <v>0</v>
      </c>
    </row>
    <row r="55" spans="1:19" x14ac:dyDescent="0.2">
      <c r="A55" s="43" t="s">
        <v>200</v>
      </c>
      <c r="B55" s="12" t="s">
        <v>143</v>
      </c>
      <c r="D55" s="44">
        <v>2</v>
      </c>
    </row>
    <row r="56" spans="1:19" x14ac:dyDescent="0.2">
      <c r="A56" s="43"/>
    </row>
    <row r="57" spans="1:19" x14ac:dyDescent="0.2">
      <c r="A57" s="43" t="s">
        <v>204</v>
      </c>
      <c r="B57" s="12" t="s">
        <v>143</v>
      </c>
      <c r="D57" s="29">
        <f>D55+D54+D51</f>
        <v>2.0144672579342711</v>
      </c>
    </row>
    <row r="58" spans="1:19" x14ac:dyDescent="0.2">
      <c r="A58" s="43"/>
    </row>
    <row r="59" spans="1:19" x14ac:dyDescent="0.2">
      <c r="A59" s="43" t="s">
        <v>205</v>
      </c>
      <c r="B59" s="12" t="s">
        <v>109</v>
      </c>
      <c r="D59" s="15">
        <f>((D47/3600)*Summary!D107*9.81*D57)/1000</f>
        <v>1.0524114453242949E-2</v>
      </c>
    </row>
    <row r="60" spans="1:19" x14ac:dyDescent="0.2">
      <c r="A60" s="43" t="s">
        <v>208</v>
      </c>
      <c r="B60" s="12" t="s">
        <v>14</v>
      </c>
      <c r="D60" s="37">
        <f>Pump_Efficiency</f>
        <v>80</v>
      </c>
    </row>
    <row r="61" spans="1:19" x14ac:dyDescent="0.2">
      <c r="A61" s="43" t="s">
        <v>209</v>
      </c>
      <c r="B61" s="12" t="s">
        <v>109</v>
      </c>
      <c r="D61" s="15">
        <f>D59*100/D60</f>
        <v>1.3155143066553687E-2</v>
      </c>
    </row>
    <row r="62" spans="1:19" x14ac:dyDescent="0.2">
      <c r="A62" s="43" t="s">
        <v>196</v>
      </c>
      <c r="D62" s="12">
        <f>Summary!D92</f>
        <v>24</v>
      </c>
    </row>
    <row r="63" spans="1:19" ht="17.25" x14ac:dyDescent="0.2">
      <c r="A63" s="43" t="s">
        <v>210</v>
      </c>
      <c r="B63" s="12" t="s">
        <v>522</v>
      </c>
      <c r="D63" s="29">
        <f>D62*D61</f>
        <v>0.31572343359728849</v>
      </c>
    </row>
    <row r="65" spans="1:19" x14ac:dyDescent="0.2">
      <c r="A65" s="45" t="s">
        <v>506</v>
      </c>
    </row>
    <row r="66" spans="1:19" ht="17.25" x14ac:dyDescent="0.2">
      <c r="A66" s="45" t="s">
        <v>201</v>
      </c>
      <c r="B66" s="12" t="s">
        <v>512</v>
      </c>
      <c r="D66" s="15">
        <f>Harvesting!B24</f>
        <v>5.761857749999999E-2</v>
      </c>
      <c r="K66" s="12" t="s">
        <v>226</v>
      </c>
      <c r="M66" s="12">
        <f>R66*1000</f>
        <v>50</v>
      </c>
      <c r="N66" s="12" t="s">
        <v>102</v>
      </c>
      <c r="P66" s="12" t="s">
        <v>226</v>
      </c>
      <c r="R66" s="12">
        <f>D68</f>
        <v>0.05</v>
      </c>
      <c r="S66" s="12" t="s">
        <v>143</v>
      </c>
    </row>
    <row r="67" spans="1:19" x14ac:dyDescent="0.2">
      <c r="A67" s="45" t="s">
        <v>216</v>
      </c>
      <c r="B67" s="12" t="s">
        <v>143</v>
      </c>
      <c r="D67" s="17">
        <v>10</v>
      </c>
      <c r="K67" s="12" t="s">
        <v>227</v>
      </c>
      <c r="M67" s="12">
        <f>D69</f>
        <v>4.5999999999999999E-2</v>
      </c>
      <c r="N67" s="12" t="s">
        <v>102</v>
      </c>
      <c r="P67" s="12" t="s">
        <v>228</v>
      </c>
      <c r="R67" s="28">
        <f>(1.14+(2*LOG10(M66/M67)))^-2</f>
        <v>1.9223721172513489E-2</v>
      </c>
    </row>
    <row r="68" spans="1:19" ht="17.25" x14ac:dyDescent="0.2">
      <c r="A68" s="45" t="s">
        <v>215</v>
      </c>
      <c r="B68" s="12" t="s">
        <v>143</v>
      </c>
      <c r="D68" s="17">
        <v>0.05</v>
      </c>
      <c r="K68" s="12" t="s">
        <v>229</v>
      </c>
      <c r="M68" s="12">
        <f>D67</f>
        <v>10</v>
      </c>
      <c r="N68" s="12" t="s">
        <v>143</v>
      </c>
      <c r="P68" s="12" t="s">
        <v>230</v>
      </c>
      <c r="R68" s="28">
        <f>PI()*(R66)^2/4</f>
        <v>1.9634954084936209E-3</v>
      </c>
      <c r="S68" s="12" t="s">
        <v>513</v>
      </c>
    </row>
    <row r="69" spans="1:19" ht="17.25" x14ac:dyDescent="0.2">
      <c r="A69" s="45" t="s">
        <v>225</v>
      </c>
      <c r="B69" s="12" t="s">
        <v>102</v>
      </c>
      <c r="D69" s="17">
        <v>4.5999999999999999E-2</v>
      </c>
      <c r="F69" s="12" t="s">
        <v>180</v>
      </c>
      <c r="H69" s="12">
        <f>IF(R70&gt;2000,R67,R73)</f>
        <v>0.15762677290668484</v>
      </c>
      <c r="K69" s="12" t="s">
        <v>231</v>
      </c>
      <c r="M69" s="46">
        <f>D66/3600</f>
        <v>1.6005160416666665E-5</v>
      </c>
      <c r="N69" s="12" t="s">
        <v>514</v>
      </c>
      <c r="P69" s="12" t="s">
        <v>232</v>
      </c>
      <c r="R69" s="15">
        <f>M69/R68</f>
        <v>8.1513612649319646E-3</v>
      </c>
      <c r="S69" s="12" t="s">
        <v>515</v>
      </c>
    </row>
    <row r="70" spans="1:19" ht="17.25" x14ac:dyDescent="0.2">
      <c r="A70" s="45" t="s">
        <v>202</v>
      </c>
      <c r="B70" s="12" t="s">
        <v>143</v>
      </c>
      <c r="D70" s="29">
        <f>H69*(D67/D68)*(R69^2)/(2*9.81)</f>
        <v>1.0676312065031163E-4</v>
      </c>
      <c r="K70" s="12" t="s">
        <v>233</v>
      </c>
      <c r="M70" s="12">
        <f>Summary!D107</f>
        <v>998.2</v>
      </c>
      <c r="N70" s="12" t="s">
        <v>516</v>
      </c>
      <c r="P70" s="12" t="s">
        <v>234</v>
      </c>
      <c r="R70" s="13">
        <f>R66*R69*M70/M71</f>
        <v>406.02239594087263</v>
      </c>
    </row>
    <row r="71" spans="1:19" x14ac:dyDescent="0.2">
      <c r="A71" s="45"/>
      <c r="K71" s="12" t="s">
        <v>235</v>
      </c>
      <c r="M71" s="12">
        <f>Summary!D108</f>
        <v>1.0020000000000001E-3</v>
      </c>
      <c r="N71" s="12" t="s">
        <v>237</v>
      </c>
    </row>
    <row r="72" spans="1:19" x14ac:dyDescent="0.2">
      <c r="A72" s="45"/>
    </row>
    <row r="73" spans="1:19" x14ac:dyDescent="0.2">
      <c r="A73" s="45" t="s">
        <v>203</v>
      </c>
      <c r="B73" s="12" t="s">
        <v>143</v>
      </c>
      <c r="D73" s="12">
        <v>0</v>
      </c>
      <c r="K73" s="12" t="s">
        <v>493</v>
      </c>
      <c r="O73" s="12" t="s">
        <v>494</v>
      </c>
      <c r="P73" s="12" t="s">
        <v>228</v>
      </c>
      <c r="R73" s="12">
        <f>64/R70</f>
        <v>0.15762677290668484</v>
      </c>
    </row>
    <row r="74" spans="1:19" x14ac:dyDescent="0.2">
      <c r="A74" s="45" t="s">
        <v>200</v>
      </c>
      <c r="B74" s="12" t="s">
        <v>143</v>
      </c>
      <c r="D74" s="15">
        <f>AD!J71</f>
        <v>3.2777158068869023</v>
      </c>
      <c r="F74" s="31" t="s">
        <v>398</v>
      </c>
    </row>
    <row r="75" spans="1:19" x14ac:dyDescent="0.2">
      <c r="A75" s="45"/>
    </row>
    <row r="76" spans="1:19" x14ac:dyDescent="0.2">
      <c r="A76" s="45" t="s">
        <v>204</v>
      </c>
      <c r="B76" s="12" t="s">
        <v>143</v>
      </c>
      <c r="D76" s="29">
        <f>D74+D73+D70</f>
        <v>3.2778225700075527</v>
      </c>
    </row>
    <row r="77" spans="1:19" x14ac:dyDescent="0.2">
      <c r="A77" s="45"/>
    </row>
    <row r="78" spans="1:19" x14ac:dyDescent="0.2">
      <c r="A78" s="45" t="s">
        <v>205</v>
      </c>
      <c r="B78" s="12" t="s">
        <v>109</v>
      </c>
      <c r="D78" s="15">
        <f>(D66/3600)*Summary!D107*9.81*D76/1000</f>
        <v>5.1372659071495313E-4</v>
      </c>
      <c r="F78" s="31"/>
    </row>
    <row r="79" spans="1:19" x14ac:dyDescent="0.2">
      <c r="A79" s="45" t="s">
        <v>208</v>
      </c>
      <c r="B79" s="12" t="s">
        <v>14</v>
      </c>
      <c r="D79" s="37">
        <f>'Data input and ouput'!C35</f>
        <v>80</v>
      </c>
    </row>
    <row r="80" spans="1:19" x14ac:dyDescent="0.2">
      <c r="A80" s="45" t="s">
        <v>209</v>
      </c>
      <c r="B80" s="12" t="s">
        <v>109</v>
      </c>
      <c r="D80" s="15">
        <f>D78*100/D79</f>
        <v>6.4215823839369138E-4</v>
      </c>
    </row>
    <row r="81" spans="1:19" x14ac:dyDescent="0.2">
      <c r="A81" s="45" t="s">
        <v>196</v>
      </c>
      <c r="D81" s="12">
        <f>D43</f>
        <v>24</v>
      </c>
    </row>
    <row r="82" spans="1:19" ht="17.25" x14ac:dyDescent="0.2">
      <c r="A82" s="45" t="s">
        <v>211</v>
      </c>
      <c r="B82" s="12" t="s">
        <v>522</v>
      </c>
      <c r="D82" s="16">
        <f>D81*D80</f>
        <v>1.5411797721448593E-2</v>
      </c>
    </row>
    <row r="84" spans="1:19" x14ac:dyDescent="0.2">
      <c r="A84" s="47" t="s">
        <v>491</v>
      </c>
    </row>
    <row r="85" spans="1:19" ht="17.25" x14ac:dyDescent="0.2">
      <c r="A85" s="47" t="s">
        <v>201</v>
      </c>
      <c r="B85" s="12" t="s">
        <v>512</v>
      </c>
      <c r="D85" s="15">
        <f>Harvesting!B17</f>
        <v>62.100022416666661</v>
      </c>
      <c r="K85" s="12" t="s">
        <v>226</v>
      </c>
      <c r="M85" s="12">
        <f>R85*1000</f>
        <v>100</v>
      </c>
      <c r="N85" s="12" t="s">
        <v>102</v>
      </c>
      <c r="P85" s="12" t="s">
        <v>226</v>
      </c>
      <c r="R85" s="12">
        <f>D87</f>
        <v>0.1</v>
      </c>
      <c r="S85" s="12" t="s">
        <v>143</v>
      </c>
    </row>
    <row r="86" spans="1:19" x14ac:dyDescent="0.2">
      <c r="A86" s="47" t="s">
        <v>216</v>
      </c>
      <c r="B86" s="12" t="s">
        <v>143</v>
      </c>
      <c r="D86" s="17">
        <v>10</v>
      </c>
      <c r="K86" s="12" t="s">
        <v>227</v>
      </c>
      <c r="M86" s="12">
        <f>D88</f>
        <v>4.5999999999999999E-2</v>
      </c>
      <c r="N86" s="12" t="s">
        <v>102</v>
      </c>
      <c r="P86" s="12" t="s">
        <v>228</v>
      </c>
      <c r="R86" s="28">
        <f>(1.14+(2*LOG10(M85/M86)))^-2</f>
        <v>1.6375680258800988E-2</v>
      </c>
    </row>
    <row r="87" spans="1:19" ht="17.25" x14ac:dyDescent="0.2">
      <c r="A87" s="47" t="s">
        <v>215</v>
      </c>
      <c r="B87" s="12" t="s">
        <v>143</v>
      </c>
      <c r="D87" s="17">
        <v>0.1</v>
      </c>
      <c r="K87" s="12" t="s">
        <v>229</v>
      </c>
      <c r="M87" s="12">
        <f>D86</f>
        <v>10</v>
      </c>
      <c r="N87" s="12" t="s">
        <v>143</v>
      </c>
      <c r="P87" s="12" t="s">
        <v>230</v>
      </c>
      <c r="R87" s="28">
        <f>PI()*(R85)^2/4</f>
        <v>7.8539816339744835E-3</v>
      </c>
      <c r="S87" s="12" t="s">
        <v>513</v>
      </c>
    </row>
    <row r="88" spans="1:19" ht="17.25" x14ac:dyDescent="0.2">
      <c r="A88" s="47" t="s">
        <v>225</v>
      </c>
      <c r="B88" s="12" t="s">
        <v>102</v>
      </c>
      <c r="D88" s="17">
        <v>4.5999999999999999E-2</v>
      </c>
      <c r="F88" s="12" t="s">
        <v>180</v>
      </c>
      <c r="K88" s="12" t="s">
        <v>231</v>
      </c>
      <c r="M88" s="28">
        <f>D85/3600</f>
        <v>1.7250006226851852E-2</v>
      </c>
      <c r="N88" s="12" t="s">
        <v>514</v>
      </c>
      <c r="P88" s="12" t="s">
        <v>232</v>
      </c>
      <c r="R88" s="15">
        <f>M88/R87</f>
        <v>2.1963390074955571</v>
      </c>
      <c r="S88" s="12" t="s">
        <v>515</v>
      </c>
    </row>
    <row r="89" spans="1:19" ht="17.25" x14ac:dyDescent="0.2">
      <c r="A89" s="47" t="s">
        <v>202</v>
      </c>
      <c r="B89" s="12" t="s">
        <v>143</v>
      </c>
      <c r="D89" s="29">
        <f>R86*(D86/D87)*(R88^2)/(2*9.81)</f>
        <v>0.40262347841918111</v>
      </c>
      <c r="K89" s="12" t="s">
        <v>233</v>
      </c>
      <c r="M89" s="12">
        <f>Summary!D107</f>
        <v>998.2</v>
      </c>
      <c r="N89" s="12" t="s">
        <v>516</v>
      </c>
      <c r="P89" s="12" t="s">
        <v>234</v>
      </c>
      <c r="R89" s="13">
        <f>R85*R88*M89/M90</f>
        <v>218800.95781258136</v>
      </c>
    </row>
    <row r="90" spans="1:19" x14ac:dyDescent="0.2">
      <c r="A90" s="47"/>
      <c r="K90" s="12" t="s">
        <v>235</v>
      </c>
      <c r="M90" s="12">
        <f>Summary!D108</f>
        <v>1.0020000000000001E-3</v>
      </c>
      <c r="N90" s="12" t="s">
        <v>237</v>
      </c>
    </row>
    <row r="91" spans="1:19" x14ac:dyDescent="0.2">
      <c r="A91" s="47"/>
    </row>
    <row r="92" spans="1:19" x14ac:dyDescent="0.2">
      <c r="A92" s="47" t="s">
        <v>203</v>
      </c>
      <c r="B92" s="12" t="s">
        <v>143</v>
      </c>
      <c r="D92" s="12">
        <v>0</v>
      </c>
    </row>
    <row r="93" spans="1:19" x14ac:dyDescent="0.2">
      <c r="A93" s="47" t="s">
        <v>200</v>
      </c>
      <c r="B93" s="12" t="s">
        <v>143</v>
      </c>
      <c r="D93" s="12">
        <v>1</v>
      </c>
      <c r="F93" s="31"/>
      <c r="G93" s="31"/>
      <c r="H93" s="31"/>
      <c r="I93" s="31"/>
      <c r="J93" s="31"/>
    </row>
    <row r="94" spans="1:19" x14ac:dyDescent="0.2">
      <c r="A94" s="47"/>
    </row>
    <row r="95" spans="1:19" x14ac:dyDescent="0.2">
      <c r="A95" s="47" t="s">
        <v>204</v>
      </c>
      <c r="B95" s="12" t="s">
        <v>143</v>
      </c>
      <c r="D95" s="29">
        <f>D93+D92+D89</f>
        <v>1.4026234784191811</v>
      </c>
    </row>
    <row r="96" spans="1:19" x14ac:dyDescent="0.2">
      <c r="A96" s="47"/>
    </row>
    <row r="97" spans="1:19" x14ac:dyDescent="0.2">
      <c r="A97" s="47" t="s">
        <v>205</v>
      </c>
      <c r="B97" s="12" t="s">
        <v>109</v>
      </c>
      <c r="D97" s="15">
        <f>(D85/3600)*Summary!D107*9.81*Pumping!D95/1000</f>
        <v>0.23692829728956757</v>
      </c>
    </row>
    <row r="98" spans="1:19" x14ac:dyDescent="0.2">
      <c r="A98" s="47" t="s">
        <v>208</v>
      </c>
      <c r="B98" s="12" t="s">
        <v>14</v>
      </c>
      <c r="D98" s="12">
        <f>'Data input and ouput'!C35</f>
        <v>80</v>
      </c>
    </row>
    <row r="99" spans="1:19" x14ac:dyDescent="0.2">
      <c r="A99" s="47" t="s">
        <v>209</v>
      </c>
      <c r="B99" s="12" t="s">
        <v>109</v>
      </c>
      <c r="D99" s="15">
        <f>D97*100/D98</f>
        <v>0.29616037161195946</v>
      </c>
    </row>
    <row r="100" spans="1:19" x14ac:dyDescent="0.2">
      <c r="A100" s="47" t="s">
        <v>196</v>
      </c>
      <c r="D100" s="12">
        <f>D81</f>
        <v>24</v>
      </c>
    </row>
    <row r="101" spans="1:19" ht="17.25" x14ac:dyDescent="0.2">
      <c r="A101" s="47" t="s">
        <v>402</v>
      </c>
      <c r="B101" s="12" t="s">
        <v>522</v>
      </c>
      <c r="D101" s="15">
        <f>D100*D99</f>
        <v>7.1078489186870275</v>
      </c>
    </row>
    <row r="102" spans="1:19" x14ac:dyDescent="0.2">
      <c r="A102" s="48"/>
      <c r="D102" s="15"/>
    </row>
    <row r="103" spans="1:19" x14ac:dyDescent="0.2">
      <c r="A103" s="47" t="s">
        <v>492</v>
      </c>
      <c r="D103" s="15"/>
    </row>
    <row r="104" spans="1:19" ht="17.25" x14ac:dyDescent="0.2">
      <c r="A104" s="47" t="s">
        <v>201</v>
      </c>
      <c r="B104" s="12" t="s">
        <v>512</v>
      </c>
      <c r="D104" s="15">
        <f>Harvesting!B25</f>
        <v>1.8630006724999999</v>
      </c>
      <c r="K104" s="12" t="s">
        <v>226</v>
      </c>
      <c r="M104" s="12">
        <f>R104*1000</f>
        <v>100</v>
      </c>
      <c r="N104" s="12" t="s">
        <v>102</v>
      </c>
      <c r="P104" s="12" t="s">
        <v>226</v>
      </c>
      <c r="R104" s="12">
        <f>D106</f>
        <v>0.1</v>
      </c>
      <c r="S104" s="12" t="s">
        <v>143</v>
      </c>
    </row>
    <row r="105" spans="1:19" x14ac:dyDescent="0.2">
      <c r="A105" s="47" t="s">
        <v>216</v>
      </c>
      <c r="B105" s="12" t="s">
        <v>143</v>
      </c>
      <c r="D105" s="17">
        <v>10</v>
      </c>
      <c r="K105" s="12" t="s">
        <v>227</v>
      </c>
      <c r="M105" s="12">
        <f>D107</f>
        <v>4.5999999999999999E-2</v>
      </c>
      <c r="N105" s="12" t="s">
        <v>102</v>
      </c>
      <c r="P105" s="12" t="s">
        <v>228</v>
      </c>
      <c r="R105" s="28">
        <f>(1.14+(2*LOG10(M104/M105)))^-2</f>
        <v>1.6375680258800988E-2</v>
      </c>
    </row>
    <row r="106" spans="1:19" ht="17.25" x14ac:dyDescent="0.2">
      <c r="A106" s="47" t="s">
        <v>215</v>
      </c>
      <c r="B106" s="12" t="s">
        <v>143</v>
      </c>
      <c r="D106" s="17">
        <v>0.1</v>
      </c>
      <c r="K106" s="12" t="s">
        <v>229</v>
      </c>
      <c r="M106" s="12">
        <f>D105</f>
        <v>10</v>
      </c>
      <c r="N106" s="12" t="s">
        <v>143</v>
      </c>
      <c r="P106" s="12" t="s">
        <v>230</v>
      </c>
      <c r="R106" s="28">
        <f>PI()*(R104)^2/4</f>
        <v>7.8539816339744835E-3</v>
      </c>
      <c r="S106" s="12" t="s">
        <v>513</v>
      </c>
    </row>
    <row r="107" spans="1:19" ht="17.25" x14ac:dyDescent="0.2">
      <c r="A107" s="47" t="s">
        <v>225</v>
      </c>
      <c r="B107" s="12" t="s">
        <v>102</v>
      </c>
      <c r="D107" s="17">
        <v>4.5999999999999999E-2</v>
      </c>
      <c r="F107" s="12" t="s">
        <v>180</v>
      </c>
      <c r="K107" s="12" t="s">
        <v>231</v>
      </c>
      <c r="M107" s="28">
        <f>D104/3600</f>
        <v>5.1750018680555556E-4</v>
      </c>
      <c r="N107" s="12" t="s">
        <v>514</v>
      </c>
      <c r="P107" s="12" t="s">
        <v>232</v>
      </c>
      <c r="R107" s="15">
        <f>M107/R106</f>
        <v>6.589017022486672E-2</v>
      </c>
      <c r="S107" s="12" t="s">
        <v>515</v>
      </c>
    </row>
    <row r="108" spans="1:19" ht="17.25" x14ac:dyDescent="0.2">
      <c r="A108" s="47" t="s">
        <v>202</v>
      </c>
      <c r="B108" s="12" t="s">
        <v>143</v>
      </c>
      <c r="D108" s="28">
        <f>R105*(D105/D106)*(R107^2)/(2*9.81)</f>
        <v>3.6236113057726304E-4</v>
      </c>
      <c r="K108" s="12" t="s">
        <v>233</v>
      </c>
      <c r="M108" s="12">
        <f>Summary!D107</f>
        <v>998.2</v>
      </c>
      <c r="N108" s="12" t="s">
        <v>516</v>
      </c>
      <c r="P108" s="12" t="s">
        <v>234</v>
      </c>
      <c r="R108" s="13">
        <f>R104*R107*M108/M109</f>
        <v>6564.0287343774407</v>
      </c>
    </row>
    <row r="109" spans="1:19" x14ac:dyDescent="0.2">
      <c r="A109" s="47"/>
      <c r="K109" s="12" t="s">
        <v>235</v>
      </c>
      <c r="M109" s="12">
        <f>Summary!D108</f>
        <v>1.0020000000000001E-3</v>
      </c>
      <c r="N109" s="12" t="s">
        <v>237</v>
      </c>
    </row>
    <row r="110" spans="1:19" x14ac:dyDescent="0.2">
      <c r="A110" s="47"/>
    </row>
    <row r="111" spans="1:19" x14ac:dyDescent="0.2">
      <c r="A111" s="47" t="s">
        <v>203</v>
      </c>
      <c r="B111" s="12" t="s">
        <v>143</v>
      </c>
      <c r="D111" s="12">
        <v>0</v>
      </c>
    </row>
    <row r="112" spans="1:19" x14ac:dyDescent="0.2">
      <c r="A112" s="47" t="s">
        <v>200</v>
      </c>
      <c r="B112" s="12" t="s">
        <v>143</v>
      </c>
      <c r="D112" s="12">
        <v>1</v>
      </c>
      <c r="F112" s="31"/>
      <c r="G112" s="31"/>
      <c r="H112" s="31"/>
      <c r="I112" s="31"/>
      <c r="J112" s="31"/>
    </row>
    <row r="113" spans="1:19" x14ac:dyDescent="0.2">
      <c r="A113" s="47"/>
    </row>
    <row r="114" spans="1:19" x14ac:dyDescent="0.2">
      <c r="A114" s="47" t="s">
        <v>204</v>
      </c>
      <c r="B114" s="12" t="s">
        <v>143</v>
      </c>
      <c r="D114" s="28">
        <f>D112+D111+D108</f>
        <v>1.0003623611305772</v>
      </c>
    </row>
    <row r="115" spans="1:19" x14ac:dyDescent="0.2">
      <c r="A115" s="47"/>
    </row>
    <row r="116" spans="1:19" x14ac:dyDescent="0.2">
      <c r="A116" s="47" t="s">
        <v>205</v>
      </c>
      <c r="B116" s="12" t="s">
        <v>109</v>
      </c>
      <c r="D116" s="15">
        <f>(D104/3600)*Summary!D107*9.81*Pumping!D114/1000</f>
        <v>5.0693750933578684E-3</v>
      </c>
    </row>
    <row r="117" spans="1:19" x14ac:dyDescent="0.2">
      <c r="A117" s="47" t="s">
        <v>208</v>
      </c>
      <c r="B117" s="12" t="s">
        <v>14</v>
      </c>
      <c r="D117" s="12">
        <f>Pump_Efficiency</f>
        <v>80</v>
      </c>
    </row>
    <row r="118" spans="1:19" x14ac:dyDescent="0.2">
      <c r="A118" s="47" t="s">
        <v>209</v>
      </c>
      <c r="B118" s="12" t="s">
        <v>109</v>
      </c>
      <c r="D118" s="15">
        <f>D116*100/D117</f>
        <v>6.3367188666973353E-3</v>
      </c>
    </row>
    <row r="119" spans="1:19" x14ac:dyDescent="0.2">
      <c r="A119" s="47" t="s">
        <v>196</v>
      </c>
      <c r="D119" s="12">
        <f>Summary!D92</f>
        <v>24</v>
      </c>
    </row>
    <row r="120" spans="1:19" ht="17.25" x14ac:dyDescent="0.2">
      <c r="A120" s="47" t="s">
        <v>402</v>
      </c>
      <c r="B120" s="12" t="s">
        <v>522</v>
      </c>
      <c r="D120" s="15">
        <f>D119*D118</f>
        <v>0.15208125280073603</v>
      </c>
    </row>
    <row r="122" spans="1:19" x14ac:dyDescent="0.2">
      <c r="A122" s="49" t="s">
        <v>217</v>
      </c>
    </row>
    <row r="123" spans="1:19" ht="17.25" x14ac:dyDescent="0.2">
      <c r="A123" s="49" t="s">
        <v>201</v>
      </c>
      <c r="B123" s="12" t="s">
        <v>512</v>
      </c>
      <c r="D123" s="50">
        <f>AD!E31</f>
        <v>5.3820843546711586E-2</v>
      </c>
      <c r="G123" s="31" t="s">
        <v>399</v>
      </c>
      <c r="K123" s="12" t="s">
        <v>226</v>
      </c>
      <c r="M123" s="12">
        <f>R123*1000</f>
        <v>50</v>
      </c>
      <c r="N123" s="12" t="s">
        <v>102</v>
      </c>
      <c r="P123" s="12" t="s">
        <v>226</v>
      </c>
      <c r="R123" s="12">
        <f>D125</f>
        <v>0.05</v>
      </c>
      <c r="S123" s="12" t="s">
        <v>143</v>
      </c>
    </row>
    <row r="124" spans="1:19" x14ac:dyDescent="0.2">
      <c r="A124" s="49" t="s">
        <v>216</v>
      </c>
      <c r="B124" s="12" t="s">
        <v>143</v>
      </c>
      <c r="D124" s="17">
        <v>10</v>
      </c>
      <c r="K124" s="12" t="s">
        <v>227</v>
      </c>
      <c r="M124" s="12">
        <f>D126</f>
        <v>4.5999999999999999E-2</v>
      </c>
      <c r="N124" s="12" t="s">
        <v>102</v>
      </c>
      <c r="P124" s="12" t="s">
        <v>228</v>
      </c>
      <c r="R124" s="28">
        <f>(1.14+(2*LOG10(M123/M124)))^-2</f>
        <v>1.9223721172513489E-2</v>
      </c>
    </row>
    <row r="125" spans="1:19" ht="17.25" x14ac:dyDescent="0.2">
      <c r="A125" s="49" t="s">
        <v>215</v>
      </c>
      <c r="B125" s="12" t="s">
        <v>143</v>
      </c>
      <c r="D125" s="17">
        <v>0.05</v>
      </c>
      <c r="K125" s="12" t="s">
        <v>229</v>
      </c>
      <c r="M125" s="12">
        <f>D124</f>
        <v>10</v>
      </c>
      <c r="N125" s="12" t="s">
        <v>143</v>
      </c>
      <c r="P125" s="12" t="s">
        <v>230</v>
      </c>
      <c r="R125" s="28">
        <f>PI()*(R123)^2/4</f>
        <v>1.9634954084936209E-3</v>
      </c>
      <c r="S125" s="12" t="s">
        <v>513</v>
      </c>
    </row>
    <row r="126" spans="1:19" ht="17.25" x14ac:dyDescent="0.2">
      <c r="A126" s="49" t="s">
        <v>225</v>
      </c>
      <c r="B126" s="12" t="s">
        <v>102</v>
      </c>
      <c r="D126" s="17">
        <v>4.5999999999999999E-2</v>
      </c>
      <c r="K126" s="12" t="s">
        <v>231</v>
      </c>
      <c r="M126" s="28">
        <f>D123/3600</f>
        <v>1.4950234318530996E-5</v>
      </c>
      <c r="N126" s="12" t="s">
        <v>514</v>
      </c>
      <c r="P126" s="12" t="s">
        <v>232</v>
      </c>
      <c r="R126" s="15">
        <f>M126/R125</f>
        <v>7.6140918149641638E-3</v>
      </c>
      <c r="S126" s="12" t="s">
        <v>515</v>
      </c>
    </row>
    <row r="127" spans="1:19" ht="17.25" x14ac:dyDescent="0.2">
      <c r="A127" s="49" t="s">
        <v>202</v>
      </c>
      <c r="B127" s="12" t="s">
        <v>143</v>
      </c>
      <c r="D127" s="29">
        <f>R124*(D124/D125)*(R126^2)/(2*9.81)</f>
        <v>1.1360688976616874E-5</v>
      </c>
      <c r="K127" s="12" t="s">
        <v>233</v>
      </c>
      <c r="M127" s="12">
        <f>Summary!D107</f>
        <v>998.2</v>
      </c>
      <c r="N127" s="12" t="s">
        <v>516</v>
      </c>
      <c r="P127" s="12" t="s">
        <v>234</v>
      </c>
      <c r="R127" s="13">
        <f>R123*R126*M127/M128</f>
        <v>379.26080088309527</v>
      </c>
    </row>
    <row r="128" spans="1:19" x14ac:dyDescent="0.2">
      <c r="A128" s="49"/>
      <c r="K128" s="12" t="s">
        <v>235</v>
      </c>
      <c r="M128" s="12">
        <f>Summary!D108</f>
        <v>1.0020000000000001E-3</v>
      </c>
      <c r="N128" s="12" t="s">
        <v>237</v>
      </c>
    </row>
    <row r="129" spans="1:4" x14ac:dyDescent="0.2">
      <c r="A129" s="49"/>
    </row>
    <row r="130" spans="1:4" x14ac:dyDescent="0.2">
      <c r="A130" s="49" t="s">
        <v>203</v>
      </c>
      <c r="B130" s="12" t="s">
        <v>143</v>
      </c>
      <c r="D130" s="12">
        <v>0</v>
      </c>
    </row>
    <row r="131" spans="1:4" x14ac:dyDescent="0.2">
      <c r="A131" s="49" t="s">
        <v>200</v>
      </c>
      <c r="B131" s="12" t="s">
        <v>143</v>
      </c>
      <c r="D131" s="12">
        <v>2</v>
      </c>
    </row>
    <row r="132" spans="1:4" x14ac:dyDescent="0.2">
      <c r="A132" s="49"/>
    </row>
    <row r="133" spans="1:4" x14ac:dyDescent="0.2">
      <c r="A133" s="49" t="s">
        <v>204</v>
      </c>
      <c r="B133" s="12" t="s">
        <v>143</v>
      </c>
      <c r="D133" s="29">
        <f>D131+D130+D127</f>
        <v>2.0000113606889767</v>
      </c>
    </row>
    <row r="134" spans="1:4" x14ac:dyDescent="0.2">
      <c r="A134" s="49"/>
    </row>
    <row r="135" spans="1:4" x14ac:dyDescent="0.2">
      <c r="A135" s="49" t="s">
        <v>205</v>
      </c>
      <c r="B135" s="12" t="s">
        <v>109</v>
      </c>
      <c r="D135" s="15">
        <f>(D123/3600)*9.81*D133*Summary!D107/1000</f>
        <v>2.9279727803434199E-4</v>
      </c>
    </row>
    <row r="136" spans="1:4" x14ac:dyDescent="0.2">
      <c r="A136" s="49" t="s">
        <v>208</v>
      </c>
      <c r="B136" s="12" t="s">
        <v>14</v>
      </c>
      <c r="D136" s="12">
        <f>'Data input and ouput'!C35</f>
        <v>80</v>
      </c>
    </row>
    <row r="137" spans="1:4" x14ac:dyDescent="0.2">
      <c r="A137" s="49" t="s">
        <v>209</v>
      </c>
      <c r="B137" s="12" t="s">
        <v>109</v>
      </c>
      <c r="D137" s="15">
        <f>D135*100/D136</f>
        <v>3.6599659754292752E-4</v>
      </c>
    </row>
    <row r="138" spans="1:4" x14ac:dyDescent="0.2">
      <c r="A138" s="49" t="s">
        <v>196</v>
      </c>
      <c r="D138" s="12">
        <v>24</v>
      </c>
    </row>
    <row r="139" spans="1:4" ht="17.25" x14ac:dyDescent="0.2">
      <c r="A139" s="49" t="s">
        <v>403</v>
      </c>
      <c r="B139" s="12" t="s">
        <v>522</v>
      </c>
      <c r="D139" s="15">
        <f>D138*D137</f>
        <v>8.7839183410302613E-3</v>
      </c>
    </row>
  </sheetData>
  <pageMargins left="0.7" right="0.7" top="0.75" bottom="0.75" header="0.3" footer="0.3"/>
  <pageSetup paperSize="8" scale="6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8"/>
  <sheetViews>
    <sheetView topLeftCell="D50" zoomScaleNormal="100" workbookViewId="0">
      <selection activeCell="L28" sqref="L28"/>
    </sheetView>
  </sheetViews>
  <sheetFormatPr defaultRowHeight="14.25" x14ac:dyDescent="0.2"/>
  <cols>
    <col min="1" max="1" width="32.85546875" style="14" customWidth="1"/>
    <col min="2" max="2" width="11.42578125" style="12" customWidth="1"/>
    <col min="3" max="3" width="10.7109375" style="12" customWidth="1"/>
    <col min="4" max="4" width="9.140625" style="12"/>
    <col min="5" max="5" width="11.28515625" style="12" customWidth="1"/>
    <col min="6" max="7" width="9.140625" style="12"/>
    <col min="8" max="8" width="34.5703125" style="12" customWidth="1"/>
    <col min="9" max="9" width="11.85546875" style="12" customWidth="1"/>
    <col min="10" max="10" width="12.42578125" style="12" bestFit="1" customWidth="1"/>
    <col min="11" max="11" width="9.140625" style="12"/>
    <col min="12" max="12" width="13.85546875" style="12" customWidth="1"/>
    <col min="13" max="13" width="17.140625" style="12" customWidth="1"/>
    <col min="14" max="14" width="9.140625" style="12"/>
    <col min="15" max="15" width="22.42578125" style="12" customWidth="1"/>
    <col min="16" max="16" width="9.140625" style="12"/>
    <col min="17" max="17" width="12" style="12" customWidth="1"/>
    <col min="18" max="16384" width="9.140625" style="12"/>
  </cols>
  <sheetData>
    <row r="1" spans="1:14" x14ac:dyDescent="0.2">
      <c r="A1" s="14" t="s">
        <v>218</v>
      </c>
    </row>
    <row r="2" spans="1:14" x14ac:dyDescent="0.2">
      <c r="G2" s="51" t="s">
        <v>369</v>
      </c>
    </row>
    <row r="3" spans="1:14" ht="17.25" x14ac:dyDescent="0.2">
      <c r="A3" s="52" t="s">
        <v>295</v>
      </c>
      <c r="B3" s="12" t="s">
        <v>526</v>
      </c>
      <c r="C3" s="15">
        <f>Harvesting!B24*L9</f>
        <v>5.761857749999999E-2</v>
      </c>
      <c r="D3" s="12" t="s">
        <v>527</v>
      </c>
      <c r="E3" s="15">
        <f>C3*Density</f>
        <v>57.514864060499995</v>
      </c>
      <c r="H3" s="12" t="s">
        <v>5</v>
      </c>
      <c r="I3" s="12" t="s">
        <v>496</v>
      </c>
      <c r="L3" s="24">
        <v>1</v>
      </c>
    </row>
    <row r="4" spans="1:14" x14ac:dyDescent="0.2">
      <c r="A4" s="52" t="s">
        <v>78</v>
      </c>
      <c r="C4" s="19">
        <f>Harvesting!C24</f>
        <v>9.9443387365382399E-2</v>
      </c>
    </row>
    <row r="5" spans="1:14" ht="17.25" x14ac:dyDescent="0.2">
      <c r="A5" s="52" t="s">
        <v>528</v>
      </c>
      <c r="B5" s="12" t="s">
        <v>527</v>
      </c>
      <c r="C5" s="15">
        <f>Harvesting!D24*L9</f>
        <v>5.7194729060356115</v>
      </c>
      <c r="E5" s="12" t="s">
        <v>219</v>
      </c>
      <c r="I5" s="12" t="s">
        <v>487</v>
      </c>
      <c r="L5" s="12">
        <v>3000</v>
      </c>
      <c r="M5" s="12" t="s">
        <v>529</v>
      </c>
    </row>
    <row r="6" spans="1:14" ht="17.25" x14ac:dyDescent="0.2">
      <c r="A6" s="52" t="s">
        <v>79</v>
      </c>
      <c r="C6" s="19">
        <f>Harvesting!E23</f>
        <v>0.9</v>
      </c>
      <c r="I6" s="12" t="s">
        <v>488</v>
      </c>
      <c r="L6" s="12">
        <f>L5/(20*24)</f>
        <v>6.25</v>
      </c>
      <c r="M6" s="12" t="s">
        <v>530</v>
      </c>
    </row>
    <row r="7" spans="1:14" x14ac:dyDescent="0.2">
      <c r="A7" s="52" t="s">
        <v>80</v>
      </c>
      <c r="C7" s="15">
        <f>Harvesting!F24*L9</f>
        <v>57.194729060356131</v>
      </c>
    </row>
    <row r="8" spans="1:14" x14ac:dyDescent="0.2">
      <c r="A8" s="52" t="s">
        <v>81</v>
      </c>
      <c r="C8" s="19">
        <f>Harvesting!G24</f>
        <v>0.99264389268124753</v>
      </c>
      <c r="I8" s="12" t="s">
        <v>489</v>
      </c>
      <c r="L8" s="15">
        <f>L6/Harvesting!B24</f>
        <v>108.47195941274325</v>
      </c>
      <c r="M8" s="12" t="s">
        <v>495</v>
      </c>
      <c r="N8" s="15">
        <f>ROUND(L8,0)</f>
        <v>108</v>
      </c>
    </row>
    <row r="9" spans="1:14" x14ac:dyDescent="0.2">
      <c r="A9" s="45" t="s">
        <v>296</v>
      </c>
      <c r="C9" s="12">
        <f>'Algal Comp Calcs'!E15</f>
        <v>100</v>
      </c>
      <c r="I9" s="12" t="s">
        <v>490</v>
      </c>
      <c r="L9" s="15">
        <f>IF(L3=1,1,N8)</f>
        <v>1</v>
      </c>
    </row>
    <row r="13" spans="1:14" x14ac:dyDescent="0.2">
      <c r="D13" s="12" t="s">
        <v>10</v>
      </c>
    </row>
    <row r="15" spans="1:14" x14ac:dyDescent="0.2">
      <c r="H15" s="12" t="s">
        <v>9</v>
      </c>
    </row>
    <row r="18" spans="1:14" ht="17.25" x14ac:dyDescent="0.3">
      <c r="A18" s="14" t="s">
        <v>531</v>
      </c>
      <c r="B18" s="53" t="s">
        <v>55</v>
      </c>
      <c r="C18" s="15">
        <f>'Algal Comp Calcs'!W15</f>
        <v>0.55576331938684542</v>
      </c>
      <c r="H18" s="12" t="s">
        <v>297</v>
      </c>
      <c r="I18" s="12" t="s">
        <v>191</v>
      </c>
      <c r="J18" s="37">
        <f>'Data input and ouput'!C29</f>
        <v>35</v>
      </c>
      <c r="L18" s="54" t="str">
        <f>IF(J18&lt;45,"Mesophilic","Thermophilic")</f>
        <v>Mesophilic</v>
      </c>
      <c r="N18" s="31"/>
    </row>
    <row r="19" spans="1:14" ht="17.25" x14ac:dyDescent="0.3">
      <c r="A19" s="14" t="s">
        <v>532</v>
      </c>
      <c r="C19" s="12">
        <f>'Data input and ouput'!C27</f>
        <v>60</v>
      </c>
      <c r="E19" s="31"/>
      <c r="H19" s="12" t="s">
        <v>299</v>
      </c>
      <c r="I19" s="12" t="s">
        <v>158</v>
      </c>
      <c r="J19" s="12">
        <f>'Data input and ouput'!C28</f>
        <v>20</v>
      </c>
      <c r="L19" s="31"/>
    </row>
    <row r="21" spans="1:14" ht="17.25" x14ac:dyDescent="0.2">
      <c r="A21" s="14" t="s">
        <v>290</v>
      </c>
      <c r="B21" s="53" t="s">
        <v>55</v>
      </c>
      <c r="C21" s="15">
        <f>C18*C19/100</f>
        <v>0.33345799163210726</v>
      </c>
      <c r="H21" s="12" t="s">
        <v>300</v>
      </c>
      <c r="I21" s="12" t="s">
        <v>529</v>
      </c>
      <c r="J21" s="13">
        <f>C3*24*J19</f>
        <v>27.656917199999995</v>
      </c>
      <c r="M21" s="12">
        <v>3000</v>
      </c>
    </row>
    <row r="22" spans="1:14" x14ac:dyDescent="0.2">
      <c r="A22" s="14" t="s">
        <v>501</v>
      </c>
      <c r="B22" s="12" t="s">
        <v>319</v>
      </c>
      <c r="C22" s="21">
        <f>'Algal Comp Calcs'!V15</f>
        <v>0.56861527516072785</v>
      </c>
    </row>
    <row r="23" spans="1:14" ht="17.25" x14ac:dyDescent="0.2">
      <c r="A23" s="14" t="s">
        <v>291</v>
      </c>
      <c r="B23" s="53" t="s">
        <v>292</v>
      </c>
      <c r="C23" s="15">
        <f>C21/C22</f>
        <v>0.58643868042034264</v>
      </c>
      <c r="H23" s="12" t="s">
        <v>298</v>
      </c>
      <c r="I23" s="12" t="s">
        <v>529</v>
      </c>
      <c r="J23" s="55">
        <f>(C5*(C19/100)*24*(C9/100))/N23</f>
        <v>13.726734974485467</v>
      </c>
      <c r="L23" s="12" t="s">
        <v>302</v>
      </c>
      <c r="M23" s="12" t="s">
        <v>533</v>
      </c>
      <c r="N23" s="17">
        <v>6</v>
      </c>
    </row>
    <row r="24" spans="1:14" x14ac:dyDescent="0.2">
      <c r="H24" s="12" t="s">
        <v>301</v>
      </c>
      <c r="I24" s="12" t="s">
        <v>158</v>
      </c>
      <c r="J24" s="15">
        <f>J23/(C3*24)</f>
        <v>9.9264389268124713</v>
      </c>
      <c r="L24" s="31" t="s">
        <v>309</v>
      </c>
    </row>
    <row r="25" spans="1:14" x14ac:dyDescent="0.2">
      <c r="A25" s="14" t="s">
        <v>502</v>
      </c>
      <c r="B25" s="53" t="s">
        <v>293</v>
      </c>
      <c r="C25" s="15">
        <f>'Algal Comp Calcs'!AE15</f>
        <v>0.17445968965856584</v>
      </c>
    </row>
    <row r="26" spans="1:14" ht="17.25" x14ac:dyDescent="0.2">
      <c r="A26" s="14" t="s">
        <v>294</v>
      </c>
      <c r="B26" s="53" t="s">
        <v>293</v>
      </c>
      <c r="C26" s="15">
        <f>C25*C19/100</f>
        <v>0.1046758137951395</v>
      </c>
      <c r="H26" s="12" t="str">
        <f>IF(J21&gt;J23,"Load Rate OK use HRT calc vol","Loading rate too high use LRT vol")</f>
        <v>Load Rate OK use HRT calc vol</v>
      </c>
      <c r="I26" s="12" t="s">
        <v>529</v>
      </c>
      <c r="J26" s="13">
        <f>SUM(IF(J21&gt;J23,J21,J23))</f>
        <v>27.656917199999995</v>
      </c>
    </row>
    <row r="27" spans="1:14" ht="17.25" x14ac:dyDescent="0.2">
      <c r="A27" s="14" t="s">
        <v>303</v>
      </c>
      <c r="B27" s="12" t="s">
        <v>527</v>
      </c>
      <c r="C27" s="15">
        <f>C26*C5*(C9/100)*(C19/100)</f>
        <v>0.35921428855111742</v>
      </c>
      <c r="H27" s="12" t="str">
        <f>IF(J21&gt;J23,"Load rate OK use HRT","Load rate too high use LRT time")</f>
        <v>Load rate OK use HRT</v>
      </c>
      <c r="I27" s="12" t="s">
        <v>158</v>
      </c>
      <c r="J27" s="12">
        <f>IF(J21&gt;J23,J19,J24)</f>
        <v>20</v>
      </c>
    </row>
    <row r="29" spans="1:14" ht="17.25" x14ac:dyDescent="0.2">
      <c r="A29" s="14" t="s">
        <v>304</v>
      </c>
      <c r="B29" s="12" t="s">
        <v>527</v>
      </c>
      <c r="C29" s="15">
        <f>(C5*(C9/100)*(C19/100))</f>
        <v>3.4316837436213667</v>
      </c>
    </row>
    <row r="31" spans="1:14" ht="17.25" x14ac:dyDescent="0.2">
      <c r="A31" s="49" t="s">
        <v>305</v>
      </c>
      <c r="B31" s="12" t="s">
        <v>527</v>
      </c>
      <c r="C31" s="15">
        <f>E3-C29-C27</f>
        <v>53.72396602832751</v>
      </c>
      <c r="D31" s="12" t="s">
        <v>526</v>
      </c>
      <c r="E31" s="15">
        <f>C31/Density</f>
        <v>5.3820843546711586E-2</v>
      </c>
      <c r="G31" s="12" t="s">
        <v>320</v>
      </c>
    </row>
    <row r="33" spans="1:17" ht="17.25" x14ac:dyDescent="0.2">
      <c r="A33" s="14" t="s">
        <v>306</v>
      </c>
      <c r="B33" s="12" t="s">
        <v>527</v>
      </c>
      <c r="C33" s="15">
        <f>'Algal Comp Calcs'!AJ15*(C9/100)*(C19/100)*C5:D5</f>
        <v>1.3614376360780849</v>
      </c>
      <c r="D33" s="12" t="s">
        <v>534</v>
      </c>
      <c r="E33" s="15">
        <f>C33*1000/'Algal Comp Calcs'!Y3</f>
        <v>84.877658109606287</v>
      </c>
      <c r="F33" s="12" t="s">
        <v>535</v>
      </c>
      <c r="G33" s="15">
        <f>24*E33*'Algal Comp Calcs'!Z3/1000</f>
        <v>45.658747892849178</v>
      </c>
      <c r="H33" s="12" t="s">
        <v>308</v>
      </c>
      <c r="I33" s="19"/>
      <c r="J33" s="19">
        <f>E3/(C31+C33+C34+C35)</f>
        <v>1.0014235779012344</v>
      </c>
      <c r="K33" s="31" t="str">
        <f>IF(J33 &gt;100.1&lt;99.9,"Check Balance","OK")</f>
        <v>OK</v>
      </c>
    </row>
    <row r="34" spans="1:17" ht="17.25" x14ac:dyDescent="0.2">
      <c r="A34" s="14" t="s">
        <v>307</v>
      </c>
      <c r="B34" s="12" t="s">
        <v>527</v>
      </c>
      <c r="C34" s="15">
        <f>'Algal Comp Calcs'!AI15*(C9/100)*(C19/100)*C5</f>
        <v>2.0695952544242</v>
      </c>
      <c r="D34" s="12" t="s">
        <v>534</v>
      </c>
      <c r="E34" s="15">
        <f>C34*1000/44</f>
        <v>47.03625578236818</v>
      </c>
      <c r="F34" s="12" t="s">
        <v>535</v>
      </c>
      <c r="G34" s="15">
        <f>24*E34*'Algal Comp Calcs'!Z3/1000</f>
        <v>25.302495290544009</v>
      </c>
    </row>
    <row r="35" spans="1:17" ht="17.25" x14ac:dyDescent="0.2">
      <c r="A35" s="14" t="s">
        <v>315</v>
      </c>
      <c r="B35" s="12" t="s">
        <v>527</v>
      </c>
      <c r="C35" s="15">
        <f>'Algal Comp Calcs'!AH17*(C9/100)*(C19/100)*C5</f>
        <v>0.27810464463793788</v>
      </c>
      <c r="H35" s="12" t="s">
        <v>318</v>
      </c>
      <c r="I35" s="15" t="s">
        <v>327</v>
      </c>
      <c r="J35" s="15">
        <f>C31+C33+C34+C35</f>
        <v>57.433103563467732</v>
      </c>
    </row>
    <row r="36" spans="1:17" x14ac:dyDescent="0.2">
      <c r="C36" s="15"/>
      <c r="I36" s="15"/>
      <c r="J36" s="15"/>
    </row>
    <row r="37" spans="1:17" ht="17.25" x14ac:dyDescent="0.2">
      <c r="A37" s="14" t="s">
        <v>375</v>
      </c>
      <c r="B37" s="12" t="s">
        <v>527</v>
      </c>
      <c r="C37" s="15">
        <f>C33+C34</f>
        <v>3.4310328905022849</v>
      </c>
      <c r="F37" s="12" t="s">
        <v>535</v>
      </c>
      <c r="G37" s="15">
        <f>G33+G34</f>
        <v>70.961243183393179</v>
      </c>
      <c r="I37" s="15"/>
      <c r="J37" s="15"/>
    </row>
    <row r="38" spans="1:17" x14ac:dyDescent="0.2">
      <c r="C38" s="15"/>
      <c r="I38" s="15"/>
      <c r="J38" s="15"/>
    </row>
    <row r="39" spans="1:17" ht="18" thickBot="1" x14ac:dyDescent="0.25">
      <c r="A39" s="14" t="s">
        <v>503</v>
      </c>
      <c r="B39" s="12" t="s">
        <v>536</v>
      </c>
      <c r="C39" s="15">
        <f>G37/J26</f>
        <v>2.5657683634889428</v>
      </c>
      <c r="I39" s="15"/>
      <c r="J39" s="15"/>
    </row>
    <row r="40" spans="1:17" ht="15" thickTop="1" x14ac:dyDescent="0.2">
      <c r="H40" s="56" t="s">
        <v>332</v>
      </c>
      <c r="I40" s="57"/>
      <c r="J40" s="57"/>
      <c r="K40" s="57"/>
      <c r="L40" s="57"/>
      <c r="M40" s="57"/>
      <c r="N40" s="57"/>
      <c r="O40" s="57"/>
      <c r="P40" s="57"/>
      <c r="Q40" s="58"/>
    </row>
    <row r="41" spans="1:17" ht="17.25" x14ac:dyDescent="0.2">
      <c r="H41" s="59" t="s">
        <v>326</v>
      </c>
      <c r="I41" s="60" t="s">
        <v>328</v>
      </c>
      <c r="J41" s="61">
        <f>E3*M41*(J18-Summary!D106)</f>
        <v>3606.1819765933496</v>
      </c>
      <c r="K41" s="62">
        <f>Summary!D105</f>
        <v>1</v>
      </c>
      <c r="L41" s="60" t="s">
        <v>321</v>
      </c>
      <c r="M41" s="60">
        <f>IF(K41=1,Data!K30,Data!L30)</f>
        <v>4.18</v>
      </c>
      <c r="N41" s="60" t="s">
        <v>537</v>
      </c>
      <c r="O41" s="60"/>
      <c r="P41" s="60"/>
      <c r="Q41" s="63"/>
    </row>
    <row r="42" spans="1:17" ht="17.25" x14ac:dyDescent="0.2">
      <c r="A42" s="14" t="s">
        <v>330</v>
      </c>
      <c r="B42" s="12" t="s">
        <v>331</v>
      </c>
      <c r="C42" s="18">
        <f>C33*'Algal Comp Calcs'!X3</f>
        <v>75.780341699378354</v>
      </c>
      <c r="H42" s="59"/>
      <c r="I42" s="60" t="s">
        <v>538</v>
      </c>
      <c r="J42" s="64">
        <f>J41*24/3600</f>
        <v>24.041213177288995</v>
      </c>
      <c r="K42" s="60"/>
      <c r="L42" s="60"/>
      <c r="M42" s="60"/>
      <c r="N42" s="60"/>
      <c r="O42" s="60"/>
      <c r="P42" s="60"/>
      <c r="Q42" s="63"/>
    </row>
    <row r="43" spans="1:17" ht="17.25" x14ac:dyDescent="0.2">
      <c r="B43" s="12" t="s">
        <v>423</v>
      </c>
      <c r="C43" s="18">
        <f>C42*24/3.6</f>
        <v>505.20227799585564</v>
      </c>
      <c r="H43" s="59" t="s">
        <v>329</v>
      </c>
      <c r="I43" s="60" t="s">
        <v>14</v>
      </c>
      <c r="J43" s="65">
        <f>'Data input and ouput'!C36</f>
        <v>50</v>
      </c>
      <c r="K43" s="60"/>
      <c r="L43" s="60"/>
      <c r="M43" s="60"/>
      <c r="N43" s="60"/>
      <c r="O43" s="60"/>
      <c r="P43" s="60"/>
      <c r="Q43" s="63"/>
    </row>
    <row r="44" spans="1:17" ht="17.25" x14ac:dyDescent="0.2">
      <c r="C44" s="18"/>
      <c r="H44" s="59" t="s">
        <v>349</v>
      </c>
      <c r="I44" s="60" t="s">
        <v>538</v>
      </c>
      <c r="J44" s="64">
        <f>J42-(J42*J43/100)</f>
        <v>12.020606588644497</v>
      </c>
      <c r="K44" s="60"/>
      <c r="L44" s="60"/>
      <c r="M44" s="60"/>
      <c r="N44" s="60"/>
      <c r="O44" s="60"/>
      <c r="P44" s="60"/>
      <c r="Q44" s="63"/>
    </row>
    <row r="45" spans="1:17" x14ac:dyDescent="0.2">
      <c r="A45" s="14" t="s">
        <v>364</v>
      </c>
      <c r="B45" s="60"/>
      <c r="C45" s="18"/>
      <c r="E45" s="12" t="s">
        <v>370</v>
      </c>
      <c r="H45" s="59" t="s">
        <v>350</v>
      </c>
      <c r="I45" s="60" t="s">
        <v>14</v>
      </c>
      <c r="J45" s="66">
        <f>'Data input and ouput'!C37</f>
        <v>80</v>
      </c>
      <c r="K45" s="60"/>
      <c r="L45" s="60"/>
      <c r="M45" s="60"/>
      <c r="N45" s="60"/>
      <c r="O45" s="60"/>
      <c r="P45" s="60"/>
      <c r="Q45" s="63"/>
    </row>
    <row r="46" spans="1:17" ht="17.25" x14ac:dyDescent="0.2">
      <c r="A46" s="14" t="s">
        <v>365</v>
      </c>
      <c r="B46" s="60" t="s">
        <v>538</v>
      </c>
      <c r="C46" s="18">
        <f>J57</f>
        <v>20.128977809584029</v>
      </c>
      <c r="E46" s="67">
        <f>C46/C48</f>
        <v>0.8291201750497138</v>
      </c>
      <c r="H46" s="59" t="s">
        <v>351</v>
      </c>
      <c r="I46" s="60" t="s">
        <v>538</v>
      </c>
      <c r="J46" s="68">
        <f>J44*100/J45</f>
        <v>15.025758235805622</v>
      </c>
      <c r="K46" s="60"/>
      <c r="L46" s="60"/>
      <c r="M46" s="60"/>
      <c r="N46" s="60"/>
      <c r="O46" s="60"/>
      <c r="P46" s="60"/>
      <c r="Q46" s="63"/>
    </row>
    <row r="47" spans="1:17" ht="14.25" customHeight="1" x14ac:dyDescent="0.2">
      <c r="A47" s="14" t="s">
        <v>366</v>
      </c>
      <c r="B47" s="60" t="s">
        <v>538</v>
      </c>
      <c r="C47" s="15">
        <f>J67</f>
        <v>4.1485375799999993</v>
      </c>
      <c r="E47" s="67">
        <f>C47/C48</f>
        <v>0.17087982495028625</v>
      </c>
      <c r="H47" s="59"/>
      <c r="I47" s="60"/>
      <c r="J47" s="60"/>
      <c r="K47" s="60"/>
      <c r="L47" s="60"/>
      <c r="M47" s="60"/>
      <c r="N47" s="60"/>
      <c r="O47" s="60"/>
      <c r="P47" s="60"/>
      <c r="Q47" s="63"/>
    </row>
    <row r="48" spans="1:17" ht="17.25" x14ac:dyDescent="0.2">
      <c r="A48" s="14" t="s">
        <v>368</v>
      </c>
      <c r="B48" s="60" t="s">
        <v>538</v>
      </c>
      <c r="C48" s="18">
        <f>SUM(C46:C47)</f>
        <v>24.277515389584028</v>
      </c>
      <c r="E48" s="67">
        <f>C48/C48</f>
        <v>1</v>
      </c>
      <c r="H48" s="59" t="s">
        <v>340</v>
      </c>
      <c r="I48" s="60" t="s">
        <v>538</v>
      </c>
      <c r="J48" s="64">
        <f>24*M48*P48*(J18-Summary!G22)/1000</f>
        <v>1.0631707445371683</v>
      </c>
      <c r="K48" s="60"/>
      <c r="L48" s="60" t="s">
        <v>341</v>
      </c>
      <c r="M48" s="64">
        <f>((J70/2)^2)*PI()</f>
        <v>8.4378630518822888</v>
      </c>
      <c r="N48" s="60" t="s">
        <v>420</v>
      </c>
      <c r="O48" s="60" t="s">
        <v>345</v>
      </c>
      <c r="P48" s="69">
        <v>0.35</v>
      </c>
      <c r="Q48" s="63" t="s">
        <v>539</v>
      </c>
    </row>
    <row r="49" spans="1:19" ht="17.25" x14ac:dyDescent="0.2">
      <c r="H49" s="59" t="s">
        <v>348</v>
      </c>
      <c r="I49" s="60" t="s">
        <v>538</v>
      </c>
      <c r="J49" s="64">
        <f>24*M49*P49*(J18-Summary!G22)/1000</f>
        <v>4.2526829781486732</v>
      </c>
      <c r="K49" s="60"/>
      <c r="L49" s="60" t="s">
        <v>343</v>
      </c>
      <c r="M49" s="64">
        <f>J70*PI()*J71</f>
        <v>33.751452207529155</v>
      </c>
      <c r="N49" s="60" t="s">
        <v>420</v>
      </c>
      <c r="O49" s="60" t="s">
        <v>345</v>
      </c>
      <c r="P49" s="69">
        <v>0.35</v>
      </c>
      <c r="Q49" s="63" t="s">
        <v>539</v>
      </c>
    </row>
    <row r="50" spans="1:19" ht="14.25" customHeight="1" x14ac:dyDescent="0.2">
      <c r="H50" s="59" t="s">
        <v>342</v>
      </c>
      <c r="I50" s="60" t="s">
        <v>538</v>
      </c>
      <c r="J50" s="64">
        <f>24*M50*P50*(J18-Summary!G22)/1000</f>
        <v>1.0631707445371683</v>
      </c>
      <c r="K50" s="60"/>
      <c r="L50" s="60" t="s">
        <v>344</v>
      </c>
      <c r="M50" s="64">
        <f>((J70/2)^2)*PI()</f>
        <v>8.4378630518822888</v>
      </c>
      <c r="N50" s="60" t="s">
        <v>420</v>
      </c>
      <c r="O50" s="60" t="s">
        <v>345</v>
      </c>
      <c r="P50" s="69">
        <v>0.35</v>
      </c>
      <c r="Q50" s="63" t="s">
        <v>539</v>
      </c>
    </row>
    <row r="51" spans="1:19" ht="17.25" x14ac:dyDescent="0.2">
      <c r="A51" s="14" t="s">
        <v>367</v>
      </c>
      <c r="B51" s="60" t="s">
        <v>538</v>
      </c>
      <c r="C51" s="70">
        <f>C43-C48</f>
        <v>480.9247626062716</v>
      </c>
      <c r="H51" s="59" t="s">
        <v>346</v>
      </c>
      <c r="I51" s="60" t="s">
        <v>538</v>
      </c>
      <c r="J51" s="64">
        <f>SUM(J48:J50)</f>
        <v>6.3790244672230099</v>
      </c>
      <c r="K51" s="60"/>
      <c r="L51" s="60"/>
      <c r="M51" s="60"/>
      <c r="N51" s="60"/>
      <c r="O51" s="60"/>
      <c r="P51" s="60"/>
      <c r="Q51" s="63"/>
    </row>
    <row r="52" spans="1:19" x14ac:dyDescent="0.2">
      <c r="A52" s="14" t="s">
        <v>373</v>
      </c>
      <c r="B52" s="60"/>
      <c r="C52" s="70">
        <f>C43/C48</f>
        <v>20.809472052177401</v>
      </c>
      <c r="H52" s="59"/>
      <c r="I52" s="60"/>
      <c r="J52" s="64"/>
      <c r="K52" s="60"/>
      <c r="L52" s="60"/>
      <c r="M52" s="60"/>
      <c r="N52" s="60"/>
      <c r="O52" s="60"/>
      <c r="P52" s="60"/>
      <c r="Q52" s="63"/>
    </row>
    <row r="53" spans="1:19" x14ac:dyDescent="0.2">
      <c r="A53" s="14" t="s">
        <v>374</v>
      </c>
      <c r="B53" s="60" t="s">
        <v>14</v>
      </c>
      <c r="C53" s="70">
        <f>C48*100/C43</f>
        <v>4.8055039430727158</v>
      </c>
      <c r="H53" s="59"/>
      <c r="I53" s="60"/>
      <c r="J53" s="64"/>
      <c r="K53" s="60"/>
      <c r="L53" s="60"/>
      <c r="M53" s="60"/>
      <c r="N53" s="60"/>
      <c r="O53" s="60"/>
      <c r="P53" s="60"/>
      <c r="Q53" s="63"/>
    </row>
    <row r="54" spans="1:19" x14ac:dyDescent="0.2">
      <c r="H54" s="59" t="s">
        <v>350</v>
      </c>
      <c r="I54" s="60" t="s">
        <v>14</v>
      </c>
      <c r="J54" s="68">
        <f>'Data input and ouput'!C37</f>
        <v>80</v>
      </c>
      <c r="K54" s="60"/>
      <c r="L54" s="60"/>
      <c r="M54" s="60"/>
      <c r="N54" s="60"/>
      <c r="O54" s="60"/>
      <c r="P54" s="60"/>
      <c r="Q54" s="63"/>
    </row>
    <row r="55" spans="1:19" ht="17.25" x14ac:dyDescent="0.2">
      <c r="A55" s="14" t="s">
        <v>371</v>
      </c>
      <c r="B55" s="12" t="s">
        <v>540</v>
      </c>
      <c r="C55" s="29">
        <f>C48/(J26*24)</f>
        <v>3.6575411999739002E-2</v>
      </c>
      <c r="H55" s="59" t="s">
        <v>352</v>
      </c>
      <c r="I55" s="60" t="s">
        <v>538</v>
      </c>
      <c r="J55" s="68">
        <f>J51*J54/100</f>
        <v>5.1032195737784081</v>
      </c>
      <c r="K55" s="60"/>
      <c r="L55" s="60"/>
      <c r="M55" s="60"/>
      <c r="N55" s="60"/>
      <c r="O55" s="60"/>
      <c r="P55" s="60"/>
      <c r="Q55" s="63"/>
    </row>
    <row r="56" spans="1:19" x14ac:dyDescent="0.2">
      <c r="H56" s="59"/>
      <c r="I56" s="60"/>
      <c r="J56" s="68"/>
      <c r="K56" s="60"/>
      <c r="L56" s="60"/>
      <c r="M56" s="60"/>
      <c r="N56" s="60"/>
      <c r="O56" s="60"/>
      <c r="P56" s="60"/>
      <c r="Q56" s="63"/>
    </row>
    <row r="57" spans="1:19" ht="17.25" x14ac:dyDescent="0.2">
      <c r="H57" s="59" t="s">
        <v>353</v>
      </c>
      <c r="I57" s="60" t="s">
        <v>538</v>
      </c>
      <c r="J57" s="68">
        <f>J55+J46</f>
        <v>20.128977809584029</v>
      </c>
      <c r="K57" s="60"/>
      <c r="L57" s="60" t="s">
        <v>354</v>
      </c>
      <c r="M57" s="60"/>
      <c r="N57" s="60"/>
      <c r="O57" s="60"/>
      <c r="P57" s="71">
        <f>J55/J46</f>
        <v>0.33963141784204232</v>
      </c>
      <c r="Q57" s="63"/>
    </row>
    <row r="58" spans="1:19" x14ac:dyDescent="0.2">
      <c r="H58" s="59"/>
      <c r="I58" s="60"/>
      <c r="J58" s="60"/>
      <c r="K58" s="60"/>
      <c r="L58" s="60"/>
      <c r="M58" s="60"/>
      <c r="N58" s="60"/>
      <c r="O58" s="60"/>
      <c r="P58" s="71"/>
      <c r="Q58" s="63"/>
    </row>
    <row r="59" spans="1:19" x14ac:dyDescent="0.2">
      <c r="H59" s="59" t="s">
        <v>372</v>
      </c>
      <c r="I59" s="60" t="s">
        <v>191</v>
      </c>
      <c r="J59" s="72">
        <f>J51*3600/(M41*J26*Density)</f>
        <v>0.19900278389182166</v>
      </c>
      <c r="K59" s="60"/>
      <c r="L59" s="60" t="s">
        <v>541</v>
      </c>
      <c r="M59" s="60"/>
      <c r="N59" s="60"/>
      <c r="O59" s="60"/>
      <c r="P59" s="71"/>
      <c r="Q59" s="63"/>
    </row>
    <row r="60" spans="1:19" ht="15" thickBot="1" x14ac:dyDescent="0.25">
      <c r="H60" s="73"/>
      <c r="I60" s="74"/>
      <c r="J60" s="74"/>
      <c r="K60" s="74"/>
      <c r="L60" s="74"/>
      <c r="M60" s="74"/>
      <c r="N60" s="74"/>
      <c r="O60" s="74"/>
      <c r="P60" s="74"/>
      <c r="Q60" s="75"/>
    </row>
    <row r="61" spans="1:19" ht="15.75" thickTop="1" thickBot="1" x14ac:dyDescent="0.25"/>
    <row r="62" spans="1:19" ht="15" thickTop="1" x14ac:dyDescent="0.2">
      <c r="H62" s="76" t="s">
        <v>333</v>
      </c>
      <c r="I62" s="77"/>
      <c r="J62" s="77"/>
      <c r="K62" s="77"/>
      <c r="L62" s="77"/>
      <c r="M62" s="77"/>
      <c r="N62" s="77"/>
      <c r="O62" s="77"/>
      <c r="P62" s="77"/>
      <c r="Q62" s="77"/>
      <c r="R62" s="77"/>
      <c r="S62" s="78"/>
    </row>
    <row r="63" spans="1:19" x14ac:dyDescent="0.2">
      <c r="H63" s="79"/>
      <c r="I63" s="60"/>
      <c r="J63" s="60"/>
      <c r="K63" s="60"/>
      <c r="L63" s="60"/>
      <c r="M63" s="60"/>
      <c r="N63" s="60"/>
      <c r="O63" s="60"/>
      <c r="P63" s="60"/>
      <c r="Q63" s="60"/>
      <c r="R63" s="60"/>
      <c r="S63" s="80"/>
    </row>
    <row r="64" spans="1:19" ht="17.25" x14ac:dyDescent="0.2">
      <c r="A64" s="12"/>
      <c r="H64" s="79" t="s">
        <v>355</v>
      </c>
      <c r="I64" s="60" t="s">
        <v>542</v>
      </c>
      <c r="J64" s="69">
        <v>5</v>
      </c>
      <c r="K64" s="60"/>
      <c r="L64" s="60"/>
      <c r="M64" s="60"/>
      <c r="N64" s="60"/>
      <c r="O64" s="60"/>
      <c r="P64" s="60"/>
      <c r="Q64" s="60"/>
      <c r="R64" s="60"/>
      <c r="S64" s="80"/>
    </row>
    <row r="65" spans="1:19" ht="17.25" x14ac:dyDescent="0.2">
      <c r="A65" s="12"/>
      <c r="H65" s="79" t="s">
        <v>333</v>
      </c>
      <c r="I65" s="60" t="s">
        <v>538</v>
      </c>
      <c r="J65" s="72">
        <f>24*J64*J26/1000</f>
        <v>3.3188300639999992</v>
      </c>
      <c r="K65" s="60"/>
      <c r="L65" s="60"/>
      <c r="M65" s="60"/>
      <c r="N65" s="60"/>
      <c r="O65" s="60"/>
      <c r="P65" s="60"/>
      <c r="Q65" s="60"/>
      <c r="R65" s="60"/>
      <c r="S65" s="80"/>
    </row>
    <row r="66" spans="1:19" x14ac:dyDescent="0.2">
      <c r="A66" s="12"/>
      <c r="H66" s="79" t="s">
        <v>356</v>
      </c>
      <c r="I66" s="60" t="s">
        <v>14</v>
      </c>
      <c r="J66" s="81">
        <f>Mixer_Efficiency</f>
        <v>80</v>
      </c>
      <c r="K66" s="60"/>
      <c r="L66" s="60"/>
      <c r="M66" s="60"/>
      <c r="N66" s="60"/>
      <c r="O66" s="60"/>
      <c r="P66" s="60"/>
      <c r="Q66" s="60"/>
      <c r="R66" s="60"/>
      <c r="S66" s="80"/>
    </row>
    <row r="67" spans="1:19" ht="17.25" x14ac:dyDescent="0.2">
      <c r="A67" s="12"/>
      <c r="H67" s="79" t="s">
        <v>357</v>
      </c>
      <c r="I67" s="60" t="s">
        <v>538</v>
      </c>
      <c r="J67" s="72">
        <f>J65*100/J66</f>
        <v>4.1485375799999993</v>
      </c>
      <c r="K67" s="60"/>
      <c r="L67" s="60" t="s">
        <v>361</v>
      </c>
      <c r="M67" s="60" t="s">
        <v>109</v>
      </c>
      <c r="N67" s="64">
        <f>J67/24</f>
        <v>0.17285573249999997</v>
      </c>
      <c r="O67" s="60"/>
      <c r="P67" s="60"/>
      <c r="Q67" s="60"/>
      <c r="R67" s="60"/>
      <c r="S67" s="80"/>
    </row>
    <row r="68" spans="1:19" x14ac:dyDescent="0.2">
      <c r="A68" s="12"/>
      <c r="H68" s="79"/>
      <c r="I68" s="60"/>
      <c r="J68" s="60"/>
      <c r="K68" s="60"/>
      <c r="L68" s="60"/>
      <c r="M68" s="60"/>
      <c r="N68" s="60"/>
      <c r="O68" s="60"/>
      <c r="P68" s="60"/>
      <c r="Q68" s="60"/>
      <c r="R68" s="60"/>
      <c r="S68" s="80"/>
    </row>
    <row r="69" spans="1:19" x14ac:dyDescent="0.2">
      <c r="H69" s="79"/>
      <c r="I69" s="60"/>
      <c r="J69" s="60"/>
      <c r="K69" s="60"/>
      <c r="L69" s="60"/>
      <c r="M69" s="60"/>
      <c r="N69" s="60"/>
      <c r="O69" s="60"/>
      <c r="P69" s="60"/>
      <c r="Q69" s="60"/>
      <c r="R69" s="60"/>
      <c r="S69" s="80"/>
    </row>
    <row r="70" spans="1:19" x14ac:dyDescent="0.2">
      <c r="H70" s="79" t="s">
        <v>334</v>
      </c>
      <c r="I70" s="72" t="s">
        <v>143</v>
      </c>
      <c r="J70" s="72">
        <f>(J26*4/PI())^0.333333333</f>
        <v>3.2777158068869023</v>
      </c>
      <c r="K70" s="60"/>
      <c r="L70" s="60"/>
      <c r="M70" s="60"/>
      <c r="N70" s="60"/>
      <c r="O70" s="60"/>
      <c r="P70" s="60"/>
      <c r="Q70" s="60"/>
      <c r="R70" s="60"/>
      <c r="S70" s="80"/>
    </row>
    <row r="71" spans="1:19" x14ac:dyDescent="0.2">
      <c r="H71" s="79" t="s">
        <v>335</v>
      </c>
      <c r="I71" s="72" t="s">
        <v>143</v>
      </c>
      <c r="J71" s="72">
        <f>J70</f>
        <v>3.2777158068869023</v>
      </c>
      <c r="K71" s="60" t="s">
        <v>337</v>
      </c>
      <c r="L71" s="60"/>
      <c r="M71" s="60"/>
      <c r="N71" s="60"/>
      <c r="O71" s="60"/>
      <c r="P71" s="60"/>
      <c r="Q71" s="60"/>
      <c r="R71" s="60"/>
      <c r="S71" s="80"/>
    </row>
    <row r="72" spans="1:19" ht="18.75" x14ac:dyDescent="0.35">
      <c r="H72" s="79" t="s">
        <v>543</v>
      </c>
      <c r="I72" s="60" t="s">
        <v>143</v>
      </c>
      <c r="J72" s="72">
        <f>J70/3</f>
        <v>1.0925719356289674</v>
      </c>
      <c r="K72" s="60" t="s">
        <v>336</v>
      </c>
      <c r="L72" s="60"/>
      <c r="M72" s="60"/>
      <c r="N72" s="60"/>
      <c r="O72" s="60"/>
      <c r="P72" s="60"/>
      <c r="Q72" s="60"/>
      <c r="R72" s="60"/>
      <c r="S72" s="80"/>
    </row>
    <row r="73" spans="1:19" x14ac:dyDescent="0.2">
      <c r="H73" s="79" t="s">
        <v>339</v>
      </c>
      <c r="I73" s="60"/>
      <c r="J73" s="60">
        <v>5.5</v>
      </c>
      <c r="K73" s="60"/>
      <c r="L73" s="60" t="s">
        <v>338</v>
      </c>
      <c r="M73" s="60"/>
      <c r="N73" s="60"/>
      <c r="O73" s="60"/>
      <c r="P73" s="60"/>
      <c r="Q73" s="60"/>
      <c r="R73" s="60"/>
      <c r="S73" s="80"/>
    </row>
    <row r="74" spans="1:19" x14ac:dyDescent="0.2">
      <c r="H74" s="79" t="s">
        <v>358</v>
      </c>
      <c r="I74" s="60" t="s">
        <v>360</v>
      </c>
      <c r="J74" s="72">
        <f>L74*60</f>
        <v>1.0993124883040553</v>
      </c>
      <c r="K74" s="60" t="s">
        <v>359</v>
      </c>
      <c r="L74" s="82">
        <f>(J65/(J64*J26*Density*AD!J26*(AD!J72^5))^(1/3))</f>
        <v>1.8321874805067587E-2</v>
      </c>
      <c r="M74" s="60"/>
      <c r="N74" s="60"/>
      <c r="O74" s="60"/>
      <c r="P74" s="60"/>
      <c r="Q74" s="60"/>
      <c r="R74" s="60"/>
      <c r="S74" s="80"/>
    </row>
    <row r="75" spans="1:19" x14ac:dyDescent="0.2">
      <c r="H75" s="79" t="s">
        <v>362</v>
      </c>
      <c r="I75" s="60"/>
      <c r="J75" s="61">
        <f>(J72^2)*L74*Density/Viscosity</f>
        <v>21788.123930035563</v>
      </c>
      <c r="K75" s="60"/>
      <c r="L75" s="60"/>
      <c r="M75" s="60"/>
      <c r="N75" s="60"/>
      <c r="O75" s="60"/>
      <c r="P75" s="60"/>
      <c r="Q75" s="60"/>
      <c r="R75" s="60"/>
      <c r="S75" s="80"/>
    </row>
    <row r="76" spans="1:19" ht="17.25" x14ac:dyDescent="0.2">
      <c r="H76" s="79" t="s">
        <v>363</v>
      </c>
      <c r="I76" s="60" t="s">
        <v>544</v>
      </c>
      <c r="J76" s="72">
        <f>(J64/Viscosity)^(1/2)</f>
        <v>70.640073330085386</v>
      </c>
      <c r="K76" s="60"/>
      <c r="L76" s="60"/>
      <c r="M76" s="60"/>
      <c r="N76" s="60"/>
      <c r="O76" s="60"/>
      <c r="P76" s="60"/>
      <c r="Q76" s="60"/>
      <c r="R76" s="60"/>
      <c r="S76" s="80"/>
    </row>
    <row r="77" spans="1:19" ht="15" thickBot="1" x14ac:dyDescent="0.25">
      <c r="H77" s="83"/>
      <c r="I77" s="84"/>
      <c r="J77" s="84"/>
      <c r="K77" s="84"/>
      <c r="L77" s="84"/>
      <c r="M77" s="84"/>
      <c r="N77" s="84"/>
      <c r="O77" s="84"/>
      <c r="P77" s="84"/>
      <c r="Q77" s="84"/>
      <c r="R77" s="84"/>
      <c r="S77" s="85"/>
    </row>
    <row r="78" spans="1:19" ht="15" thickTop="1" x14ac:dyDescent="0.2"/>
  </sheetData>
  <dataConsolidate/>
  <conditionalFormatting sqref="K21">
    <cfRule type="iconSet" priority="15">
      <iconSet iconSet="3Symbols2">
        <cfvo type="percent" val="0"/>
        <cfvo type="percent" val="33"/>
        <cfvo type="percent" val="67"/>
      </iconSet>
    </cfRule>
  </conditionalFormatting>
  <conditionalFormatting sqref="I7">
    <cfRule type="iconSet" priority="14">
      <iconSet iconSet="3Symbols2">
        <cfvo type="percent" val="0"/>
        <cfvo type="percent" val="33"/>
        <cfvo type="num" val="&quot;0+$J$21-$J$23&quot;"/>
      </iconSet>
    </cfRule>
  </conditionalFormatting>
  <conditionalFormatting sqref="J33">
    <cfRule type="iconSet" priority="9">
      <iconSet iconSet="3Symbols2">
        <cfvo type="percent" val="0"/>
        <cfvo type="percent" val="33"/>
        <cfvo type="percent" val="67"/>
      </iconSet>
    </cfRule>
  </conditionalFormatting>
  <dataValidations count="2">
    <dataValidation type="whole" allowBlank="1" showInputMessage="1" showErrorMessage="1" sqref="C19">
      <formula1>0</formula1>
      <formula2>100</formula2>
    </dataValidation>
    <dataValidation type="whole" allowBlank="1" showInputMessage="1" showErrorMessage="1" sqref="J19">
      <formula1>5</formula1>
      <formula2>50</formula2>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Data!$A$5:$A$17</xm:f>
          </x14:formula1>
          <xm:sqref>J18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6"/>
  <sheetViews>
    <sheetView topLeftCell="A20" workbookViewId="0">
      <selection activeCell="F37" sqref="F37"/>
    </sheetView>
  </sheetViews>
  <sheetFormatPr defaultRowHeight="14.25" x14ac:dyDescent="0.2"/>
  <cols>
    <col min="1" max="1" width="33.140625" style="14" customWidth="1"/>
    <col min="2" max="2" width="9.140625" style="12"/>
    <col min="3" max="3" width="9.42578125" style="12" bestFit="1" customWidth="1"/>
    <col min="4" max="16384" width="9.140625" style="12"/>
  </cols>
  <sheetData>
    <row r="1" spans="1:14" x14ac:dyDescent="0.2">
      <c r="A1" s="14" t="s">
        <v>221</v>
      </c>
    </row>
    <row r="4" spans="1:14" ht="18.75" x14ac:dyDescent="0.35">
      <c r="G4" s="12" t="s">
        <v>545</v>
      </c>
    </row>
    <row r="7" spans="1:14" x14ac:dyDescent="0.2">
      <c r="K7" s="12" t="s">
        <v>4</v>
      </c>
    </row>
    <row r="9" spans="1:14" x14ac:dyDescent="0.2">
      <c r="N9" s="12" t="s">
        <v>220</v>
      </c>
    </row>
    <row r="10" spans="1:14" x14ac:dyDescent="0.2">
      <c r="E10" s="12" t="s">
        <v>11</v>
      </c>
    </row>
    <row r="14" spans="1:14" x14ac:dyDescent="0.2">
      <c r="E14" s="12" t="s">
        <v>10</v>
      </c>
      <c r="J14" s="12" t="s">
        <v>12</v>
      </c>
    </row>
    <row r="19" spans="1:14" x14ac:dyDescent="0.2">
      <c r="A19" s="38" t="s">
        <v>165</v>
      </c>
    </row>
    <row r="20" spans="1:14" x14ac:dyDescent="0.2">
      <c r="A20" s="49" t="s">
        <v>222</v>
      </c>
      <c r="E20" s="31"/>
    </row>
    <row r="21" spans="1:14" x14ac:dyDescent="0.2">
      <c r="A21" s="47" t="s">
        <v>223</v>
      </c>
    </row>
    <row r="23" spans="1:14" x14ac:dyDescent="0.2">
      <c r="A23" s="14" t="s">
        <v>260</v>
      </c>
    </row>
    <row r="24" spans="1:14" ht="19.5" x14ac:dyDescent="0.35">
      <c r="A24" s="14" t="s">
        <v>546</v>
      </c>
      <c r="B24" s="12" t="s">
        <v>547</v>
      </c>
      <c r="C24" s="28">
        <f>Summary!G88</f>
        <v>6.2778216973253531E-3</v>
      </c>
      <c r="I24" s="12" t="s">
        <v>548</v>
      </c>
    </row>
    <row r="25" spans="1:14" ht="19.5" x14ac:dyDescent="0.35">
      <c r="A25" s="14" t="s">
        <v>549</v>
      </c>
      <c r="B25" s="12" t="s">
        <v>550</v>
      </c>
      <c r="C25" s="15">
        <f>0.932*5.32*(Summary!D51^0.67)/(Summary!D45^1.85)</f>
        <v>20.526951872997625</v>
      </c>
      <c r="D25" s="12" t="s">
        <v>544</v>
      </c>
      <c r="E25" s="28">
        <f>C25/(24*3600)</f>
        <v>2.3758046149302808E-4</v>
      </c>
      <c r="I25" s="12" t="s">
        <v>551</v>
      </c>
      <c r="M25" s="12" t="s">
        <v>263</v>
      </c>
      <c r="N25" s="12">
        <v>2.71828</v>
      </c>
    </row>
    <row r="26" spans="1:14" ht="17.25" x14ac:dyDescent="0.2">
      <c r="A26" s="14" t="s">
        <v>262</v>
      </c>
      <c r="B26" s="12" t="s">
        <v>547</v>
      </c>
      <c r="C26" s="28">
        <f>C24/(EXP(-E25*Summary!L51))</f>
        <v>9.1045099820759451E-3</v>
      </c>
      <c r="E26" s="28"/>
      <c r="I26" s="12" t="s">
        <v>552</v>
      </c>
    </row>
    <row r="27" spans="1:14" x14ac:dyDescent="0.2">
      <c r="E27" s="28"/>
      <c r="I27" s="12" t="s">
        <v>264</v>
      </c>
    </row>
    <row r="28" spans="1:14" ht="17.25" x14ac:dyDescent="0.2">
      <c r="E28" s="28"/>
      <c r="I28" s="12" t="s">
        <v>553</v>
      </c>
    </row>
    <row r="29" spans="1:14" x14ac:dyDescent="0.2">
      <c r="A29" s="14" t="s">
        <v>265</v>
      </c>
      <c r="E29" s="28"/>
    </row>
    <row r="30" spans="1:14" ht="19.5" x14ac:dyDescent="0.35">
      <c r="A30" s="14" t="s">
        <v>266</v>
      </c>
      <c r="B30" s="12" t="s">
        <v>554</v>
      </c>
      <c r="C30" s="28">
        <f>'Algal Comp Calcs'!AB15*(Summary!G42*'Algal Comp Calcs'!S15/(100*3600*Summary!D79))*(1/Summary!D45)</f>
        <v>3.1073994285230658E-3</v>
      </c>
      <c r="E30" s="28"/>
      <c r="I30" s="12" t="s">
        <v>555</v>
      </c>
    </row>
    <row r="31" spans="1:14" ht="18.75" x14ac:dyDescent="0.3">
      <c r="A31" s="14" t="s">
        <v>556</v>
      </c>
      <c r="B31" s="12" t="s">
        <v>267</v>
      </c>
      <c r="C31" s="15">
        <f>C25/0.932</f>
        <v>22.024626473173416</v>
      </c>
      <c r="D31" s="12" t="s">
        <v>544</v>
      </c>
      <c r="E31" s="28">
        <f>C31/(24*3600)</f>
        <v>2.5491465825432195E-4</v>
      </c>
      <c r="I31" s="12" t="s">
        <v>281</v>
      </c>
    </row>
    <row r="32" spans="1:14" ht="19.5" x14ac:dyDescent="0.35">
      <c r="A32" s="14" t="s">
        <v>557</v>
      </c>
      <c r="B32" s="12" t="s">
        <v>558</v>
      </c>
      <c r="C32" s="15">
        <f>(C30/E31)+N34</f>
        <v>21.801847060533603</v>
      </c>
      <c r="D32" s="12" t="s">
        <v>547</v>
      </c>
      <c r="E32" s="28">
        <f>C32/1000</f>
        <v>2.1801847060533605E-2</v>
      </c>
      <c r="I32" s="12" t="s">
        <v>559</v>
      </c>
      <c r="M32" s="12" t="s">
        <v>560</v>
      </c>
      <c r="N32" s="15">
        <f>VLOOKUP(Summary!D106,Data!A26:G38,3)</f>
        <v>45.770891866790159</v>
      </c>
    </row>
    <row r="33" spans="1:15" ht="18.75" x14ac:dyDescent="0.35">
      <c r="I33" s="12" t="s">
        <v>561</v>
      </c>
      <c r="M33" s="12" t="s">
        <v>282</v>
      </c>
      <c r="N33" s="15">
        <v>21</v>
      </c>
    </row>
    <row r="34" spans="1:15" ht="19.5" x14ac:dyDescent="0.35">
      <c r="I34" s="12" t="s">
        <v>562</v>
      </c>
      <c r="M34" s="12" t="s">
        <v>558</v>
      </c>
      <c r="N34" s="15">
        <f>IF(O34=1,N32*N33/100,N32*N33*0.8/100)</f>
        <v>9.6118872920259335</v>
      </c>
      <c r="O34" s="86">
        <f>Summary!D105</f>
        <v>1</v>
      </c>
    </row>
    <row r="35" spans="1:15" x14ac:dyDescent="0.2">
      <c r="A35" s="14" t="s">
        <v>254</v>
      </c>
    </row>
    <row r="40" spans="1:15" x14ac:dyDescent="0.2">
      <c r="A40" s="14" t="s">
        <v>438</v>
      </c>
    </row>
    <row r="46" spans="1:15" x14ac:dyDescent="0.2">
      <c r="A46" s="14" t="s">
        <v>255</v>
      </c>
    </row>
  </sheetData>
  <pageMargins left="0.7" right="0.7" top="0.75" bottom="0.75" header="0.3" footer="0.3"/>
  <pageSetup paperSize="8" scale="84"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6"/>
  <sheetViews>
    <sheetView workbookViewId="0">
      <selection activeCell="D7" sqref="D7"/>
    </sheetView>
  </sheetViews>
  <sheetFormatPr defaultRowHeight="14.25" x14ac:dyDescent="0.2"/>
  <cols>
    <col min="1" max="4" width="9.140625" style="12"/>
    <col min="5" max="5" width="12" style="12" customWidth="1"/>
    <col min="6" max="6" width="9.140625" style="12"/>
    <col min="7" max="7" width="11.5703125" style="12" customWidth="1"/>
    <col min="8" max="9" width="9.140625" style="12"/>
    <col min="10" max="10" width="12" style="12" customWidth="1"/>
    <col min="11" max="12" width="9.140625" style="12"/>
    <col min="13" max="13" width="12.42578125" style="12" customWidth="1"/>
    <col min="14" max="16384" width="9.140625" style="12"/>
  </cols>
  <sheetData>
    <row r="1" spans="1:11" x14ac:dyDescent="0.2">
      <c r="A1" s="12" t="s">
        <v>244</v>
      </c>
      <c r="F1" s="12" t="s">
        <v>245</v>
      </c>
      <c r="J1" s="12" t="s">
        <v>251</v>
      </c>
    </row>
    <row r="2" spans="1:11" x14ac:dyDescent="0.2">
      <c r="A2" s="12">
        <v>1</v>
      </c>
      <c r="B2" s="12">
        <v>2</v>
      </c>
      <c r="C2" s="12">
        <v>3</v>
      </c>
      <c r="D2" s="12">
        <v>4</v>
      </c>
      <c r="E2" s="12">
        <v>5</v>
      </c>
      <c r="F2" s="12">
        <v>6</v>
      </c>
      <c r="G2" s="12">
        <v>7</v>
      </c>
      <c r="J2" s="12" t="s">
        <v>252</v>
      </c>
      <c r="K2" s="12" t="s">
        <v>253</v>
      </c>
    </row>
    <row r="3" spans="1:11" x14ac:dyDescent="0.2">
      <c r="A3" s="12" t="s">
        <v>246</v>
      </c>
      <c r="C3" s="12" t="s">
        <v>247</v>
      </c>
      <c r="D3" s="12" t="s">
        <v>500</v>
      </c>
      <c r="F3" s="12" t="s">
        <v>247</v>
      </c>
      <c r="G3" s="12" t="s">
        <v>500</v>
      </c>
    </row>
    <row r="4" spans="1:11" x14ac:dyDescent="0.2">
      <c r="A4" s="12" t="s">
        <v>191</v>
      </c>
      <c r="C4" s="12" t="s">
        <v>248</v>
      </c>
      <c r="D4" s="12" t="s">
        <v>563</v>
      </c>
      <c r="F4" s="12" t="s">
        <v>248</v>
      </c>
      <c r="G4" s="12" t="s">
        <v>563</v>
      </c>
    </row>
    <row r="5" spans="1:11" x14ac:dyDescent="0.2">
      <c r="A5" s="12">
        <v>10</v>
      </c>
      <c r="C5" s="12">
        <v>999.7</v>
      </c>
      <c r="D5" s="12">
        <v>1307</v>
      </c>
      <c r="F5" s="18">
        <v>1027.0785527430558</v>
      </c>
      <c r="G5" s="12">
        <v>1379</v>
      </c>
    </row>
    <row r="6" spans="1:11" x14ac:dyDescent="0.2">
      <c r="A6" s="12">
        <v>15</v>
      </c>
      <c r="C6" s="12">
        <v>999.1</v>
      </c>
      <c r="D6" s="12">
        <v>1138</v>
      </c>
      <c r="F6" s="18">
        <v>1025.8782589105904</v>
      </c>
      <c r="G6" s="12">
        <v>1212</v>
      </c>
    </row>
    <row r="7" spans="1:11" x14ac:dyDescent="0.2">
      <c r="A7" s="12">
        <v>20</v>
      </c>
      <c r="C7" s="12">
        <v>998.2</v>
      </c>
      <c r="D7" s="12">
        <v>1002</v>
      </c>
      <c r="F7" s="18">
        <v>1024.5264833333333</v>
      </c>
      <c r="G7" s="12">
        <v>1073</v>
      </c>
    </row>
    <row r="8" spans="1:11" x14ac:dyDescent="0.2">
      <c r="A8" s="12">
        <v>25</v>
      </c>
      <c r="C8" s="12">
        <v>997.1</v>
      </c>
      <c r="D8" s="12">
        <v>889</v>
      </c>
      <c r="F8" s="18">
        <v>1023.0256591102432</v>
      </c>
      <c r="G8" s="12">
        <v>958</v>
      </c>
    </row>
    <row r="9" spans="1:11" x14ac:dyDescent="0.2">
      <c r="A9" s="12">
        <v>30</v>
      </c>
      <c r="C9" s="12">
        <v>995.7</v>
      </c>
      <c r="D9" s="12">
        <v>796</v>
      </c>
      <c r="F9" s="18">
        <v>1021.3782193402778</v>
      </c>
      <c r="G9" s="12">
        <v>861</v>
      </c>
    </row>
    <row r="10" spans="1:11" x14ac:dyDescent="0.2">
      <c r="A10" s="12">
        <v>35</v>
      </c>
      <c r="C10" s="12">
        <v>994.1</v>
      </c>
      <c r="D10" s="12">
        <v>718</v>
      </c>
      <c r="F10" s="18">
        <v>1019.586597122396</v>
      </c>
      <c r="G10" s="12">
        <v>778</v>
      </c>
    </row>
    <row r="11" spans="1:11" x14ac:dyDescent="0.2">
      <c r="A11" s="12">
        <v>40</v>
      </c>
      <c r="C11" s="12">
        <v>992.2</v>
      </c>
      <c r="D11" s="12">
        <v>652</v>
      </c>
      <c r="F11" s="18">
        <v>1017.6532255555558</v>
      </c>
      <c r="G11" s="12">
        <v>707</v>
      </c>
    </row>
    <row r="12" spans="1:11" x14ac:dyDescent="0.2">
      <c r="A12" s="12">
        <v>45</v>
      </c>
      <c r="C12" s="12">
        <v>990.2</v>
      </c>
      <c r="D12" s="12">
        <v>595</v>
      </c>
      <c r="F12" s="18">
        <v>1015.5805377387155</v>
      </c>
      <c r="G12" s="12">
        <v>646</v>
      </c>
    </row>
    <row r="13" spans="1:11" x14ac:dyDescent="0.2">
      <c r="A13" s="12">
        <v>50</v>
      </c>
      <c r="C13" s="12">
        <v>988.1</v>
      </c>
      <c r="D13" s="12">
        <v>547</v>
      </c>
      <c r="F13" s="18">
        <v>1013.3709667708333</v>
      </c>
      <c r="G13" s="12">
        <v>593</v>
      </c>
    </row>
    <row r="14" spans="1:11" x14ac:dyDescent="0.2">
      <c r="A14" s="12">
        <v>55</v>
      </c>
      <c r="C14" s="12">
        <v>985.7</v>
      </c>
      <c r="D14" s="12">
        <v>504</v>
      </c>
      <c r="F14" s="18">
        <v>1011.0269457508683</v>
      </c>
      <c r="G14" s="12">
        <v>547</v>
      </c>
    </row>
    <row r="15" spans="1:11" x14ac:dyDescent="0.2">
      <c r="A15" s="12">
        <v>60</v>
      </c>
      <c r="C15" s="12">
        <v>983.2</v>
      </c>
      <c r="D15" s="12">
        <v>467</v>
      </c>
      <c r="F15" s="18">
        <v>1008.5509077777779</v>
      </c>
      <c r="G15" s="12">
        <v>507</v>
      </c>
    </row>
    <row r="16" spans="1:11" x14ac:dyDescent="0.2">
      <c r="A16" s="12">
        <v>65</v>
      </c>
      <c r="C16" s="12">
        <v>980.6</v>
      </c>
      <c r="D16" s="12">
        <v>434</v>
      </c>
      <c r="F16" s="18">
        <v>1005.9452859505211</v>
      </c>
      <c r="G16" s="12">
        <v>471</v>
      </c>
    </row>
    <row r="17" spans="1:15" x14ac:dyDescent="0.2">
      <c r="A17" s="12">
        <v>70</v>
      </c>
      <c r="C17" s="12">
        <v>977.8</v>
      </c>
      <c r="D17" s="12">
        <v>405</v>
      </c>
      <c r="F17" s="18">
        <v>1003.2125133680556</v>
      </c>
      <c r="G17" s="12">
        <v>439</v>
      </c>
    </row>
    <row r="19" spans="1:15" x14ac:dyDescent="0.2">
      <c r="A19" s="12" t="s">
        <v>249</v>
      </c>
      <c r="F19" s="12" t="s">
        <v>250</v>
      </c>
    </row>
    <row r="22" spans="1:15" ht="19.5" x14ac:dyDescent="0.35">
      <c r="B22" s="12" t="s">
        <v>271</v>
      </c>
      <c r="C22" s="12" t="s">
        <v>272</v>
      </c>
      <c r="D22" s="12">
        <f>0.0013</f>
        <v>1.2999999999999999E-3</v>
      </c>
      <c r="E22" s="12" t="s">
        <v>565</v>
      </c>
      <c r="F22" s="12" t="s">
        <v>273</v>
      </c>
      <c r="G22" s="12">
        <v>3.4000000000000002E-2</v>
      </c>
      <c r="H22" s="12" t="s">
        <v>565</v>
      </c>
      <c r="J22" s="12" t="s">
        <v>566</v>
      </c>
    </row>
    <row r="23" spans="1:15" ht="18.75" x14ac:dyDescent="0.35">
      <c r="B23" s="12" t="s">
        <v>275</v>
      </c>
      <c r="C23" s="12" t="s">
        <v>274</v>
      </c>
      <c r="F23" s="12" t="s">
        <v>274</v>
      </c>
      <c r="J23" s="12" t="s">
        <v>567</v>
      </c>
    </row>
    <row r="24" spans="1:15" ht="18.75" x14ac:dyDescent="0.35">
      <c r="A24" s="12" t="s">
        <v>246</v>
      </c>
      <c r="J24" s="12" t="s">
        <v>568</v>
      </c>
    </row>
    <row r="25" spans="1:15" ht="17.25" x14ac:dyDescent="0.2">
      <c r="A25" s="12" t="s">
        <v>191</v>
      </c>
      <c r="C25" s="12" t="s">
        <v>560</v>
      </c>
      <c r="G25" s="12" t="s">
        <v>560</v>
      </c>
    </row>
    <row r="26" spans="1:15" x14ac:dyDescent="0.2">
      <c r="A26" s="12">
        <v>10</v>
      </c>
      <c r="C26" s="15">
        <f>$D$22*32*C5*EXP(1700*(1/(273+A26)-1/298))</f>
        <v>56.27043553401959</v>
      </c>
      <c r="G26" s="15">
        <f>$G$22*44*F5*EXP(2400*(1/(273+A26)-1/298))</f>
        <v>2354.6389203223666</v>
      </c>
    </row>
    <row r="27" spans="1:15" x14ac:dyDescent="0.2">
      <c r="A27" s="12">
        <v>15</v>
      </c>
      <c r="C27" s="15">
        <f t="shared" ref="C27:C38" si="0">$D$22*32*C6*EXP(1700*(1/(273+A27)-1/298))</f>
        <v>50.667240269602026</v>
      </c>
      <c r="G27" s="15">
        <f t="shared" ref="G27:G38" si="1">$G$22*44*F6*EXP(2400*(1/(273+A27)-1/298))</f>
        <v>2029.8989660444702</v>
      </c>
      <c r="K27" s="12" t="s">
        <v>321</v>
      </c>
    </row>
    <row r="28" spans="1:15" x14ac:dyDescent="0.2">
      <c r="A28" s="12">
        <v>20</v>
      </c>
      <c r="C28" s="15">
        <f t="shared" si="0"/>
        <v>45.770891866790159</v>
      </c>
      <c r="G28" s="15">
        <f t="shared" si="1"/>
        <v>1758.4986805749568</v>
      </c>
      <c r="K28" s="12" t="s">
        <v>322</v>
      </c>
      <c r="L28" s="12" t="s">
        <v>323</v>
      </c>
    </row>
    <row r="29" spans="1:15" ht="17.25" x14ac:dyDescent="0.2">
      <c r="A29" s="12">
        <v>25</v>
      </c>
      <c r="C29" s="15">
        <f t="shared" si="0"/>
        <v>41.47936</v>
      </c>
      <c r="G29" s="15">
        <f t="shared" si="1"/>
        <v>1530.4463860289238</v>
      </c>
      <c r="K29" s="12" t="s">
        <v>537</v>
      </c>
      <c r="L29" s="12" t="s">
        <v>537</v>
      </c>
    </row>
    <row r="30" spans="1:15" x14ac:dyDescent="0.2">
      <c r="A30" s="12">
        <v>30</v>
      </c>
      <c r="C30" s="15">
        <f t="shared" si="0"/>
        <v>37.699768928118253</v>
      </c>
      <c r="G30" s="15">
        <f t="shared" si="1"/>
        <v>1337.8295932325452</v>
      </c>
      <c r="K30" s="12">
        <v>4.18</v>
      </c>
      <c r="L30" s="12">
        <v>3.99</v>
      </c>
      <c r="M30" s="12" t="s">
        <v>564</v>
      </c>
      <c r="N30" s="12" t="s">
        <v>324</v>
      </c>
      <c r="O30" s="87" t="s">
        <v>325</v>
      </c>
    </row>
    <row r="31" spans="1:15" x14ac:dyDescent="0.2">
      <c r="A31" s="12">
        <v>35</v>
      </c>
      <c r="C31" s="15">
        <f t="shared" si="0"/>
        <v>34.362478451803753</v>
      </c>
      <c r="G31" s="15">
        <f t="shared" si="1"/>
        <v>1174.3427680869543</v>
      </c>
    </row>
    <row r="32" spans="1:15" x14ac:dyDescent="0.2">
      <c r="A32" s="12">
        <v>40</v>
      </c>
      <c r="C32" s="15">
        <f t="shared" si="0"/>
        <v>31.402311527437409</v>
      </c>
      <c r="G32" s="15">
        <f t="shared" si="1"/>
        <v>1034.9306824550265</v>
      </c>
    </row>
    <row r="33" spans="1:14" x14ac:dyDescent="0.2">
      <c r="A33" s="12">
        <v>45</v>
      </c>
      <c r="C33" s="15">
        <f t="shared" si="0"/>
        <v>28.773815637110655</v>
      </c>
      <c r="G33" s="15">
        <f t="shared" si="1"/>
        <v>915.51715473014576</v>
      </c>
    </row>
    <row r="34" spans="1:14" x14ac:dyDescent="0.2">
      <c r="A34" s="12">
        <v>50</v>
      </c>
      <c r="C34" s="15">
        <f t="shared" si="0"/>
        <v>26.432351714649045</v>
      </c>
      <c r="G34" s="15">
        <f t="shared" si="1"/>
        <v>812.79734063578292</v>
      </c>
    </row>
    <row r="35" spans="1:14" x14ac:dyDescent="0.2">
      <c r="A35" s="12">
        <v>55</v>
      </c>
      <c r="C35" s="15">
        <f t="shared" si="0"/>
        <v>24.335246669623523</v>
      </c>
      <c r="G35" s="15">
        <f t="shared" si="1"/>
        <v>724.07765603747703</v>
      </c>
    </row>
    <row r="36" spans="1:14" x14ac:dyDescent="0.2">
      <c r="A36" s="12">
        <v>60</v>
      </c>
      <c r="C36" s="15">
        <f t="shared" si="0"/>
        <v>22.456151039681799</v>
      </c>
      <c r="G36" s="15">
        <f t="shared" si="1"/>
        <v>647.15164346039739</v>
      </c>
    </row>
    <row r="37" spans="1:14" x14ac:dyDescent="0.2">
      <c r="A37" s="12">
        <v>65</v>
      </c>
      <c r="C37" s="15">
        <f t="shared" si="0"/>
        <v>20.767667490781189</v>
      </c>
      <c r="G37" s="15">
        <f t="shared" si="1"/>
        <v>580.20313896650123</v>
      </c>
    </row>
    <row r="38" spans="1:14" x14ac:dyDescent="0.2">
      <c r="A38" s="12">
        <v>70</v>
      </c>
      <c r="C38" s="15">
        <f t="shared" si="0"/>
        <v>19.244403158124886</v>
      </c>
      <c r="G38" s="15">
        <f t="shared" si="1"/>
        <v>521.73030419761642</v>
      </c>
    </row>
    <row r="40" spans="1:14" x14ac:dyDescent="0.2">
      <c r="A40" s="12" t="s">
        <v>317</v>
      </c>
      <c r="G40" s="12" t="s">
        <v>376</v>
      </c>
      <c r="K40" s="12" t="s">
        <v>377</v>
      </c>
    </row>
    <row r="41" spans="1:14" ht="17.25" x14ac:dyDescent="0.2">
      <c r="C41" s="12" t="s">
        <v>569</v>
      </c>
      <c r="G41" s="12" t="s">
        <v>378</v>
      </c>
      <c r="H41" s="88" t="s">
        <v>191</v>
      </c>
      <c r="J41" s="12" t="s">
        <v>379</v>
      </c>
      <c r="K41" s="88" t="s">
        <v>191</v>
      </c>
      <c r="M41" s="12" t="s">
        <v>426</v>
      </c>
      <c r="N41" s="88" t="s">
        <v>191</v>
      </c>
    </row>
    <row r="42" spans="1:14" x14ac:dyDescent="0.2">
      <c r="A42" s="12">
        <v>10</v>
      </c>
      <c r="C42" s="13">
        <v>684</v>
      </c>
      <c r="G42" s="12" t="s">
        <v>380</v>
      </c>
      <c r="H42" s="89">
        <v>12.2</v>
      </c>
      <c r="I42" s="90"/>
      <c r="J42" s="12" t="s">
        <v>380</v>
      </c>
      <c r="K42" s="89">
        <v>23.3</v>
      </c>
      <c r="L42" s="89"/>
      <c r="M42" s="12" t="s">
        <v>380</v>
      </c>
      <c r="N42" s="12">
        <v>5</v>
      </c>
    </row>
    <row r="43" spans="1:14" x14ac:dyDescent="0.2">
      <c r="A43" s="12">
        <v>15</v>
      </c>
      <c r="C43" s="13">
        <f>(C42+C44)/2</f>
        <v>606.5</v>
      </c>
      <c r="G43" s="12" t="s">
        <v>381</v>
      </c>
      <c r="H43" s="89">
        <v>12.7</v>
      </c>
      <c r="J43" s="12" t="s">
        <v>381</v>
      </c>
      <c r="K43" s="89">
        <v>22.1</v>
      </c>
      <c r="M43" s="12" t="s">
        <v>381</v>
      </c>
      <c r="N43" s="12">
        <v>5</v>
      </c>
    </row>
    <row r="44" spans="1:14" x14ac:dyDescent="0.2">
      <c r="A44" s="12">
        <v>20</v>
      </c>
      <c r="C44" s="13">
        <v>529</v>
      </c>
      <c r="G44" s="12" t="s">
        <v>382</v>
      </c>
      <c r="H44" s="89">
        <v>14.4</v>
      </c>
      <c r="J44" s="12" t="s">
        <v>382</v>
      </c>
      <c r="K44" s="89">
        <v>21</v>
      </c>
      <c r="M44" s="12" t="s">
        <v>382</v>
      </c>
      <c r="N44" s="12">
        <v>7</v>
      </c>
    </row>
    <row r="45" spans="1:14" x14ac:dyDescent="0.2">
      <c r="A45" s="12">
        <v>25</v>
      </c>
      <c r="C45" s="13">
        <f>(C44+C46)/2</f>
        <v>469.5</v>
      </c>
      <c r="G45" s="12" t="s">
        <v>383</v>
      </c>
      <c r="H45" s="89">
        <v>15.8</v>
      </c>
      <c r="J45" s="12" t="s">
        <v>383</v>
      </c>
      <c r="K45" s="89">
        <v>18.899999999999999</v>
      </c>
      <c r="M45" s="12" t="s">
        <v>383</v>
      </c>
      <c r="N45" s="12">
        <v>9</v>
      </c>
    </row>
    <row r="46" spans="1:14" x14ac:dyDescent="0.2">
      <c r="A46" s="12">
        <v>30</v>
      </c>
      <c r="C46" s="13">
        <v>410</v>
      </c>
      <c r="G46" s="12" t="s">
        <v>384</v>
      </c>
      <c r="H46" s="89">
        <v>18.7</v>
      </c>
      <c r="J46" s="12" t="s">
        <v>384</v>
      </c>
      <c r="K46" s="89">
        <v>15.9</v>
      </c>
      <c r="M46" s="12" t="s">
        <v>384</v>
      </c>
      <c r="N46" s="12">
        <v>12</v>
      </c>
    </row>
    <row r="47" spans="1:14" x14ac:dyDescent="0.2">
      <c r="A47" s="12">
        <v>35</v>
      </c>
      <c r="C47" s="13">
        <f>(C46+C48)/2</f>
        <v>363</v>
      </c>
      <c r="G47" s="12" t="s">
        <v>385</v>
      </c>
      <c r="H47" s="89">
        <v>21.8</v>
      </c>
      <c r="J47" s="12" t="s">
        <v>385</v>
      </c>
      <c r="K47" s="89">
        <v>13.2</v>
      </c>
      <c r="M47" s="12" t="s">
        <v>385</v>
      </c>
      <c r="N47" s="12">
        <v>15</v>
      </c>
    </row>
    <row r="48" spans="1:14" x14ac:dyDescent="0.2">
      <c r="A48" s="12">
        <v>40</v>
      </c>
      <c r="C48" s="13">
        <v>316</v>
      </c>
      <c r="G48" s="12" t="s">
        <v>386</v>
      </c>
      <c r="H48" s="89">
        <v>24.9</v>
      </c>
      <c r="J48" s="12" t="s">
        <v>386</v>
      </c>
      <c r="K48" s="89">
        <v>13.2</v>
      </c>
      <c r="M48" s="12" t="s">
        <v>386</v>
      </c>
      <c r="N48" s="12">
        <v>17</v>
      </c>
    </row>
    <row r="49" spans="1:14" x14ac:dyDescent="0.2">
      <c r="A49" s="12">
        <v>45</v>
      </c>
      <c r="C49" s="13">
        <f>(C48+C50)/2</f>
        <v>275.5</v>
      </c>
      <c r="G49" s="12" t="s">
        <v>387</v>
      </c>
      <c r="H49" s="89">
        <v>25.6</v>
      </c>
      <c r="J49" s="12" t="s">
        <v>387</v>
      </c>
      <c r="K49" s="89">
        <v>15.8</v>
      </c>
      <c r="M49" s="12" t="s">
        <v>387</v>
      </c>
      <c r="N49" s="12">
        <v>17</v>
      </c>
    </row>
    <row r="50" spans="1:14" x14ac:dyDescent="0.2">
      <c r="A50" s="12">
        <v>50</v>
      </c>
      <c r="C50" s="13">
        <v>235</v>
      </c>
      <c r="G50" s="12" t="s">
        <v>388</v>
      </c>
      <c r="H50" s="89">
        <v>23.3</v>
      </c>
      <c r="J50" s="12" t="s">
        <v>388</v>
      </c>
      <c r="K50" s="89">
        <v>19.2</v>
      </c>
      <c r="M50" s="12" t="s">
        <v>388</v>
      </c>
      <c r="N50" s="12">
        <v>15</v>
      </c>
    </row>
    <row r="51" spans="1:14" x14ac:dyDescent="0.2">
      <c r="A51" s="12">
        <v>55</v>
      </c>
      <c r="C51" s="13">
        <f>(C50+C52)/2</f>
        <v>201.5</v>
      </c>
      <c r="G51" s="12" t="s">
        <v>389</v>
      </c>
      <c r="H51" s="89">
        <v>19.5</v>
      </c>
      <c r="J51" s="12" t="s">
        <v>389</v>
      </c>
      <c r="K51" s="89">
        <v>21.6</v>
      </c>
      <c r="M51" s="12" t="s">
        <v>389</v>
      </c>
      <c r="N51" s="12">
        <v>11</v>
      </c>
    </row>
    <row r="52" spans="1:14" x14ac:dyDescent="0.2">
      <c r="A52" s="12">
        <v>60</v>
      </c>
      <c r="C52" s="13">
        <v>168</v>
      </c>
      <c r="G52" s="12" t="s">
        <v>390</v>
      </c>
      <c r="H52" s="89">
        <v>15.6</v>
      </c>
      <c r="J52" s="12" t="s">
        <v>390</v>
      </c>
      <c r="K52" s="89">
        <v>22.5</v>
      </c>
      <c r="M52" s="12" t="s">
        <v>390</v>
      </c>
      <c r="N52" s="12">
        <v>8</v>
      </c>
    </row>
    <row r="53" spans="1:14" x14ac:dyDescent="0.2">
      <c r="A53" s="12">
        <v>65</v>
      </c>
      <c r="C53" s="13">
        <f>(C52+C54)/2</f>
        <v>139.5</v>
      </c>
      <c r="G53" s="12" t="s">
        <v>391</v>
      </c>
      <c r="H53" s="89">
        <v>13.2</v>
      </c>
      <c r="J53" s="12" t="s">
        <v>391</v>
      </c>
      <c r="K53" s="12">
        <v>23.4</v>
      </c>
      <c r="M53" s="12" t="s">
        <v>391</v>
      </c>
      <c r="N53" s="12">
        <v>6</v>
      </c>
    </row>
    <row r="54" spans="1:14" x14ac:dyDescent="0.2">
      <c r="A54" s="12">
        <v>70</v>
      </c>
      <c r="C54" s="13">
        <v>111</v>
      </c>
      <c r="G54" s="12" t="s">
        <v>392</v>
      </c>
      <c r="H54" s="12">
        <v>18.100000000000001</v>
      </c>
      <c r="J54" s="12" t="s">
        <v>392</v>
      </c>
      <c r="K54" s="12">
        <v>19.2</v>
      </c>
      <c r="M54" s="12" t="s">
        <v>392</v>
      </c>
      <c r="N54" s="18">
        <f>AVERAGE(N42:N53)</f>
        <v>10.583333333333334</v>
      </c>
    </row>
    <row r="56" spans="1:14" x14ac:dyDescent="0.2">
      <c r="G56" s="12" t="s">
        <v>393</v>
      </c>
    </row>
    <row r="57" spans="1:14" x14ac:dyDescent="0.2">
      <c r="G57" s="12" t="s">
        <v>394</v>
      </c>
      <c r="H57" s="12">
        <v>101.6</v>
      </c>
      <c r="J57" s="12" t="s">
        <v>394</v>
      </c>
      <c r="K57" s="12">
        <v>101.74</v>
      </c>
      <c r="L57" s="12" t="s">
        <v>396</v>
      </c>
      <c r="M57" s="12" t="s">
        <v>394</v>
      </c>
      <c r="N57" s="12">
        <v>101.6</v>
      </c>
    </row>
    <row r="58" spans="1:14" x14ac:dyDescent="0.2">
      <c r="J58" s="12" t="s">
        <v>394</v>
      </c>
      <c r="K58" s="12">
        <v>83.3</v>
      </c>
      <c r="L58" s="12" t="s">
        <v>397</v>
      </c>
    </row>
    <row r="59" spans="1:14" x14ac:dyDescent="0.2">
      <c r="G59" s="12" t="s">
        <v>427</v>
      </c>
    </row>
    <row r="60" spans="1:14" ht="17.25" x14ac:dyDescent="0.2">
      <c r="G60" s="12" t="s">
        <v>570</v>
      </c>
      <c r="H60" s="15">
        <f>224.7/365</f>
        <v>0.61561643835616431</v>
      </c>
      <c r="J60" s="12" t="s">
        <v>570</v>
      </c>
      <c r="K60" s="16">
        <f>365.1/365</f>
        <v>1.0002739726027399</v>
      </c>
      <c r="M60" s="12" t="s">
        <v>570</v>
      </c>
      <c r="N60" s="15">
        <f>805.7/365</f>
        <v>2.2073972602739729</v>
      </c>
    </row>
    <row r="62" spans="1:14" x14ac:dyDescent="0.2">
      <c r="G62" s="12" t="s">
        <v>428</v>
      </c>
    </row>
    <row r="63" spans="1:14" ht="17.25" x14ac:dyDescent="0.2">
      <c r="G63" s="12" t="s">
        <v>570</v>
      </c>
      <c r="H63" s="15">
        <f>1500/365</f>
        <v>4.1095890410958908</v>
      </c>
      <c r="J63" s="12" t="s">
        <v>570</v>
      </c>
      <c r="K63" s="15">
        <f>3000/365</f>
        <v>8.2191780821917817</v>
      </c>
      <c r="M63" s="12" t="s">
        <v>570</v>
      </c>
      <c r="N63" s="12">
        <v>1.72</v>
      </c>
    </row>
    <row r="65" spans="7:14" x14ac:dyDescent="0.2">
      <c r="G65" s="12" t="s">
        <v>429</v>
      </c>
    </row>
    <row r="66" spans="7:14" ht="17.25" x14ac:dyDescent="0.2">
      <c r="G66" s="12" t="s">
        <v>570</v>
      </c>
      <c r="H66" s="13">
        <f>H63-H60</f>
        <v>3.4939726027397264</v>
      </c>
      <c r="J66" s="12" t="s">
        <v>570</v>
      </c>
      <c r="K66" s="13">
        <f>K63-K60</f>
        <v>7.2189041095890421</v>
      </c>
      <c r="M66" s="12" t="s">
        <v>570</v>
      </c>
      <c r="N66" s="13">
        <f>N63-N60</f>
        <v>-0.4873972602739729</v>
      </c>
    </row>
  </sheetData>
  <hyperlinks>
    <hyperlink ref="O30" r:id="rId1"/>
  </hyperlinks>
  <pageMargins left="0.7" right="0.7" top="0.75" bottom="0.75" header="0.3" footer="0.3"/>
  <pageSetup paperSize="8"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Summary</vt:lpstr>
      <vt:lpstr>Algal Comp Calcs</vt:lpstr>
      <vt:lpstr>Pond Power</vt:lpstr>
      <vt:lpstr>Harvesting</vt:lpstr>
      <vt:lpstr>Gas Power</vt:lpstr>
      <vt:lpstr>Pumping</vt:lpstr>
      <vt:lpstr>AD</vt:lpstr>
      <vt:lpstr>Respiration Outgas</vt:lpstr>
      <vt:lpstr>Data</vt:lpstr>
      <vt:lpstr>Data input and ouput</vt:lpstr>
      <vt:lpstr>Blower_Efficiency</vt:lpstr>
      <vt:lpstr>Concentration_Factor</vt:lpstr>
      <vt:lpstr>Density</vt:lpstr>
      <vt:lpstr>Gas_Transfer_Efficiency</vt:lpstr>
      <vt:lpstr>Heater_Efficiency</vt:lpstr>
      <vt:lpstr>Mixer_Efficiency</vt:lpstr>
      <vt:lpstr>Paddlewheel_Efficiency</vt:lpstr>
      <vt:lpstr>'Algal Comp Calcs'!Print_Area</vt:lpstr>
      <vt:lpstr>Pump_Efficiency</vt:lpstr>
      <vt:lpstr>sa</vt:lpstr>
      <vt:lpstr>t</vt:lpstr>
      <vt:lpstr>Viscosity</vt:lpstr>
    </vt:vector>
  </TitlesOfParts>
  <Company>University of Southampton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Milledge J.J.</dc:creator>
  <cp:lastModifiedBy>Milledge J.J.</cp:lastModifiedBy>
  <cp:lastPrinted>2012-07-03T09:26:42Z</cp:lastPrinted>
  <dcterms:created xsi:type="dcterms:W3CDTF">2012-06-13T11:16:00Z</dcterms:created>
  <dcterms:modified xsi:type="dcterms:W3CDTF">2013-07-16T14:23:37Z</dcterms:modified>
</cp:coreProperties>
</file>