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60" windowWidth="19200" windowHeight="8085" activeTab="3"/>
  </bookViews>
  <sheets>
    <sheet name="Properties" sheetId="1" r:id="rId1"/>
    <sheet name="Clamping effect" sheetId="2" r:id="rId2"/>
    <sheet name="Actual clamping effect" sheetId="3" r:id="rId3"/>
    <sheet name="Dielectric constant" sheetId="4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2" l="1"/>
  <c r="B5" i="2"/>
  <c r="R15" i="2"/>
  <c r="T3" i="2"/>
  <c r="R3" i="2"/>
  <c r="Q3" i="2"/>
  <c r="P3" i="2"/>
  <c r="N3" i="2"/>
  <c r="T12" i="1"/>
  <c r="T6" i="1"/>
  <c r="F18" i="1"/>
  <c r="K18" i="1"/>
  <c r="G41" i="2"/>
  <c r="L15" i="2"/>
  <c r="L3" i="2"/>
  <c r="F41" i="2"/>
  <c r="G42" i="2"/>
  <c r="AG7" i="3"/>
  <c r="AF7" i="3"/>
  <c r="AE7" i="3"/>
  <c r="H43" i="2"/>
  <c r="H42" i="2"/>
  <c r="H41" i="2"/>
  <c r="S3" i="2"/>
  <c r="H3" i="2"/>
  <c r="G3" i="2"/>
  <c r="J3" i="2"/>
  <c r="I3" i="2"/>
  <c r="K6" i="3"/>
  <c r="L6" i="3"/>
  <c r="E3" i="2"/>
  <c r="I4" i="2"/>
  <c r="G4" i="2"/>
  <c r="H4" i="2"/>
  <c r="P4" i="2"/>
  <c r="Q4" i="2"/>
  <c r="R4" i="2"/>
  <c r="I5" i="2"/>
  <c r="G5" i="2"/>
  <c r="H5" i="2"/>
  <c r="P5" i="2"/>
  <c r="Q5" i="2"/>
  <c r="R5" i="2"/>
  <c r="I6" i="2"/>
  <c r="G6" i="2"/>
  <c r="H6" i="2"/>
  <c r="P6" i="2"/>
  <c r="Q6" i="2"/>
  <c r="R6" i="2"/>
  <c r="I7" i="2"/>
  <c r="G7" i="2"/>
  <c r="H7" i="2"/>
  <c r="P7" i="2"/>
  <c r="Q7" i="2"/>
  <c r="R7" i="2"/>
  <c r="I8" i="2"/>
  <c r="G8" i="2"/>
  <c r="H8" i="2"/>
  <c r="P8" i="2"/>
  <c r="Q8" i="2"/>
  <c r="R8" i="2"/>
  <c r="I9" i="2"/>
  <c r="G9" i="2"/>
  <c r="H9" i="2"/>
  <c r="P9" i="2"/>
  <c r="Q9" i="2"/>
  <c r="R9" i="2"/>
  <c r="I10" i="2"/>
  <c r="G10" i="2"/>
  <c r="H10" i="2"/>
  <c r="P10" i="2"/>
  <c r="Q10" i="2"/>
  <c r="R10" i="2"/>
  <c r="I11" i="2"/>
  <c r="G11" i="2"/>
  <c r="H11" i="2"/>
  <c r="P11" i="2"/>
  <c r="Q11" i="2"/>
  <c r="R11" i="2"/>
  <c r="I12" i="2"/>
  <c r="G12" i="2"/>
  <c r="H12" i="2"/>
  <c r="P12" i="2"/>
  <c r="Q12" i="2"/>
  <c r="R12" i="2"/>
  <c r="E41" i="2"/>
  <c r="E15" i="2"/>
  <c r="H15" i="2"/>
  <c r="I15" i="2"/>
  <c r="G15" i="2"/>
  <c r="P15" i="2"/>
  <c r="Q15" i="2"/>
  <c r="E4" i="2"/>
  <c r="E16" i="2"/>
  <c r="H16" i="2"/>
  <c r="I16" i="2"/>
  <c r="G16" i="2"/>
  <c r="P16" i="2"/>
  <c r="Q16" i="2"/>
  <c r="R16" i="2"/>
  <c r="E5" i="2"/>
  <c r="E17" i="2"/>
  <c r="H17" i="2"/>
  <c r="I17" i="2"/>
  <c r="G17" i="2"/>
  <c r="P17" i="2"/>
  <c r="Q17" i="2"/>
  <c r="R17" i="2"/>
  <c r="E6" i="2"/>
  <c r="E18" i="2"/>
  <c r="H18" i="2"/>
  <c r="I18" i="2"/>
  <c r="G18" i="2"/>
  <c r="P18" i="2"/>
  <c r="Q18" i="2"/>
  <c r="R18" i="2"/>
  <c r="E7" i="2"/>
  <c r="E19" i="2"/>
  <c r="H19" i="2"/>
  <c r="I19" i="2"/>
  <c r="G19" i="2"/>
  <c r="P19" i="2"/>
  <c r="Q19" i="2"/>
  <c r="R19" i="2"/>
  <c r="E8" i="2"/>
  <c r="E20" i="2"/>
  <c r="H20" i="2"/>
  <c r="I20" i="2"/>
  <c r="G20" i="2"/>
  <c r="P20" i="2"/>
  <c r="Q20" i="2"/>
  <c r="R20" i="2"/>
  <c r="E9" i="2"/>
  <c r="E21" i="2"/>
  <c r="H21" i="2"/>
  <c r="I21" i="2"/>
  <c r="G21" i="2"/>
  <c r="P21" i="2"/>
  <c r="Q21" i="2"/>
  <c r="R21" i="2"/>
  <c r="E10" i="2"/>
  <c r="E22" i="2"/>
  <c r="H22" i="2"/>
  <c r="I22" i="2"/>
  <c r="G22" i="2"/>
  <c r="P22" i="2"/>
  <c r="Q22" i="2"/>
  <c r="R22" i="2"/>
  <c r="E11" i="2"/>
  <c r="E23" i="2"/>
  <c r="H23" i="2"/>
  <c r="I23" i="2"/>
  <c r="G23" i="2"/>
  <c r="P23" i="2"/>
  <c r="Q23" i="2"/>
  <c r="R23" i="2"/>
  <c r="E12" i="2"/>
  <c r="E24" i="2"/>
  <c r="H24" i="2"/>
  <c r="I24" i="2"/>
  <c r="G24" i="2"/>
  <c r="P24" i="2"/>
  <c r="Q24" i="2"/>
  <c r="R24" i="2"/>
  <c r="S15" i="2"/>
  <c r="E42" i="2"/>
  <c r="E28" i="2"/>
  <c r="H28" i="2"/>
  <c r="I28" i="2"/>
  <c r="G28" i="2"/>
  <c r="P28" i="2"/>
  <c r="Q28" i="2"/>
  <c r="R28" i="2"/>
  <c r="E29" i="2"/>
  <c r="H29" i="2"/>
  <c r="I29" i="2"/>
  <c r="G29" i="2"/>
  <c r="P29" i="2"/>
  <c r="Q29" i="2"/>
  <c r="R29" i="2"/>
  <c r="E30" i="2"/>
  <c r="H30" i="2"/>
  <c r="I30" i="2"/>
  <c r="G30" i="2"/>
  <c r="P30" i="2"/>
  <c r="Q30" i="2"/>
  <c r="R30" i="2"/>
  <c r="E31" i="2"/>
  <c r="H31" i="2"/>
  <c r="I31" i="2"/>
  <c r="G31" i="2"/>
  <c r="P31" i="2"/>
  <c r="Q31" i="2"/>
  <c r="R31" i="2"/>
  <c r="E32" i="2"/>
  <c r="H32" i="2"/>
  <c r="I32" i="2"/>
  <c r="G32" i="2"/>
  <c r="P32" i="2"/>
  <c r="Q32" i="2"/>
  <c r="R32" i="2"/>
  <c r="E33" i="2"/>
  <c r="H33" i="2"/>
  <c r="I33" i="2"/>
  <c r="G33" i="2"/>
  <c r="P33" i="2"/>
  <c r="Q33" i="2"/>
  <c r="R33" i="2"/>
  <c r="E34" i="2"/>
  <c r="H34" i="2"/>
  <c r="I34" i="2"/>
  <c r="G34" i="2"/>
  <c r="P34" i="2"/>
  <c r="Q34" i="2"/>
  <c r="R34" i="2"/>
  <c r="E35" i="2"/>
  <c r="H35" i="2"/>
  <c r="I35" i="2"/>
  <c r="G35" i="2"/>
  <c r="P35" i="2"/>
  <c r="Q35" i="2"/>
  <c r="R35" i="2"/>
  <c r="E36" i="2"/>
  <c r="H36" i="2"/>
  <c r="I36" i="2"/>
  <c r="G36" i="2"/>
  <c r="P36" i="2"/>
  <c r="Q36" i="2"/>
  <c r="R36" i="2"/>
  <c r="E37" i="2"/>
  <c r="H37" i="2"/>
  <c r="I37" i="2"/>
  <c r="G37" i="2"/>
  <c r="P37" i="2"/>
  <c r="Q37" i="2"/>
  <c r="R37" i="2"/>
  <c r="S28" i="2"/>
  <c r="E43" i="2"/>
  <c r="E44" i="2"/>
  <c r="K3" i="2"/>
  <c r="D41" i="2"/>
  <c r="K10" i="3"/>
  <c r="N10" i="3"/>
  <c r="W7" i="3"/>
  <c r="X7" i="3"/>
  <c r="Y7" i="3"/>
  <c r="Z7" i="3"/>
  <c r="AC7" i="3"/>
  <c r="AA7" i="3"/>
  <c r="AB7" i="3"/>
  <c r="AE5" i="3"/>
  <c r="N2" i="2"/>
  <c r="Q11" i="1"/>
  <c r="Q10" i="1"/>
  <c r="Q5" i="1"/>
  <c r="K12" i="3"/>
  <c r="N12" i="3"/>
  <c r="K11" i="3"/>
  <c r="N11" i="3"/>
  <c r="S9" i="3"/>
  <c r="S8" i="3"/>
  <c r="S6" i="3"/>
  <c r="P10" i="1"/>
  <c r="R10" i="1"/>
  <c r="R11" i="1"/>
  <c r="R4" i="1"/>
  <c r="L10" i="3"/>
  <c r="L11" i="3"/>
  <c r="L12" i="3"/>
  <c r="W9" i="3"/>
  <c r="X9" i="3"/>
  <c r="X8" i="3"/>
  <c r="W8" i="3"/>
  <c r="Y9" i="3"/>
  <c r="Y8" i="3"/>
  <c r="Z9" i="3"/>
  <c r="Z8" i="3"/>
  <c r="F3" i="2"/>
  <c r="F15" i="2"/>
  <c r="F28" i="2"/>
  <c r="F29" i="2"/>
  <c r="F30" i="2"/>
  <c r="F31" i="2"/>
  <c r="F32" i="2"/>
  <c r="F33" i="2"/>
  <c r="F34" i="2"/>
  <c r="F35" i="2"/>
  <c r="F36" i="2"/>
  <c r="F37" i="2"/>
  <c r="J37" i="2"/>
  <c r="C28" i="2"/>
  <c r="C29" i="2"/>
  <c r="B28" i="2"/>
  <c r="B29" i="2"/>
  <c r="C15" i="2"/>
  <c r="C16" i="2"/>
  <c r="B15" i="2"/>
  <c r="B16" i="2"/>
  <c r="C3" i="2"/>
  <c r="C4" i="2"/>
  <c r="C5" i="2"/>
  <c r="C6" i="2"/>
  <c r="C7" i="2"/>
  <c r="C8" i="2"/>
  <c r="C9" i="2"/>
  <c r="C10" i="2"/>
  <c r="C11" i="2"/>
  <c r="B3" i="2"/>
  <c r="B4" i="2"/>
  <c r="B6" i="2"/>
  <c r="B8" i="2"/>
  <c r="B9" i="2"/>
  <c r="B10" i="2"/>
  <c r="B11" i="2"/>
  <c r="F4" i="2"/>
  <c r="B18" i="1"/>
  <c r="D18" i="1"/>
  <c r="R5" i="1"/>
  <c r="S5" i="1"/>
  <c r="P5" i="1"/>
  <c r="G18" i="1"/>
  <c r="J15" i="2"/>
  <c r="J29" i="2"/>
  <c r="J28" i="2"/>
  <c r="J30" i="2"/>
  <c r="J31" i="2"/>
  <c r="J32" i="2"/>
  <c r="J33" i="2"/>
  <c r="J34" i="2"/>
  <c r="J35" i="2"/>
  <c r="J36" i="2"/>
  <c r="K28" i="2"/>
  <c r="J18" i="2"/>
  <c r="J16" i="2"/>
  <c r="J17" i="2"/>
  <c r="J19" i="2"/>
  <c r="J20" i="2"/>
  <c r="J21" i="2"/>
  <c r="J22" i="2"/>
  <c r="J23" i="2"/>
  <c r="J24" i="2"/>
  <c r="K15" i="2"/>
  <c r="T8" i="3"/>
  <c r="W18" i="3"/>
  <c r="T9" i="3"/>
  <c r="W19" i="3"/>
  <c r="T7" i="3"/>
  <c r="W17" i="3"/>
  <c r="V17" i="3"/>
  <c r="V18" i="3"/>
  <c r="V19" i="3"/>
  <c r="T6" i="3"/>
  <c r="V15" i="3"/>
  <c r="AE8" i="3"/>
  <c r="AC8" i="3"/>
  <c r="AA8" i="3"/>
  <c r="AB8" i="3"/>
  <c r="AF8" i="3"/>
  <c r="AG8" i="3"/>
  <c r="T18" i="3"/>
  <c r="AE9" i="3"/>
  <c r="AC9" i="3"/>
  <c r="AA9" i="3"/>
  <c r="AB9" i="3"/>
  <c r="AF9" i="3"/>
  <c r="AG9" i="3"/>
  <c r="T19" i="3"/>
  <c r="T17" i="3"/>
  <c r="S17" i="3"/>
  <c r="S18" i="3"/>
  <c r="S19" i="3"/>
  <c r="S15" i="3"/>
  <c r="J4" i="2"/>
  <c r="J5" i="2"/>
  <c r="J6" i="2"/>
  <c r="J7" i="2"/>
  <c r="J8" i="2"/>
  <c r="J9" i="2"/>
  <c r="J10" i="2"/>
  <c r="J11" i="2"/>
  <c r="J12" i="2"/>
  <c r="N4" i="2"/>
  <c r="N5" i="2"/>
  <c r="N6" i="2"/>
  <c r="N7" i="2"/>
  <c r="N8" i="2"/>
  <c r="N9" i="2"/>
  <c r="N10" i="2"/>
  <c r="N11" i="2"/>
  <c r="C12" i="2"/>
  <c r="B12" i="2"/>
  <c r="N12" i="2"/>
  <c r="B17" i="2"/>
  <c r="B18" i="2"/>
  <c r="B19" i="2"/>
  <c r="B20" i="2"/>
  <c r="B21" i="2"/>
  <c r="B22" i="2"/>
  <c r="C17" i="2"/>
  <c r="C18" i="2"/>
  <c r="C19" i="2"/>
  <c r="C20" i="2"/>
  <c r="C21" i="2"/>
  <c r="C22" i="2"/>
  <c r="N22" i="2"/>
  <c r="B30" i="2"/>
  <c r="B31" i="2"/>
  <c r="B32" i="2"/>
  <c r="B33" i="2"/>
  <c r="B34" i="2"/>
  <c r="B35" i="2"/>
  <c r="B36" i="2"/>
  <c r="B37" i="2"/>
  <c r="C30" i="2"/>
  <c r="C31" i="2"/>
  <c r="C32" i="2"/>
  <c r="C33" i="2"/>
  <c r="C34" i="2"/>
  <c r="C35" i="2"/>
  <c r="C36" i="2"/>
  <c r="C37" i="2"/>
  <c r="N37" i="2"/>
  <c r="N28" i="2"/>
  <c r="L28" i="2"/>
  <c r="N15" i="2"/>
  <c r="N16" i="2"/>
  <c r="F16" i="2"/>
  <c r="N29" i="2"/>
  <c r="I13" i="2"/>
  <c r="H13" i="2"/>
  <c r="C13" i="2"/>
  <c r="B13" i="2"/>
  <c r="N13" i="2"/>
  <c r="G13" i="2"/>
  <c r="P13" i="2"/>
  <c r="Q13" i="2"/>
  <c r="N17" i="2"/>
  <c r="F5" i="2"/>
  <c r="F17" i="2"/>
  <c r="N18" i="2"/>
  <c r="F6" i="2"/>
  <c r="F18" i="2"/>
  <c r="N19" i="2"/>
  <c r="F7" i="2"/>
  <c r="F19" i="2"/>
  <c r="N20" i="2"/>
  <c r="F8" i="2"/>
  <c r="F20" i="2"/>
  <c r="N21" i="2"/>
  <c r="F9" i="2"/>
  <c r="F21" i="2"/>
  <c r="F10" i="2"/>
  <c r="F22" i="2"/>
  <c r="B23" i="2"/>
  <c r="C23" i="2"/>
  <c r="N23" i="2"/>
  <c r="F11" i="2"/>
  <c r="F23" i="2"/>
  <c r="B24" i="2"/>
  <c r="C24" i="2"/>
  <c r="N24" i="2"/>
  <c r="F12" i="2"/>
  <c r="F24" i="2"/>
  <c r="B25" i="2"/>
  <c r="C25" i="2"/>
  <c r="N25" i="2"/>
  <c r="F13" i="2"/>
  <c r="F25" i="2"/>
  <c r="E13" i="2"/>
  <c r="E25" i="2"/>
  <c r="H25" i="2"/>
  <c r="I25" i="2"/>
  <c r="G25" i="2"/>
  <c r="P25" i="2"/>
  <c r="Q25" i="2"/>
  <c r="N30" i="2"/>
  <c r="N31" i="2"/>
  <c r="N32" i="2"/>
  <c r="N33" i="2"/>
  <c r="N34" i="2"/>
  <c r="N35" i="2"/>
  <c r="N36" i="2"/>
  <c r="N14" i="2"/>
  <c r="P14" i="2"/>
  <c r="N26" i="2"/>
  <c r="P26" i="2"/>
  <c r="Q26" i="2"/>
  <c r="R26" i="2"/>
  <c r="N27" i="2"/>
  <c r="P27" i="2"/>
  <c r="Q27" i="2"/>
  <c r="R27" i="2"/>
  <c r="Q14" i="2"/>
  <c r="R14" i="2"/>
  <c r="J18" i="1"/>
  <c r="J25" i="2"/>
  <c r="J13" i="2"/>
  <c r="C18" i="1"/>
  <c r="F43" i="2"/>
  <c r="F42" i="2"/>
  <c r="D43" i="2"/>
  <c r="D42" i="2"/>
  <c r="R25" i="2"/>
  <c r="T15" i="2"/>
  <c r="R13" i="2"/>
  <c r="T28" i="2"/>
  <c r="G43" i="2"/>
</calcChain>
</file>

<file path=xl/sharedStrings.xml><?xml version="1.0" encoding="utf-8"?>
<sst xmlns="http://schemas.openxmlformats.org/spreadsheetml/2006/main" count="104" uniqueCount="53">
  <si>
    <t>PZT Properties</t>
  </si>
  <si>
    <t>d33 (eff)</t>
  </si>
  <si>
    <t>s11</t>
  </si>
  <si>
    <t>s12</t>
  </si>
  <si>
    <t>s13</t>
  </si>
  <si>
    <t>Alumina</t>
  </si>
  <si>
    <t>Kapton</t>
  </si>
  <si>
    <t>Polyester-Cotton</t>
  </si>
  <si>
    <t>d33</t>
  </si>
  <si>
    <t>SD</t>
  </si>
  <si>
    <t>Fabric</t>
  </si>
  <si>
    <t>d33 average</t>
  </si>
  <si>
    <t>d33 Average</t>
  </si>
  <si>
    <t>Young's modulus</t>
  </si>
  <si>
    <t>Poisson Ratio</t>
  </si>
  <si>
    <t>Young's modulus of sub</t>
  </si>
  <si>
    <t>PZT/polymer</t>
  </si>
  <si>
    <t>Polyester-cotton</t>
  </si>
  <si>
    <t>Poisson ratio of sub</t>
  </si>
  <si>
    <t>Almumina</t>
  </si>
  <si>
    <t>U</t>
  </si>
  <si>
    <t>S</t>
  </si>
  <si>
    <t>d33(free)</t>
  </si>
  <si>
    <t>d33 (free) average</t>
  </si>
  <si>
    <t xml:space="preserve">Kapton </t>
  </si>
  <si>
    <t>d33(free) SD</t>
  </si>
  <si>
    <t>d33 (eff) average</t>
  </si>
  <si>
    <t>d33 (eff) SD</t>
  </si>
  <si>
    <t>PZT</t>
  </si>
  <si>
    <t>Polymer</t>
  </si>
  <si>
    <t>Volume fraction</t>
  </si>
  <si>
    <t>Free-standing</t>
  </si>
  <si>
    <t>Polyster-cotton</t>
  </si>
  <si>
    <t>vsub</t>
  </si>
  <si>
    <t>Ysub</t>
  </si>
  <si>
    <t>vpizo</t>
  </si>
  <si>
    <t>Ypiezo</t>
  </si>
  <si>
    <t>d33_free</t>
  </si>
  <si>
    <t>SD 1</t>
  </si>
  <si>
    <t>SD 2</t>
  </si>
  <si>
    <t>Practical freestanding</t>
  </si>
  <si>
    <t>Polyurethane</t>
  </si>
  <si>
    <t>Polyester/cotton+Interface</t>
  </si>
  <si>
    <t>Young's Modulus (Y)</t>
  </si>
  <si>
    <t>Possion ratio (v)</t>
  </si>
  <si>
    <t xml:space="preserve">Density </t>
  </si>
  <si>
    <t xml:space="preserve">Weight fraction </t>
  </si>
  <si>
    <t>-</t>
  </si>
  <si>
    <t>Polyester/cotton</t>
  </si>
  <si>
    <t>The Composite</t>
  </si>
  <si>
    <t>d33 (pC/N)</t>
  </si>
  <si>
    <t>d33 reduction (%)</t>
  </si>
  <si>
    <t xml:space="preserve">Free-stading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</si>
</sst>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1" fontId="0" fillId="0" borderId="0" xfId="0" applyNumberFormat="1"/>
    <xf numFmtId="0" fontId="0" fillId="2" borderId="0" xfId="0" applyFill="1"/>
    <xf numFmtId="11" fontId="0" fillId="2" borderId="0" xfId="0" applyNumberFormat="1" applyFill="1"/>
    <xf numFmtId="0" fontId="0" fillId="0" borderId="0" xfId="0" applyNumberFormat="1"/>
    <xf numFmtId="0" fontId="2" fillId="0" borderId="0" xfId="0" applyFont="1"/>
    <xf numFmtId="11" fontId="2" fillId="0" borderId="0" xfId="0" applyNumberFormat="1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1" fontId="0" fillId="3" borderId="0" xfId="0" applyNumberFormat="1" applyFill="1"/>
    <xf numFmtId="0" fontId="1" fillId="3" borderId="0" xfId="1" applyFill="1"/>
    <xf numFmtId="0" fontId="0" fillId="3" borderId="0" xfId="0" applyFill="1"/>
    <xf numFmtId="11" fontId="1" fillId="3" borderId="0" xfId="1" applyNumberFormat="1" applyFill="1"/>
    <xf numFmtId="0" fontId="0" fillId="4" borderId="0" xfId="0" applyFill="1"/>
    <xf numFmtId="0" fontId="2" fillId="4" borderId="0" xfId="0" applyFont="1" applyFill="1"/>
    <xf numFmtId="0" fontId="0" fillId="5" borderId="0" xfId="0" applyFill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1" fontId="0" fillId="5" borderId="0" xfId="0" applyNumberFormat="1" applyFill="1" applyAlignment="1">
      <alignment horizontal="center"/>
    </xf>
    <xf numFmtId="0" fontId="2" fillId="5" borderId="0" xfId="0" applyFont="1" applyFill="1" applyAlignment="1"/>
    <xf numFmtId="11" fontId="0" fillId="5" borderId="0" xfId="0" applyNumberFormat="1" applyFill="1"/>
    <xf numFmtId="0" fontId="2" fillId="5" borderId="0" xfId="0" applyFont="1" applyFill="1"/>
    <xf numFmtId="0" fontId="0" fillId="6" borderId="0" xfId="0" applyFill="1"/>
    <xf numFmtId="11" fontId="0" fillId="6" borderId="0" xfId="0" applyNumberFormat="1" applyFill="1"/>
    <xf numFmtId="0" fontId="2" fillId="0" borderId="0" xfId="0" applyNumberFormat="1" applyFont="1"/>
    <xf numFmtId="0" fontId="2" fillId="6" borderId="0" xfId="0" applyFont="1" applyFill="1"/>
    <xf numFmtId="0" fontId="2" fillId="5" borderId="0" xfId="0" applyFont="1" applyFill="1" applyAlignment="1"/>
    <xf numFmtId="0" fontId="2" fillId="3" borderId="0" xfId="0" applyFont="1" applyFill="1" applyAlignment="1">
      <alignment horizontal="center"/>
    </xf>
    <xf numFmtId="11" fontId="2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Measured d33clp</c:v>
          </c:tx>
          <c:invertIfNegative val="0"/>
          <c:dLbls>
            <c:dLbl>
              <c:idx val="0"/>
              <c:layout>
                <c:manualLayout>
                  <c:x val="0"/>
                  <c:y val="-8.14184504466156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\(#,##0\)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'Clamping effect'!$F$41:$F$43</c:f>
                <c:numCache>
                  <c:formatCode>General</c:formatCode>
                  <c:ptCount val="3"/>
                  <c:pt idx="0">
                    <c:v>2.6246692913372729</c:v>
                  </c:pt>
                  <c:pt idx="1">
                    <c:v>0.91893658347268115</c:v>
                  </c:pt>
                  <c:pt idx="2">
                    <c:v>0.78881063774661575</c:v>
                  </c:pt>
                </c:numCache>
              </c:numRef>
            </c:plus>
            <c:minus>
              <c:numRef>
                <c:f>'Clamping effect'!$F$41:$F$43</c:f>
                <c:numCache>
                  <c:formatCode>General</c:formatCode>
                  <c:ptCount val="3"/>
                  <c:pt idx="0">
                    <c:v>2.6246692913372729</c:v>
                  </c:pt>
                  <c:pt idx="1">
                    <c:v>0.91893658347268115</c:v>
                  </c:pt>
                  <c:pt idx="2">
                    <c:v>0.78881063774661575</c:v>
                  </c:pt>
                </c:numCache>
              </c:numRef>
            </c:minus>
          </c:errBars>
          <c:cat>
            <c:strRef>
              <c:f>'Clamping effect'!$C$41:$C$43</c:f>
              <c:strCache>
                <c:ptCount val="3"/>
                <c:pt idx="0">
                  <c:v>Polyester-cotton</c:v>
                </c:pt>
                <c:pt idx="1">
                  <c:v>Kapton </c:v>
                </c:pt>
                <c:pt idx="2">
                  <c:v>Alumina</c:v>
                </c:pt>
              </c:strCache>
            </c:strRef>
          </c:cat>
          <c:val>
            <c:numRef>
              <c:f>'Clamping effect'!$D$41:$D$43</c:f>
              <c:numCache>
                <c:formatCode>0.00E+00</c:formatCode>
                <c:ptCount val="3"/>
                <c:pt idx="0">
                  <c:v>69.999999999999986</c:v>
                </c:pt>
                <c:pt idx="1">
                  <c:v>39.800000000000011</c:v>
                </c:pt>
                <c:pt idx="2">
                  <c:v>36.200000000000003</c:v>
                </c:pt>
              </c:numCache>
            </c:numRef>
          </c:val>
        </c:ser>
        <c:ser>
          <c:idx val="1"/>
          <c:order val="1"/>
          <c:tx>
            <c:v>Modelled d33fs</c:v>
          </c:tx>
          <c:invertIfNegative val="0"/>
          <c:dLbls>
            <c:dLbl>
              <c:idx val="0"/>
              <c:layout>
                <c:manualLayout>
                  <c:x val="0"/>
                  <c:y val="-8.141845044661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412225790054105E-17"/>
                  <c:y val="-1.6283690089323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\(#,##0\)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'Clamping effect'!$G$41:$G$43</c:f>
                <c:numCache>
                  <c:formatCode>General</c:formatCode>
                  <c:ptCount val="3"/>
                  <c:pt idx="0">
                    <c:v>3.08146788098564</c:v>
                  </c:pt>
                  <c:pt idx="1">
                    <c:v>1.8728202544329222</c:v>
                  </c:pt>
                  <c:pt idx="2">
                    <c:v>1.6889151378113192</c:v>
                  </c:pt>
                </c:numCache>
              </c:numRef>
            </c:plus>
            <c:minus>
              <c:numRef>
                <c:f>'Clamping effect'!$G$41:$G$43</c:f>
                <c:numCache>
                  <c:formatCode>General</c:formatCode>
                  <c:ptCount val="3"/>
                  <c:pt idx="0">
                    <c:v>3.08146788098564</c:v>
                  </c:pt>
                  <c:pt idx="1">
                    <c:v>1.8728202544329222</c:v>
                  </c:pt>
                  <c:pt idx="2">
                    <c:v>1.6889151378113192</c:v>
                  </c:pt>
                </c:numCache>
              </c:numRef>
            </c:minus>
          </c:errBars>
          <c:cat>
            <c:strRef>
              <c:f>'Clamping effect'!$C$41:$C$43</c:f>
              <c:strCache>
                <c:ptCount val="3"/>
                <c:pt idx="0">
                  <c:v>Polyester-cotton</c:v>
                </c:pt>
                <c:pt idx="1">
                  <c:v>Kapton </c:v>
                </c:pt>
                <c:pt idx="2">
                  <c:v>Alumina</c:v>
                </c:pt>
              </c:strCache>
            </c:strRef>
          </c:cat>
          <c:val>
            <c:numRef>
              <c:f>'Clamping effect'!$E$41:$E$43</c:f>
              <c:numCache>
                <c:formatCode>0.00E+00</c:formatCode>
                <c:ptCount val="3"/>
                <c:pt idx="0">
                  <c:v>82.182830568758575</c:v>
                </c:pt>
                <c:pt idx="1">
                  <c:v>81.113590934369668</c:v>
                </c:pt>
                <c:pt idx="2">
                  <c:v>77.507484132597128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2310272"/>
        <c:axId val="130061952"/>
      </c:barChart>
      <c:catAx>
        <c:axId val="7231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Substrate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30061952"/>
        <c:crosses val="autoZero"/>
        <c:auto val="1"/>
        <c:lblAlgn val="ctr"/>
        <c:lblOffset val="100"/>
        <c:noMultiLvlLbl val="0"/>
      </c:catAx>
      <c:valAx>
        <c:axId val="130061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</a:t>
                </a:r>
                <a:r>
                  <a:rPr lang="en-GB" sz="7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33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(pC/N)</a:t>
                </a:r>
                <a:endParaRPr lang="en-GB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7231027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</c:legendEntry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Measured d33clp</c:v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0"/>
                  <c:y val="-1.0576121006369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6202082116298116E-3"/>
                  <c:y val="-2.115224201273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6202082116298116E-3"/>
                  <c:y val="-1.0576121006369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\(#,##0\)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'Actual clamping effect'!$V$16:$V$19</c:f>
                <c:numCache>
                  <c:formatCode>General</c:formatCode>
                  <c:ptCount val="4"/>
                  <c:pt idx="1">
                    <c:v>1.0954451150103324</c:v>
                  </c:pt>
                  <c:pt idx="2">
                    <c:v>0.54772255750516607</c:v>
                  </c:pt>
                  <c:pt idx="3">
                    <c:v>0.83666002653407556</c:v>
                  </c:pt>
                </c:numCache>
              </c:numRef>
            </c:plus>
            <c:minus>
              <c:numRef>
                <c:f>'Actual clamping effect'!$V$16:$V$19</c:f>
                <c:numCache>
                  <c:formatCode>General</c:formatCode>
                  <c:ptCount val="4"/>
                  <c:pt idx="1">
                    <c:v>1.0954451150103324</c:v>
                  </c:pt>
                  <c:pt idx="2">
                    <c:v>0.54772255750516607</c:v>
                  </c:pt>
                  <c:pt idx="3">
                    <c:v>0.83666002653407556</c:v>
                  </c:pt>
                </c:numCache>
              </c:numRef>
            </c:minus>
          </c:errBars>
          <c:cat>
            <c:strRef>
              <c:f>'Actual clamping effect'!$R$16:$R$19</c:f>
              <c:strCache>
                <c:ptCount val="4"/>
                <c:pt idx="1">
                  <c:v>Polyester-cotton</c:v>
                </c:pt>
                <c:pt idx="2">
                  <c:v>Kapton</c:v>
                </c:pt>
                <c:pt idx="3">
                  <c:v>Alumina</c:v>
                </c:pt>
              </c:strCache>
            </c:strRef>
          </c:cat>
          <c:val>
            <c:numRef>
              <c:f>'Actual clamping effect'!$S$16:$S$19</c:f>
              <c:numCache>
                <c:formatCode>General</c:formatCode>
                <c:ptCount val="4"/>
                <c:pt idx="1">
                  <c:v>30</c:v>
                </c:pt>
                <c:pt idx="2">
                  <c:v>16.600000000000001</c:v>
                </c:pt>
                <c:pt idx="3">
                  <c:v>15.8</c:v>
                </c:pt>
              </c:numCache>
            </c:numRef>
          </c:val>
        </c:ser>
        <c:ser>
          <c:idx val="1"/>
          <c:order val="1"/>
          <c:tx>
            <c:v>Modelled d33fs</c:v>
          </c:tx>
          <c:invertIfNegative val="0"/>
          <c:dLbls>
            <c:dLbl>
              <c:idx val="1"/>
              <c:layout>
                <c:manualLayout>
                  <c:x val="-4.0456360604629982E-17"/>
                  <c:y val="-2.115251960121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\(#,##0\)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'Actual clamping effect'!$W$16:$W$19</c:f>
                <c:numCache>
                  <c:formatCode>General</c:formatCode>
                  <c:ptCount val="4"/>
                  <c:pt idx="1">
                    <c:v>1.0954451150103324</c:v>
                  </c:pt>
                  <c:pt idx="2">
                    <c:v>0.54772255750516607</c:v>
                  </c:pt>
                  <c:pt idx="3">
                    <c:v>0.83666002653407556</c:v>
                  </c:pt>
                </c:numCache>
              </c:numRef>
            </c:plus>
            <c:minus>
              <c:numRef>
                <c:f>'Actual clamping effect'!$W$16:$W$19</c:f>
                <c:numCache>
                  <c:formatCode>General</c:formatCode>
                  <c:ptCount val="4"/>
                  <c:pt idx="1">
                    <c:v>1.0954451150103324</c:v>
                  </c:pt>
                  <c:pt idx="2">
                    <c:v>0.54772255750516607</c:v>
                  </c:pt>
                  <c:pt idx="3">
                    <c:v>0.83666002653407556</c:v>
                  </c:pt>
                </c:numCache>
              </c:numRef>
            </c:minus>
          </c:errBars>
          <c:cat>
            <c:strRef>
              <c:f>'Actual clamping effect'!$R$16:$R$19</c:f>
              <c:strCache>
                <c:ptCount val="4"/>
                <c:pt idx="1">
                  <c:v>Polyester-cotton</c:v>
                </c:pt>
                <c:pt idx="2">
                  <c:v>Kapton</c:v>
                </c:pt>
                <c:pt idx="3">
                  <c:v>Alumina</c:v>
                </c:pt>
              </c:strCache>
            </c:strRef>
          </c:cat>
          <c:val>
            <c:numRef>
              <c:f>'Actual clamping effect'!$T$16:$T$19</c:f>
              <c:numCache>
                <c:formatCode>0.00E+00</c:formatCode>
                <c:ptCount val="4"/>
                <c:pt idx="1">
                  <c:v>35.22121310089652</c:v>
                </c:pt>
                <c:pt idx="2">
                  <c:v>33.831296721370265</c:v>
                </c:pt>
                <c:pt idx="3">
                  <c:v>33.829233405940187</c:v>
                </c:pt>
              </c:numCache>
            </c:numRef>
          </c:val>
        </c:ser>
        <c:ser>
          <c:idx val="2"/>
          <c:order val="2"/>
          <c:tx>
            <c:v>Actual d33fs</c:v>
          </c:tx>
          <c:spPr>
            <a:solidFill>
              <a:schemeClr val="accent4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7948901315244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'Actual clamping effect'!$V$15</c:f>
                <c:numCache>
                  <c:formatCode>General</c:formatCode>
                  <c:ptCount val="1"/>
                  <c:pt idx="0">
                    <c:v>1.3038404810405297</c:v>
                  </c:pt>
                </c:numCache>
              </c:numRef>
            </c:plus>
            <c:minus>
              <c:numRef>
                <c:f>'Actual clamping effect'!$V$15</c:f>
                <c:numCache>
                  <c:formatCode>General</c:formatCode>
                  <c:ptCount val="1"/>
                  <c:pt idx="0">
                    <c:v>1.3038404810405297</c:v>
                  </c:pt>
                </c:numCache>
              </c:numRef>
            </c:minus>
          </c:errBars>
          <c:val>
            <c:numRef>
              <c:f>'Actual clamping effect'!$S$15</c:f>
              <c:numCache>
                <c:formatCode>General</c:formatCode>
                <c:ptCount val="1"/>
                <c:pt idx="0">
                  <c:v>35.200000000000003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2386560"/>
        <c:axId val="73498624"/>
      </c:barChart>
      <c:catAx>
        <c:axId val="7238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Substrate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spPr>
          <a:effectLst>
            <a:softEdge rad="0"/>
          </a:effectLst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73498624"/>
        <c:crosses val="autoZero"/>
        <c:auto val="1"/>
        <c:lblAlgn val="ctr"/>
        <c:lblOffset val="100"/>
        <c:noMultiLvlLbl val="0"/>
      </c:catAx>
      <c:valAx>
        <c:axId val="73498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</a:t>
                </a:r>
                <a:r>
                  <a:rPr lang="en-GB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33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(pC/N)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723865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29356050" y="17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693097</xdr:colOff>
      <xdr:row>39</xdr:row>
      <xdr:rowOff>47647</xdr:rowOff>
    </xdr:from>
    <xdr:to>
      <xdr:col>15</xdr:col>
      <xdr:colOff>666107</xdr:colOff>
      <xdr:row>55</xdr:row>
      <xdr:rowOff>164945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0.74243</cdr:x>
      <cdr:y>0.09479</cdr:y>
    </cdr:from>
    <cdr:to>
      <cdr:x>0.92471</cdr:x>
      <cdr:y>0.3879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24474" y="2957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411528</xdr:colOff>
      <xdr:row>22</xdr:row>
      <xdr:rowOff>29809</xdr:rowOff>
    </xdr:from>
    <xdr:to>
      <xdr:col>17</xdr:col>
      <xdr:colOff>592629</xdr:colOff>
      <xdr:row>41</xdr:row>
      <xdr:rowOff>12764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8"/>
  <sheetViews>
    <sheetView topLeftCell="D1" zoomScale="80" zoomScaleNormal="80" workbookViewId="0">
      <selection activeCell="T13" sqref="T13"/>
    </sheetView>
  </sheetViews>
  <sheetFormatPr defaultColWidth="8.85546875" defaultRowHeight="15" x14ac:dyDescent="0.25"/>
  <cols>
    <col min="1" max="1" width="16.7109375" customWidth="1"/>
    <col min="3" max="3" width="19.7109375" customWidth="1"/>
    <col min="4" max="5" width="12" bestFit="1" customWidth="1"/>
    <col min="6" max="6" width="15.28515625" customWidth="1"/>
    <col min="7" max="7" width="12.28515625" bestFit="1" customWidth="1"/>
    <col min="10" max="10" width="15.28515625" customWidth="1"/>
    <col min="11" max="11" width="13" bestFit="1" customWidth="1"/>
    <col min="14" max="14" width="17.7109375" customWidth="1"/>
    <col min="15" max="18" width="26" customWidth="1"/>
    <col min="19" max="19" width="21.85546875" customWidth="1"/>
    <col min="20" max="20" width="21.140625" customWidth="1"/>
    <col min="21" max="21" width="17.5703125" customWidth="1"/>
  </cols>
  <sheetData>
    <row r="3" spans="2:20" x14ac:dyDescent="0.25">
      <c r="N3" s="15"/>
      <c r="O3" s="16"/>
      <c r="P3" s="17" t="s">
        <v>46</v>
      </c>
      <c r="Q3" s="17" t="s">
        <v>45</v>
      </c>
      <c r="R3" s="17" t="s">
        <v>30</v>
      </c>
      <c r="S3" s="17" t="s">
        <v>43</v>
      </c>
      <c r="T3" s="17" t="s">
        <v>44</v>
      </c>
    </row>
    <row r="4" spans="2:20" x14ac:dyDescent="0.25">
      <c r="N4" s="27" t="s">
        <v>49</v>
      </c>
      <c r="O4" s="16" t="s">
        <v>28</v>
      </c>
      <c r="P4" s="18">
        <v>0.89</v>
      </c>
      <c r="Q4" s="18">
        <v>7600</v>
      </c>
      <c r="R4" s="18">
        <f>Q5/(Q5+(Q4*((1/P4)-1)))</f>
        <v>0.54164153736498688</v>
      </c>
      <c r="S4" s="19">
        <v>60000000000</v>
      </c>
      <c r="T4" s="18">
        <v>0.34</v>
      </c>
    </row>
    <row r="5" spans="2:20" x14ac:dyDescent="0.25">
      <c r="N5" s="27"/>
      <c r="O5" s="16" t="s">
        <v>29</v>
      </c>
      <c r="P5" s="18">
        <f>1-P4</f>
        <v>0.10999999999999999</v>
      </c>
      <c r="Q5" s="19">
        <f>1110</f>
        <v>1110</v>
      </c>
      <c r="R5" s="18">
        <f>1-R4</f>
        <v>0.45835846263501312</v>
      </c>
      <c r="S5" s="18">
        <f>200000000</f>
        <v>200000000</v>
      </c>
      <c r="T5" s="18">
        <v>0.48</v>
      </c>
    </row>
    <row r="6" spans="2:20" x14ac:dyDescent="0.25">
      <c r="N6" s="27"/>
      <c r="O6" s="16" t="s">
        <v>16</v>
      </c>
      <c r="P6" s="17" t="s">
        <v>47</v>
      </c>
      <c r="Q6" s="17" t="s">
        <v>47</v>
      </c>
      <c r="R6" s="17" t="s">
        <v>47</v>
      </c>
      <c r="S6" s="19">
        <v>131000000</v>
      </c>
      <c r="T6" s="18">
        <f>T5*(((3*T5)+(2*T4)-(3*R4*(T5-T4)))/((3*T5)+(2*T4)+(2*R4*(T5-T4))))</f>
        <v>0.39988608059315334</v>
      </c>
    </row>
    <row r="7" spans="2:20" x14ac:dyDescent="0.25">
      <c r="N7" s="20"/>
      <c r="O7" s="16"/>
      <c r="P7" s="18"/>
      <c r="Q7" s="18"/>
      <c r="R7" s="18"/>
      <c r="S7" s="18"/>
      <c r="T7" s="18"/>
    </row>
    <row r="8" spans="2:20" x14ac:dyDescent="0.25">
      <c r="N8" s="20"/>
      <c r="O8" s="16"/>
      <c r="P8" s="18"/>
      <c r="Q8" s="18"/>
      <c r="R8" s="18"/>
      <c r="S8" s="18"/>
      <c r="T8" s="18"/>
    </row>
    <row r="9" spans="2:20" x14ac:dyDescent="0.25">
      <c r="N9" s="27" t="s">
        <v>10</v>
      </c>
      <c r="O9" s="16"/>
      <c r="P9" s="17" t="s">
        <v>46</v>
      </c>
      <c r="Q9" s="17" t="s">
        <v>45</v>
      </c>
      <c r="R9" s="17" t="s">
        <v>30</v>
      </c>
      <c r="S9" s="17" t="s">
        <v>43</v>
      </c>
      <c r="T9" s="17" t="s">
        <v>44</v>
      </c>
    </row>
    <row r="10" spans="2:20" x14ac:dyDescent="0.25">
      <c r="N10" s="27"/>
      <c r="O10" s="16" t="s">
        <v>48</v>
      </c>
      <c r="P10" s="18">
        <f>1-P11</f>
        <v>0.4</v>
      </c>
      <c r="Q10" s="19">
        <f>671</f>
        <v>671</v>
      </c>
      <c r="R10" s="18">
        <f>Q11/(Q11+(Q10*((1/P10)-1)))</f>
        <v>0.58520502781784467</v>
      </c>
      <c r="S10" s="19" t="s">
        <v>47</v>
      </c>
      <c r="T10" s="18">
        <v>0.42</v>
      </c>
    </row>
    <row r="11" spans="2:20" x14ac:dyDescent="0.25">
      <c r="N11" s="27"/>
      <c r="O11" s="16" t="s">
        <v>41</v>
      </c>
      <c r="P11" s="18">
        <v>0.6</v>
      </c>
      <c r="Q11" s="19">
        <f>1420</f>
        <v>1420</v>
      </c>
      <c r="R11" s="18">
        <f>1-R10</f>
        <v>0.41479497218215533</v>
      </c>
      <c r="S11" s="18" t="s">
        <v>47</v>
      </c>
      <c r="T11" s="18">
        <v>0.47</v>
      </c>
    </row>
    <row r="12" spans="2:20" x14ac:dyDescent="0.25">
      <c r="E12" s="1"/>
      <c r="N12" s="27"/>
      <c r="O12" s="16" t="s">
        <v>42</v>
      </c>
      <c r="P12" s="17"/>
      <c r="Q12" s="17"/>
      <c r="R12" s="17" t="s">
        <v>47</v>
      </c>
      <c r="S12" s="19">
        <v>200000000</v>
      </c>
      <c r="T12" s="18">
        <f>(T10*R10)+(T11*R11)</f>
        <v>0.44073974860910775</v>
      </c>
    </row>
    <row r="13" spans="2:20" x14ac:dyDescent="0.25">
      <c r="N13" s="20"/>
      <c r="O13" s="15"/>
      <c r="P13" s="17"/>
      <c r="Q13" s="17"/>
      <c r="R13" s="17"/>
      <c r="S13" s="15"/>
      <c r="T13" s="15"/>
    </row>
    <row r="14" spans="2:20" x14ac:dyDescent="0.25">
      <c r="N14" s="20" t="s">
        <v>24</v>
      </c>
      <c r="O14" s="15"/>
      <c r="P14" s="17" t="s">
        <v>47</v>
      </c>
      <c r="Q14" s="17" t="s">
        <v>47</v>
      </c>
      <c r="R14" s="17" t="s">
        <v>47</v>
      </c>
      <c r="S14" s="21">
        <v>2500000000</v>
      </c>
      <c r="T14" s="15">
        <v>0.34</v>
      </c>
    </row>
    <row r="15" spans="2:20" x14ac:dyDescent="0.25">
      <c r="N15" s="22" t="s">
        <v>5</v>
      </c>
      <c r="O15" s="15"/>
      <c r="P15" s="15"/>
      <c r="Q15" s="15"/>
      <c r="R15" s="15"/>
      <c r="S15" s="15">
        <v>331000000000</v>
      </c>
      <c r="T15" s="15">
        <v>0.25</v>
      </c>
    </row>
    <row r="16" spans="2:20" x14ac:dyDescent="0.25">
      <c r="B16" s="28" t="s">
        <v>6</v>
      </c>
      <c r="C16" s="28"/>
      <c r="D16" s="28"/>
      <c r="E16" s="28" t="s">
        <v>10</v>
      </c>
      <c r="F16" s="28"/>
      <c r="G16" s="28"/>
      <c r="H16" s="7"/>
      <c r="I16" s="28" t="s">
        <v>19</v>
      </c>
      <c r="J16" s="28"/>
      <c r="K16" s="28"/>
    </row>
    <row r="17" spans="1:20" x14ac:dyDescent="0.25">
      <c r="B17" s="7" t="s">
        <v>8</v>
      </c>
      <c r="C17" s="7" t="s">
        <v>11</v>
      </c>
      <c r="D17" s="7" t="s">
        <v>9</v>
      </c>
      <c r="E17" s="7" t="s">
        <v>8</v>
      </c>
      <c r="F17" s="7" t="s">
        <v>12</v>
      </c>
      <c r="G17" s="7" t="s">
        <v>9</v>
      </c>
      <c r="H17" s="7"/>
      <c r="I17" s="8" t="s">
        <v>8</v>
      </c>
      <c r="J17" s="8" t="s">
        <v>12</v>
      </c>
      <c r="K17" s="8" t="s">
        <v>9</v>
      </c>
    </row>
    <row r="18" spans="1:20" ht="15.75" x14ac:dyDescent="0.25">
      <c r="A18" s="1"/>
      <c r="B18" s="9">
        <f>0.000000000039</f>
        <v>3.9000000000000001E-11</v>
      </c>
      <c r="C18" s="10">
        <f>AVERAGE(B18:B27)</f>
        <v>3.9800000000000007E-11</v>
      </c>
      <c r="D18" s="11">
        <f>STDEVA(B18:B27)</f>
        <v>9.1893658347268112E-13</v>
      </c>
      <c r="E18" s="12">
        <v>7.0000000000000004E-11</v>
      </c>
      <c r="F18" s="12">
        <f>AVERAGE(E18:E27)</f>
        <v>6.9999999999999991E-11</v>
      </c>
      <c r="G18" s="11">
        <f>STDEVA(E18:E27)</f>
        <v>2.624669291337273E-12</v>
      </c>
      <c r="H18" s="11"/>
      <c r="I18" s="9">
        <v>3.5999999999999998E-11</v>
      </c>
      <c r="J18" s="11">
        <f>AVERAGE(I18:I27)</f>
        <v>3.6200000000000002E-11</v>
      </c>
      <c r="K18" s="11">
        <f>STDEVA(I18:I26)</f>
        <v>8.3333333333333338E-13</v>
      </c>
    </row>
    <row r="19" spans="1:20" ht="15.75" x14ac:dyDescent="0.25">
      <c r="A19" s="1"/>
      <c r="B19" s="9">
        <v>3.9000000000000001E-11</v>
      </c>
      <c r="C19" s="10"/>
      <c r="D19" s="11"/>
      <c r="E19" s="12">
        <v>7.0000000000000004E-11</v>
      </c>
      <c r="F19" s="10"/>
      <c r="G19" s="11"/>
      <c r="H19" s="11"/>
      <c r="I19" s="9">
        <v>3.5000000000000002E-11</v>
      </c>
      <c r="J19" s="11"/>
      <c r="K19" s="11"/>
    </row>
    <row r="20" spans="1:20" ht="15.75" x14ac:dyDescent="0.25">
      <c r="A20" s="1"/>
      <c r="B20" s="9">
        <v>3.9000000000000001E-11</v>
      </c>
      <c r="C20" s="10"/>
      <c r="D20" s="11"/>
      <c r="E20" s="12">
        <v>6.4999999999999995E-11</v>
      </c>
      <c r="F20" s="10"/>
      <c r="G20" s="11"/>
      <c r="H20" s="11"/>
      <c r="I20" s="9">
        <v>3.5999999999999998E-11</v>
      </c>
      <c r="J20" s="11"/>
      <c r="K20" s="11"/>
    </row>
    <row r="21" spans="1:20" ht="15.75" x14ac:dyDescent="0.25">
      <c r="A21" s="1"/>
      <c r="B21" s="9">
        <v>3.9000000000000001E-11</v>
      </c>
      <c r="C21" s="10"/>
      <c r="D21" s="11"/>
      <c r="E21" s="12">
        <v>7.3000000000000006E-11</v>
      </c>
      <c r="F21" s="10"/>
      <c r="G21" s="11"/>
      <c r="H21" s="11"/>
      <c r="I21" s="9">
        <v>3.7000000000000001E-11</v>
      </c>
      <c r="J21" s="11"/>
      <c r="K21" s="11"/>
      <c r="Q21" s="1"/>
    </row>
    <row r="22" spans="1:20" ht="15.75" x14ac:dyDescent="0.25">
      <c r="A22" s="1"/>
      <c r="B22" s="9">
        <v>3.9999999999999998E-11</v>
      </c>
      <c r="C22" s="10"/>
      <c r="D22" s="11"/>
      <c r="E22" s="12">
        <v>7.1999999999999997E-11</v>
      </c>
      <c r="F22" s="10"/>
      <c r="G22" s="11"/>
      <c r="H22" s="11"/>
      <c r="I22" s="9">
        <v>3.7000000000000001E-11</v>
      </c>
      <c r="J22" s="11"/>
      <c r="K22" s="11"/>
      <c r="Q22" s="1"/>
    </row>
    <row r="23" spans="1:20" ht="15.75" x14ac:dyDescent="0.25">
      <c r="A23" s="1"/>
      <c r="B23" s="9">
        <v>3.9000000000000001E-11</v>
      </c>
      <c r="C23" s="10"/>
      <c r="D23" s="11"/>
      <c r="E23" s="12">
        <v>7.4000000000000003E-11</v>
      </c>
      <c r="F23" s="10"/>
      <c r="G23" s="11"/>
      <c r="H23" s="11"/>
      <c r="I23" s="9">
        <v>3.5000000000000002E-11</v>
      </c>
      <c r="J23" s="11"/>
      <c r="K23" s="11"/>
    </row>
    <row r="24" spans="1:20" ht="15.75" x14ac:dyDescent="0.25">
      <c r="A24" s="1"/>
      <c r="B24" s="9">
        <v>4.1000000000000001E-11</v>
      </c>
      <c r="C24" s="10"/>
      <c r="D24" s="11"/>
      <c r="E24" s="12">
        <v>7.0000000000000004E-11</v>
      </c>
      <c r="F24" s="10"/>
      <c r="G24" s="11"/>
      <c r="H24" s="11"/>
      <c r="I24" s="9">
        <v>3.7000000000000001E-11</v>
      </c>
      <c r="J24" s="11"/>
      <c r="K24" s="11"/>
    </row>
    <row r="25" spans="1:20" ht="15.75" x14ac:dyDescent="0.25">
      <c r="A25" s="1"/>
      <c r="B25" s="9">
        <v>4.1000000000000001E-11</v>
      </c>
      <c r="C25" s="10"/>
      <c r="D25" s="11"/>
      <c r="E25" s="12">
        <v>7.0000000000000004E-11</v>
      </c>
      <c r="F25" s="10"/>
      <c r="G25" s="11"/>
      <c r="H25" s="11"/>
      <c r="I25" s="9">
        <v>3.5999999999999998E-11</v>
      </c>
      <c r="J25" s="11"/>
      <c r="K25" s="11"/>
    </row>
    <row r="26" spans="1:20" ht="15.75" x14ac:dyDescent="0.25">
      <c r="A26" s="1"/>
      <c r="B26" s="9">
        <v>3.9999999999999998E-11</v>
      </c>
      <c r="C26" s="10"/>
      <c r="D26" s="11"/>
      <c r="E26" s="12">
        <v>6.7999999999999998E-11</v>
      </c>
      <c r="F26" s="10"/>
      <c r="G26" s="11"/>
      <c r="H26" s="11"/>
      <c r="I26" s="9">
        <v>3.7000000000000001E-11</v>
      </c>
      <c r="J26" s="11"/>
      <c r="K26" s="11"/>
    </row>
    <row r="27" spans="1:20" ht="15.75" x14ac:dyDescent="0.25">
      <c r="A27" s="1"/>
      <c r="B27" s="9">
        <v>4.1000000000000001E-11</v>
      </c>
      <c r="C27" s="10"/>
      <c r="D27" s="11"/>
      <c r="E27" s="12">
        <v>6.7999999999999998E-11</v>
      </c>
      <c r="F27" s="10"/>
      <c r="G27" s="11"/>
      <c r="H27" s="11"/>
      <c r="I27" s="9">
        <v>3.5999999999999998E-11</v>
      </c>
      <c r="J27" s="11"/>
      <c r="K27" s="11"/>
    </row>
    <row r="32" spans="1:20" x14ac:dyDescent="0.25">
      <c r="T32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</sheetData>
  <mergeCells count="5">
    <mergeCell ref="N4:N6"/>
    <mergeCell ref="N9:N12"/>
    <mergeCell ref="B16:D16"/>
    <mergeCell ref="E16:G16"/>
    <mergeCell ref="I16:K16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90" zoomScaleNormal="90" zoomScalePageLayoutView="77" workbookViewId="0">
      <selection activeCell="B8" sqref="B8"/>
    </sheetView>
  </sheetViews>
  <sheetFormatPr defaultColWidth="8.85546875" defaultRowHeight="15" x14ac:dyDescent="0.25"/>
  <cols>
    <col min="1" max="1" width="17.140625" customWidth="1"/>
    <col min="2" max="2" width="25.85546875" customWidth="1"/>
    <col min="3" max="3" width="32" customWidth="1"/>
    <col min="4" max="4" width="20.85546875" customWidth="1"/>
    <col min="5" max="5" width="22.85546875" customWidth="1"/>
    <col min="6" max="6" width="18.140625" customWidth="1"/>
    <col min="7" max="7" width="13.140625" customWidth="1"/>
    <col min="8" max="8" width="17.85546875" customWidth="1"/>
    <col min="9" max="9" width="18.5703125" customWidth="1"/>
    <col min="11" max="12" width="19.42578125" customWidth="1"/>
    <col min="14" max="14" width="14" bestFit="1" customWidth="1"/>
    <col min="15" max="15" width="14" customWidth="1"/>
    <col min="16" max="16" width="25.140625" customWidth="1"/>
    <col min="17" max="17" width="36.85546875" customWidth="1"/>
    <col min="18" max="18" width="21.42578125" customWidth="1"/>
    <col min="19" max="19" width="14" customWidth="1"/>
    <col min="20" max="20" width="15.85546875" customWidth="1"/>
  </cols>
  <sheetData>
    <row r="1" spans="1:20" x14ac:dyDescent="0.25">
      <c r="E1" s="29" t="s">
        <v>0</v>
      </c>
      <c r="F1" s="29"/>
      <c r="G1" s="29"/>
      <c r="H1" s="29"/>
      <c r="I1" s="29"/>
      <c r="J1" s="29"/>
    </row>
    <row r="2" spans="1:20" s="5" customFormat="1" x14ac:dyDescent="0.25">
      <c r="B2" s="5" t="s">
        <v>15</v>
      </c>
      <c r="C2" s="5" t="s">
        <v>18</v>
      </c>
      <c r="E2" s="6" t="s">
        <v>13</v>
      </c>
      <c r="F2" s="5" t="s">
        <v>14</v>
      </c>
      <c r="G2" s="5" t="s">
        <v>2</v>
      </c>
      <c r="H2" s="5" t="s">
        <v>3</v>
      </c>
      <c r="I2" s="5" t="s">
        <v>4</v>
      </c>
      <c r="J2" s="5" t="s">
        <v>1</v>
      </c>
      <c r="K2" s="5" t="s">
        <v>26</v>
      </c>
      <c r="L2" s="5" t="s">
        <v>27</v>
      </c>
      <c r="N2" s="5" t="str">
        <f>"-(v/Y)"</f>
        <v>-(v/Y)</v>
      </c>
      <c r="P2" s="5" t="s">
        <v>20</v>
      </c>
      <c r="Q2" s="5" t="s">
        <v>21</v>
      </c>
      <c r="R2" s="5" t="s">
        <v>23</v>
      </c>
      <c r="S2" s="5" t="s">
        <v>22</v>
      </c>
      <c r="T2" s="5" t="s">
        <v>25</v>
      </c>
    </row>
    <row r="3" spans="1:20" x14ac:dyDescent="0.25">
      <c r="A3" s="5" t="s">
        <v>7</v>
      </c>
      <c r="B3" s="1">
        <f>Properties!S12</f>
        <v>200000000</v>
      </c>
      <c r="C3">
        <f>Properties!T12</f>
        <v>0.44073974860910775</v>
      </c>
      <c r="E3" s="1">
        <f>Properties!S6</f>
        <v>131000000</v>
      </c>
      <c r="F3">
        <f>Properties!T6</f>
        <v>0.39988608059315334</v>
      </c>
      <c r="G3" s="1">
        <f>1/E3</f>
        <v>7.6335877862595424E-9</v>
      </c>
      <c r="H3">
        <f>-(F3/E3)</f>
        <v>-3.0525655007110942E-9</v>
      </c>
      <c r="I3">
        <f>H3</f>
        <v>-3.0525655007110942E-9</v>
      </c>
      <c r="J3" s="1">
        <f>Properties!E18</f>
        <v>7.0000000000000004E-11</v>
      </c>
      <c r="K3" s="1">
        <f>AVERAGE(J3:J12)</f>
        <v>6.9999999999999991E-11</v>
      </c>
      <c r="L3">
        <f>STDEVA(J3:J12)</f>
        <v>2.624669291337273E-12</v>
      </c>
      <c r="N3">
        <f>-(C3/B3)</f>
        <v>-2.2036987430455387E-9</v>
      </c>
      <c r="P3" s="1">
        <f>(N3-I3)/(G3+H3)</f>
        <v>0.18530072650889268</v>
      </c>
      <c r="Q3" s="1">
        <f>1-(0.8*P3)</f>
        <v>0.85175941879288586</v>
      </c>
      <c r="R3" s="1">
        <f>J3/Q3</f>
        <v>8.2182830568758558E-11</v>
      </c>
      <c r="S3" s="1">
        <f>AVERAGE(R3:R12)</f>
        <v>8.2182830568758571E-11</v>
      </c>
      <c r="T3">
        <f>STDEVA(R3:R12)</f>
        <v>3.0814678809856398E-12</v>
      </c>
    </row>
    <row r="4" spans="1:20" x14ac:dyDescent="0.25">
      <c r="A4" s="5"/>
      <c r="B4" s="1">
        <f>B3</f>
        <v>200000000</v>
      </c>
      <c r="C4">
        <f>C3</f>
        <v>0.44073974860910775</v>
      </c>
      <c r="E4" s="1">
        <f>E3</f>
        <v>131000000</v>
      </c>
      <c r="F4">
        <f>F3</f>
        <v>0.39988608059315334</v>
      </c>
      <c r="G4" s="1">
        <f>G3</f>
        <v>7.6335877862595424E-9</v>
      </c>
      <c r="H4">
        <f>H3</f>
        <v>-3.0525655007110942E-9</v>
      </c>
      <c r="I4" s="1">
        <f>I3</f>
        <v>-3.0525655007110942E-9</v>
      </c>
      <c r="J4" s="1">
        <f>Properties!E19</f>
        <v>7.0000000000000004E-11</v>
      </c>
      <c r="N4">
        <f t="shared" ref="N4:N36" si="0">-(C4/B4)</f>
        <v>-2.2036987430455387E-9</v>
      </c>
      <c r="P4" s="1">
        <f t="shared" ref="P4:P37" si="1">(N4-I4)/(G4+H4)</f>
        <v>0.18530072650889268</v>
      </c>
      <c r="Q4" s="1">
        <f>1-(0.8*P4)</f>
        <v>0.85175941879288586</v>
      </c>
      <c r="R4" s="1">
        <f t="shared" ref="R4:R37" si="2">J4/Q4</f>
        <v>8.2182830568758558E-11</v>
      </c>
    </row>
    <row r="5" spans="1:20" x14ac:dyDescent="0.25">
      <c r="A5" s="5"/>
      <c r="B5" s="1">
        <f>B4</f>
        <v>200000000</v>
      </c>
      <c r="C5">
        <f t="shared" ref="C5:C13" si="3">C4</f>
        <v>0.44073974860910775</v>
      </c>
      <c r="E5" s="1">
        <f t="shared" ref="E5:E13" si="4">E4</f>
        <v>131000000</v>
      </c>
      <c r="F5">
        <f t="shared" ref="F5:F13" si="5">F4</f>
        <v>0.39988608059315334</v>
      </c>
      <c r="G5" s="1">
        <f>G4</f>
        <v>7.6335877862595424E-9</v>
      </c>
      <c r="H5">
        <f t="shared" ref="H5:H13" si="6">H4</f>
        <v>-3.0525655007110942E-9</v>
      </c>
      <c r="I5" s="1">
        <f t="shared" ref="I5:I13" si="7">I4</f>
        <v>-3.0525655007110942E-9</v>
      </c>
      <c r="J5">
        <f>Properties!E20</f>
        <v>6.4999999999999995E-11</v>
      </c>
      <c r="N5">
        <f t="shared" si="0"/>
        <v>-2.2036987430455387E-9</v>
      </c>
      <c r="P5" s="1">
        <f t="shared" si="1"/>
        <v>0.18530072650889268</v>
      </c>
      <c r="Q5" s="1">
        <f>1-(0.8*P5)</f>
        <v>0.85175941879288586</v>
      </c>
      <c r="R5" s="1">
        <f t="shared" si="2"/>
        <v>7.6312628385275795E-11</v>
      </c>
    </row>
    <row r="6" spans="1:20" x14ac:dyDescent="0.25">
      <c r="A6" s="5"/>
      <c r="B6">
        <f t="shared" ref="B5:B13" si="8">B5</f>
        <v>200000000</v>
      </c>
      <c r="C6">
        <f t="shared" si="3"/>
        <v>0.44073974860910775</v>
      </c>
      <c r="E6" s="1">
        <f t="shared" si="4"/>
        <v>131000000</v>
      </c>
      <c r="F6">
        <f t="shared" si="5"/>
        <v>0.39988608059315334</v>
      </c>
      <c r="G6" s="1">
        <f t="shared" ref="G6:G12" si="9">G5</f>
        <v>7.6335877862595424E-9</v>
      </c>
      <c r="H6">
        <f t="shared" si="6"/>
        <v>-3.0525655007110942E-9</v>
      </c>
      <c r="I6" s="1">
        <f t="shared" si="7"/>
        <v>-3.0525655007110942E-9</v>
      </c>
      <c r="J6">
        <f>Properties!E21</f>
        <v>7.3000000000000006E-11</v>
      </c>
      <c r="N6">
        <f t="shared" si="0"/>
        <v>-2.2036987430455387E-9</v>
      </c>
      <c r="P6" s="1">
        <f t="shared" si="1"/>
        <v>0.18530072650889268</v>
      </c>
      <c r="Q6" s="1">
        <f t="shared" ref="Q6:Q37" si="10">1-(0.8*P6)</f>
        <v>0.85175941879288586</v>
      </c>
      <c r="R6" s="1">
        <f t="shared" si="2"/>
        <v>8.570495187884822E-11</v>
      </c>
    </row>
    <row r="7" spans="1:20" x14ac:dyDescent="0.25">
      <c r="A7" s="5"/>
      <c r="B7">
        <f>B6</f>
        <v>200000000</v>
      </c>
      <c r="C7">
        <f t="shared" si="3"/>
        <v>0.44073974860910775</v>
      </c>
      <c r="E7" s="1">
        <f t="shared" si="4"/>
        <v>131000000</v>
      </c>
      <c r="F7">
        <f t="shared" si="5"/>
        <v>0.39988608059315334</v>
      </c>
      <c r="G7" s="1">
        <f t="shared" si="9"/>
        <v>7.6335877862595424E-9</v>
      </c>
      <c r="H7">
        <f t="shared" si="6"/>
        <v>-3.0525655007110942E-9</v>
      </c>
      <c r="I7" s="1">
        <f t="shared" si="7"/>
        <v>-3.0525655007110942E-9</v>
      </c>
      <c r="J7">
        <f>Properties!E22</f>
        <v>7.1999999999999997E-11</v>
      </c>
      <c r="N7">
        <f t="shared" si="0"/>
        <v>-2.2036987430455387E-9</v>
      </c>
      <c r="P7" s="1">
        <f t="shared" si="1"/>
        <v>0.18530072650889268</v>
      </c>
      <c r="Q7" s="1">
        <f t="shared" si="10"/>
        <v>0.85175941879288586</v>
      </c>
      <c r="R7" s="1">
        <f t="shared" si="2"/>
        <v>8.4530911442151658E-11</v>
      </c>
    </row>
    <row r="8" spans="1:20" x14ac:dyDescent="0.25">
      <c r="A8" s="5"/>
      <c r="B8">
        <f t="shared" si="8"/>
        <v>200000000</v>
      </c>
      <c r="C8">
        <f t="shared" si="3"/>
        <v>0.44073974860910775</v>
      </c>
      <c r="E8" s="1">
        <f t="shared" si="4"/>
        <v>131000000</v>
      </c>
      <c r="F8">
        <f t="shared" si="5"/>
        <v>0.39988608059315334</v>
      </c>
      <c r="G8" s="1">
        <f t="shared" si="9"/>
        <v>7.6335877862595424E-9</v>
      </c>
      <c r="H8">
        <f t="shared" si="6"/>
        <v>-3.0525655007110942E-9</v>
      </c>
      <c r="I8" s="1">
        <f t="shared" si="7"/>
        <v>-3.0525655007110942E-9</v>
      </c>
      <c r="J8">
        <f>Properties!E23</f>
        <v>7.4000000000000003E-11</v>
      </c>
      <c r="N8">
        <f t="shared" si="0"/>
        <v>-2.2036987430455387E-9</v>
      </c>
      <c r="P8" s="1">
        <f t="shared" si="1"/>
        <v>0.18530072650889268</v>
      </c>
      <c r="Q8" s="1">
        <f t="shared" si="10"/>
        <v>0.85175941879288586</v>
      </c>
      <c r="R8" s="1">
        <f t="shared" si="2"/>
        <v>8.6878992315544757E-11</v>
      </c>
    </row>
    <row r="9" spans="1:20" x14ac:dyDescent="0.25">
      <c r="A9" s="5"/>
      <c r="B9">
        <f t="shared" si="8"/>
        <v>200000000</v>
      </c>
      <c r="C9">
        <f t="shared" si="3"/>
        <v>0.44073974860910775</v>
      </c>
      <c r="E9" s="1">
        <f t="shared" si="4"/>
        <v>131000000</v>
      </c>
      <c r="F9">
        <f t="shared" si="5"/>
        <v>0.39988608059315334</v>
      </c>
      <c r="G9" s="1">
        <f t="shared" si="9"/>
        <v>7.6335877862595424E-9</v>
      </c>
      <c r="H9">
        <f t="shared" si="6"/>
        <v>-3.0525655007110942E-9</v>
      </c>
      <c r="I9" s="1">
        <f t="shared" si="7"/>
        <v>-3.0525655007110942E-9</v>
      </c>
      <c r="J9">
        <f>Properties!E24</f>
        <v>7.0000000000000004E-11</v>
      </c>
      <c r="N9">
        <f t="shared" si="0"/>
        <v>-2.2036987430455387E-9</v>
      </c>
      <c r="P9" s="1">
        <f t="shared" si="1"/>
        <v>0.18530072650889268</v>
      </c>
      <c r="Q9" s="1">
        <f t="shared" si="10"/>
        <v>0.85175941879288586</v>
      </c>
      <c r="R9" s="1">
        <f t="shared" si="2"/>
        <v>8.2182830568758558E-11</v>
      </c>
    </row>
    <row r="10" spans="1:20" x14ac:dyDescent="0.25">
      <c r="A10" s="5"/>
      <c r="B10">
        <f t="shared" si="8"/>
        <v>200000000</v>
      </c>
      <c r="C10">
        <f>C9</f>
        <v>0.44073974860910775</v>
      </c>
      <c r="E10" s="1">
        <f t="shared" si="4"/>
        <v>131000000</v>
      </c>
      <c r="F10">
        <f t="shared" si="5"/>
        <v>0.39988608059315334</v>
      </c>
      <c r="G10" s="1">
        <f t="shared" si="9"/>
        <v>7.6335877862595424E-9</v>
      </c>
      <c r="H10">
        <f t="shared" si="6"/>
        <v>-3.0525655007110942E-9</v>
      </c>
      <c r="I10" s="1">
        <f t="shared" si="7"/>
        <v>-3.0525655007110942E-9</v>
      </c>
      <c r="J10">
        <f>Properties!E25</f>
        <v>7.0000000000000004E-11</v>
      </c>
      <c r="N10">
        <f>-(C10/B10)</f>
        <v>-2.2036987430455387E-9</v>
      </c>
      <c r="P10" s="1">
        <f t="shared" si="1"/>
        <v>0.18530072650889268</v>
      </c>
      <c r="Q10" s="1">
        <f t="shared" si="10"/>
        <v>0.85175941879288586</v>
      </c>
      <c r="R10" s="1">
        <f t="shared" si="2"/>
        <v>8.2182830568758558E-11</v>
      </c>
    </row>
    <row r="11" spans="1:20" x14ac:dyDescent="0.25">
      <c r="A11" s="5"/>
      <c r="B11">
        <f>B10</f>
        <v>200000000</v>
      </c>
      <c r="C11">
        <f>C10</f>
        <v>0.44073974860910775</v>
      </c>
      <c r="E11" s="1">
        <f t="shared" si="4"/>
        <v>131000000</v>
      </c>
      <c r="F11">
        <f t="shared" si="5"/>
        <v>0.39988608059315334</v>
      </c>
      <c r="G11" s="1">
        <f t="shared" si="9"/>
        <v>7.6335877862595424E-9</v>
      </c>
      <c r="H11">
        <f t="shared" si="6"/>
        <v>-3.0525655007110942E-9</v>
      </c>
      <c r="I11" s="1">
        <f t="shared" si="7"/>
        <v>-3.0525655007110942E-9</v>
      </c>
      <c r="J11">
        <f>Properties!E26</f>
        <v>6.7999999999999998E-11</v>
      </c>
      <c r="N11">
        <f t="shared" si="0"/>
        <v>-2.2036987430455387E-9</v>
      </c>
      <c r="P11" s="1">
        <f t="shared" si="1"/>
        <v>0.18530072650889268</v>
      </c>
      <c r="Q11" s="1">
        <f t="shared" si="10"/>
        <v>0.85175941879288586</v>
      </c>
      <c r="R11" s="1">
        <f t="shared" si="2"/>
        <v>7.9834749695365445E-11</v>
      </c>
    </row>
    <row r="12" spans="1:20" x14ac:dyDescent="0.25">
      <c r="A12" s="5"/>
      <c r="B12">
        <f t="shared" si="8"/>
        <v>200000000</v>
      </c>
      <c r="C12">
        <f t="shared" si="3"/>
        <v>0.44073974860910775</v>
      </c>
      <c r="E12" s="1">
        <f t="shared" si="4"/>
        <v>131000000</v>
      </c>
      <c r="F12">
        <f t="shared" si="5"/>
        <v>0.39988608059315334</v>
      </c>
      <c r="G12" s="1">
        <f t="shared" si="9"/>
        <v>7.6335877862595424E-9</v>
      </c>
      <c r="H12">
        <f t="shared" si="6"/>
        <v>-3.0525655007110942E-9</v>
      </c>
      <c r="I12" s="1">
        <f t="shared" si="7"/>
        <v>-3.0525655007110942E-9</v>
      </c>
      <c r="J12">
        <f>Properties!E27</f>
        <v>6.7999999999999998E-11</v>
      </c>
      <c r="N12">
        <f t="shared" si="0"/>
        <v>-2.2036987430455387E-9</v>
      </c>
      <c r="P12" s="1">
        <f t="shared" si="1"/>
        <v>0.18530072650889268</v>
      </c>
      <c r="Q12" s="1">
        <f t="shared" si="10"/>
        <v>0.85175941879288586</v>
      </c>
      <c r="R12" s="1">
        <f t="shared" si="2"/>
        <v>7.9834749695365445E-11</v>
      </c>
    </row>
    <row r="13" spans="1:20" x14ac:dyDescent="0.25">
      <c r="A13" s="5"/>
      <c r="B13">
        <f t="shared" si="8"/>
        <v>200000000</v>
      </c>
      <c r="C13">
        <f t="shared" si="3"/>
        <v>0.44073974860910775</v>
      </c>
      <c r="E13" s="1">
        <f t="shared" si="4"/>
        <v>131000000</v>
      </c>
      <c r="F13">
        <f t="shared" si="5"/>
        <v>0.39988608059315334</v>
      </c>
      <c r="G13" s="1">
        <f>G12</f>
        <v>7.6335877862595424E-9</v>
      </c>
      <c r="H13">
        <f t="shared" si="6"/>
        <v>-3.0525655007110942E-9</v>
      </c>
      <c r="I13" s="1">
        <f t="shared" si="7"/>
        <v>-3.0525655007110942E-9</v>
      </c>
      <c r="J13">
        <f>Properties!E28</f>
        <v>0</v>
      </c>
      <c r="N13">
        <f t="shared" si="0"/>
        <v>-2.2036987430455387E-9</v>
      </c>
      <c r="P13" s="1">
        <f t="shared" si="1"/>
        <v>0.18530072650889268</v>
      </c>
      <c r="Q13" s="1">
        <f t="shared" si="10"/>
        <v>0.85175941879288586</v>
      </c>
      <c r="R13" s="1">
        <f t="shared" si="2"/>
        <v>0</v>
      </c>
    </row>
    <row r="14" spans="1:20" x14ac:dyDescent="0.25">
      <c r="A14" s="5"/>
      <c r="E14" s="1"/>
      <c r="G14" s="1"/>
      <c r="I14" s="1"/>
      <c r="N14" t="e">
        <f t="shared" si="0"/>
        <v>#DIV/0!</v>
      </c>
      <c r="P14" s="1" t="e">
        <f t="shared" si="1"/>
        <v>#DIV/0!</v>
      </c>
      <c r="Q14" s="1" t="e">
        <f t="shared" si="10"/>
        <v>#DIV/0!</v>
      </c>
      <c r="R14" s="1" t="e">
        <f t="shared" si="2"/>
        <v>#DIV/0!</v>
      </c>
    </row>
    <row r="15" spans="1:20" x14ac:dyDescent="0.25">
      <c r="A15" s="5" t="s">
        <v>6</v>
      </c>
      <c r="B15" s="1">
        <f>Properties!S14</f>
        <v>2500000000</v>
      </c>
      <c r="C15">
        <f>Properties!T14</f>
        <v>0.34</v>
      </c>
      <c r="E15" s="1">
        <f>E3</f>
        <v>131000000</v>
      </c>
      <c r="F15">
        <f>F3</f>
        <v>0.39988608059315334</v>
      </c>
      <c r="G15" s="1">
        <f t="shared" ref="G15:G37" si="11">1/E15</f>
        <v>7.6335877862595424E-9</v>
      </c>
      <c r="H15">
        <f>-(F15/E15)</f>
        <v>-3.0525655007110942E-9</v>
      </c>
      <c r="I15">
        <f>H15</f>
        <v>-3.0525655007110942E-9</v>
      </c>
      <c r="J15" s="1">
        <f>Properties!B18</f>
        <v>3.9000000000000001E-11</v>
      </c>
      <c r="K15">
        <f>AVERAGE(J15:J24)</f>
        <v>3.9800000000000007E-11</v>
      </c>
      <c r="L15">
        <f>STDEVA(J15:J24)</f>
        <v>9.1893658347268112E-13</v>
      </c>
      <c r="N15">
        <f>-(C15/B15)</f>
        <v>-1.3600000000000002E-10</v>
      </c>
      <c r="P15" s="1">
        <f t="shared" si="1"/>
        <v>0.63666258728141456</v>
      </c>
      <c r="Q15" s="1">
        <f>1-(0.8*P15)</f>
        <v>0.49066993017486837</v>
      </c>
      <c r="R15" s="1">
        <f>J15/Q15</f>
        <v>7.9483166995990377E-11</v>
      </c>
      <c r="S15" s="1">
        <f>AVERAGE(R15:R24)</f>
        <v>8.1113590934369671E-11</v>
      </c>
      <c r="T15">
        <f>STDEVA(R15:R24)</f>
        <v>1.8728202544329221E-12</v>
      </c>
    </row>
    <row r="16" spans="1:20" x14ac:dyDescent="0.25">
      <c r="A16" s="5"/>
      <c r="B16" s="1">
        <f>B15</f>
        <v>2500000000</v>
      </c>
      <c r="C16">
        <f>C15</f>
        <v>0.34</v>
      </c>
      <c r="E16" s="1">
        <f t="shared" ref="E16:F25" si="12">E4</f>
        <v>131000000</v>
      </c>
      <c r="F16">
        <f t="shared" si="12"/>
        <v>0.39988608059315334</v>
      </c>
      <c r="G16" s="1">
        <f t="shared" si="11"/>
        <v>7.6335877862595424E-9</v>
      </c>
      <c r="H16">
        <f t="shared" ref="H16:H37" si="13">-(F16/E16)</f>
        <v>-3.0525655007110942E-9</v>
      </c>
      <c r="I16">
        <f t="shared" ref="I16:I37" si="14">H16</f>
        <v>-3.0525655007110942E-9</v>
      </c>
      <c r="J16">
        <f>Properties!B19</f>
        <v>3.9000000000000001E-11</v>
      </c>
      <c r="N16">
        <f>-(C16/B16)</f>
        <v>-1.3600000000000002E-10</v>
      </c>
      <c r="P16" s="1">
        <f t="shared" si="1"/>
        <v>0.63666258728141456</v>
      </c>
      <c r="Q16" s="1">
        <f>1-(0.8*P16)</f>
        <v>0.49066993017486837</v>
      </c>
      <c r="R16" s="1">
        <f t="shared" si="2"/>
        <v>7.9483166995990377E-11</v>
      </c>
    </row>
    <row r="17" spans="1:20" x14ac:dyDescent="0.25">
      <c r="A17" s="5"/>
      <c r="B17" s="1">
        <f t="shared" ref="B17:B25" si="15">B16</f>
        <v>2500000000</v>
      </c>
      <c r="C17">
        <f t="shared" ref="C17:C25" si="16">C16</f>
        <v>0.34</v>
      </c>
      <c r="E17" s="1">
        <f t="shared" si="12"/>
        <v>131000000</v>
      </c>
      <c r="F17">
        <f t="shared" si="12"/>
        <v>0.39988608059315334</v>
      </c>
      <c r="G17" s="1">
        <f t="shared" si="11"/>
        <v>7.6335877862595424E-9</v>
      </c>
      <c r="H17">
        <f t="shared" si="13"/>
        <v>-3.0525655007110942E-9</v>
      </c>
      <c r="I17">
        <f t="shared" si="14"/>
        <v>-3.0525655007110942E-9</v>
      </c>
      <c r="J17">
        <f>Properties!B20</f>
        <v>3.9000000000000001E-11</v>
      </c>
      <c r="N17">
        <f t="shared" si="0"/>
        <v>-1.3600000000000002E-10</v>
      </c>
      <c r="P17" s="1">
        <f t="shared" si="1"/>
        <v>0.63666258728141456</v>
      </c>
      <c r="Q17" s="1">
        <f t="shared" si="10"/>
        <v>0.49066993017486837</v>
      </c>
      <c r="R17" s="1">
        <f t="shared" si="2"/>
        <v>7.9483166995990377E-11</v>
      </c>
    </row>
    <row r="18" spans="1:20" x14ac:dyDescent="0.25">
      <c r="A18" s="5"/>
      <c r="B18" s="1">
        <f t="shared" si="15"/>
        <v>2500000000</v>
      </c>
      <c r="C18">
        <f t="shared" si="16"/>
        <v>0.34</v>
      </c>
      <c r="E18" s="1">
        <f t="shared" si="12"/>
        <v>131000000</v>
      </c>
      <c r="F18">
        <f t="shared" si="12"/>
        <v>0.39988608059315334</v>
      </c>
      <c r="G18" s="1">
        <f t="shared" si="11"/>
        <v>7.6335877862595424E-9</v>
      </c>
      <c r="H18">
        <f t="shared" si="13"/>
        <v>-3.0525655007110942E-9</v>
      </c>
      <c r="I18">
        <f t="shared" si="14"/>
        <v>-3.0525655007110942E-9</v>
      </c>
      <c r="J18">
        <f>Properties!B21</f>
        <v>3.9000000000000001E-11</v>
      </c>
      <c r="N18">
        <f t="shared" si="0"/>
        <v>-1.3600000000000002E-10</v>
      </c>
      <c r="P18" s="1">
        <f t="shared" si="1"/>
        <v>0.63666258728141456</v>
      </c>
      <c r="Q18" s="1">
        <f t="shared" si="10"/>
        <v>0.49066993017486837</v>
      </c>
      <c r="R18" s="1">
        <f t="shared" si="2"/>
        <v>7.9483166995990377E-11</v>
      </c>
    </row>
    <row r="19" spans="1:20" x14ac:dyDescent="0.25">
      <c r="A19" s="5"/>
      <c r="B19" s="1">
        <f t="shared" si="15"/>
        <v>2500000000</v>
      </c>
      <c r="C19">
        <f t="shared" si="16"/>
        <v>0.34</v>
      </c>
      <c r="E19" s="1">
        <f t="shared" si="12"/>
        <v>131000000</v>
      </c>
      <c r="F19">
        <f t="shared" si="12"/>
        <v>0.39988608059315334</v>
      </c>
      <c r="G19" s="1">
        <f t="shared" si="11"/>
        <v>7.6335877862595424E-9</v>
      </c>
      <c r="H19">
        <f t="shared" si="13"/>
        <v>-3.0525655007110942E-9</v>
      </c>
      <c r="I19">
        <f t="shared" si="14"/>
        <v>-3.0525655007110942E-9</v>
      </c>
      <c r="J19">
        <f>Properties!B22</f>
        <v>3.9999999999999998E-11</v>
      </c>
      <c r="N19">
        <f t="shared" si="0"/>
        <v>-1.3600000000000002E-10</v>
      </c>
      <c r="P19" s="1">
        <f t="shared" si="1"/>
        <v>0.63666258728141456</v>
      </c>
      <c r="Q19" s="1">
        <f t="shared" si="10"/>
        <v>0.49066993017486837</v>
      </c>
      <c r="R19" s="1">
        <f t="shared" si="2"/>
        <v>8.1521196918964482E-11</v>
      </c>
    </row>
    <row r="20" spans="1:20" x14ac:dyDescent="0.25">
      <c r="A20" s="5"/>
      <c r="B20" s="1">
        <f t="shared" si="15"/>
        <v>2500000000</v>
      </c>
      <c r="C20">
        <f t="shared" si="16"/>
        <v>0.34</v>
      </c>
      <c r="E20" s="1">
        <f t="shared" si="12"/>
        <v>131000000</v>
      </c>
      <c r="F20">
        <f t="shared" si="12"/>
        <v>0.39988608059315334</v>
      </c>
      <c r="G20" s="1">
        <f t="shared" si="11"/>
        <v>7.6335877862595424E-9</v>
      </c>
      <c r="H20">
        <f t="shared" si="13"/>
        <v>-3.0525655007110942E-9</v>
      </c>
      <c r="I20">
        <f t="shared" si="14"/>
        <v>-3.0525655007110942E-9</v>
      </c>
      <c r="J20">
        <f>Properties!B23</f>
        <v>3.9000000000000001E-11</v>
      </c>
      <c r="N20">
        <f t="shared" si="0"/>
        <v>-1.3600000000000002E-10</v>
      </c>
      <c r="P20" s="1">
        <f t="shared" si="1"/>
        <v>0.63666258728141456</v>
      </c>
      <c r="Q20" s="1">
        <f t="shared" si="10"/>
        <v>0.49066993017486837</v>
      </c>
      <c r="R20" s="1">
        <f t="shared" si="2"/>
        <v>7.9483166995990377E-11</v>
      </c>
    </row>
    <row r="21" spans="1:20" x14ac:dyDescent="0.25">
      <c r="A21" s="5"/>
      <c r="B21" s="1">
        <f t="shared" si="15"/>
        <v>2500000000</v>
      </c>
      <c r="C21">
        <f t="shared" si="16"/>
        <v>0.34</v>
      </c>
      <c r="E21" s="1">
        <f t="shared" si="12"/>
        <v>131000000</v>
      </c>
      <c r="F21">
        <f t="shared" si="12"/>
        <v>0.39988608059315334</v>
      </c>
      <c r="G21" s="1">
        <f t="shared" si="11"/>
        <v>7.6335877862595424E-9</v>
      </c>
      <c r="H21">
        <f t="shared" si="13"/>
        <v>-3.0525655007110942E-9</v>
      </c>
      <c r="I21">
        <f t="shared" si="14"/>
        <v>-3.0525655007110942E-9</v>
      </c>
      <c r="J21">
        <f>Properties!B24</f>
        <v>4.1000000000000001E-11</v>
      </c>
      <c r="N21">
        <f t="shared" si="0"/>
        <v>-1.3600000000000002E-10</v>
      </c>
      <c r="P21" s="1">
        <f t="shared" si="1"/>
        <v>0.63666258728141456</v>
      </c>
      <c r="Q21" s="1">
        <f t="shared" si="10"/>
        <v>0.49066993017486837</v>
      </c>
      <c r="R21" s="1">
        <f t="shared" si="2"/>
        <v>8.35592268419386E-11</v>
      </c>
    </row>
    <row r="22" spans="1:20" x14ac:dyDescent="0.25">
      <c r="A22" s="5"/>
      <c r="B22" s="1">
        <f t="shared" si="15"/>
        <v>2500000000</v>
      </c>
      <c r="C22">
        <f t="shared" si="16"/>
        <v>0.34</v>
      </c>
      <c r="E22" s="1">
        <f t="shared" si="12"/>
        <v>131000000</v>
      </c>
      <c r="F22">
        <f t="shared" si="12"/>
        <v>0.39988608059315334</v>
      </c>
      <c r="G22" s="1">
        <f t="shared" si="11"/>
        <v>7.6335877862595424E-9</v>
      </c>
      <c r="H22">
        <f t="shared" si="13"/>
        <v>-3.0525655007110942E-9</v>
      </c>
      <c r="I22">
        <f t="shared" si="14"/>
        <v>-3.0525655007110942E-9</v>
      </c>
      <c r="J22">
        <f>Properties!B25</f>
        <v>4.1000000000000001E-11</v>
      </c>
      <c r="N22">
        <f>-(C22/B22)</f>
        <v>-1.3600000000000002E-10</v>
      </c>
      <c r="P22" s="1">
        <f t="shared" si="1"/>
        <v>0.63666258728141456</v>
      </c>
      <c r="Q22" s="1">
        <f t="shared" si="10"/>
        <v>0.49066993017486837</v>
      </c>
      <c r="R22" s="1">
        <f t="shared" si="2"/>
        <v>8.35592268419386E-11</v>
      </c>
    </row>
    <row r="23" spans="1:20" x14ac:dyDescent="0.25">
      <c r="A23" s="5"/>
      <c r="B23" s="1">
        <f t="shared" si="15"/>
        <v>2500000000</v>
      </c>
      <c r="C23">
        <f t="shared" si="16"/>
        <v>0.34</v>
      </c>
      <c r="E23" s="1">
        <f t="shared" si="12"/>
        <v>131000000</v>
      </c>
      <c r="F23">
        <f t="shared" si="12"/>
        <v>0.39988608059315334</v>
      </c>
      <c r="G23" s="1">
        <f t="shared" si="11"/>
        <v>7.6335877862595424E-9</v>
      </c>
      <c r="H23">
        <f t="shared" si="13"/>
        <v>-3.0525655007110942E-9</v>
      </c>
      <c r="I23">
        <f t="shared" si="14"/>
        <v>-3.0525655007110942E-9</v>
      </c>
      <c r="J23">
        <f>Properties!B26</f>
        <v>3.9999999999999998E-11</v>
      </c>
      <c r="N23">
        <f t="shared" si="0"/>
        <v>-1.3600000000000002E-10</v>
      </c>
      <c r="P23" s="1">
        <f t="shared" si="1"/>
        <v>0.63666258728141456</v>
      </c>
      <c r="Q23" s="1">
        <f t="shared" si="10"/>
        <v>0.49066993017486837</v>
      </c>
      <c r="R23" s="1">
        <f t="shared" si="2"/>
        <v>8.1521196918964482E-11</v>
      </c>
    </row>
    <row r="24" spans="1:20" x14ac:dyDescent="0.25">
      <c r="A24" s="5"/>
      <c r="B24" s="1">
        <f t="shared" si="15"/>
        <v>2500000000</v>
      </c>
      <c r="C24">
        <f t="shared" si="16"/>
        <v>0.34</v>
      </c>
      <c r="E24" s="1">
        <f t="shared" si="12"/>
        <v>131000000</v>
      </c>
      <c r="F24">
        <f t="shared" si="12"/>
        <v>0.39988608059315334</v>
      </c>
      <c r="G24" s="1">
        <f t="shared" si="11"/>
        <v>7.6335877862595424E-9</v>
      </c>
      <c r="H24">
        <f t="shared" si="13"/>
        <v>-3.0525655007110942E-9</v>
      </c>
      <c r="I24">
        <f t="shared" si="14"/>
        <v>-3.0525655007110942E-9</v>
      </c>
      <c r="J24">
        <f>Properties!B27</f>
        <v>4.1000000000000001E-11</v>
      </c>
      <c r="N24">
        <f t="shared" si="0"/>
        <v>-1.3600000000000002E-10</v>
      </c>
      <c r="P24" s="1">
        <f t="shared" si="1"/>
        <v>0.63666258728141456</v>
      </c>
      <c r="Q24" s="1">
        <f t="shared" si="10"/>
        <v>0.49066993017486837</v>
      </c>
      <c r="R24" s="1">
        <f t="shared" si="2"/>
        <v>8.35592268419386E-11</v>
      </c>
    </row>
    <row r="25" spans="1:20" x14ac:dyDescent="0.25">
      <c r="A25" s="5"/>
      <c r="B25" s="1">
        <f t="shared" si="15"/>
        <v>2500000000</v>
      </c>
      <c r="C25">
        <f t="shared" si="16"/>
        <v>0.34</v>
      </c>
      <c r="E25" s="1">
        <f t="shared" si="12"/>
        <v>131000000</v>
      </c>
      <c r="F25">
        <f t="shared" si="12"/>
        <v>0.39988608059315334</v>
      </c>
      <c r="G25" s="1">
        <f t="shared" si="11"/>
        <v>7.6335877862595424E-9</v>
      </c>
      <c r="H25">
        <f t="shared" si="13"/>
        <v>-3.0525655007110942E-9</v>
      </c>
      <c r="I25">
        <f t="shared" si="14"/>
        <v>-3.0525655007110942E-9</v>
      </c>
      <c r="J25">
        <f>Properties!B28</f>
        <v>0</v>
      </c>
      <c r="N25">
        <f t="shared" si="0"/>
        <v>-1.3600000000000002E-10</v>
      </c>
      <c r="P25" s="1">
        <f t="shared" si="1"/>
        <v>0.63666258728141456</v>
      </c>
      <c r="Q25" s="1">
        <f t="shared" si="10"/>
        <v>0.49066993017486837</v>
      </c>
      <c r="R25" s="1">
        <f t="shared" si="2"/>
        <v>0</v>
      </c>
    </row>
    <row r="26" spans="1:20" x14ac:dyDescent="0.25">
      <c r="A26" s="5"/>
      <c r="E26" s="1"/>
      <c r="G26" s="1"/>
      <c r="N26" t="e">
        <f t="shared" si="0"/>
        <v>#DIV/0!</v>
      </c>
      <c r="P26" s="1" t="e">
        <f t="shared" si="1"/>
        <v>#DIV/0!</v>
      </c>
      <c r="Q26" s="1" t="e">
        <f t="shared" si="10"/>
        <v>#DIV/0!</v>
      </c>
      <c r="R26" s="1" t="e">
        <f t="shared" si="2"/>
        <v>#DIV/0!</v>
      </c>
    </row>
    <row r="27" spans="1:20" x14ac:dyDescent="0.25">
      <c r="A27" s="5"/>
      <c r="E27" s="1"/>
      <c r="G27" s="1"/>
      <c r="N27" t="e">
        <f t="shared" si="0"/>
        <v>#DIV/0!</v>
      </c>
      <c r="P27" s="1" t="e">
        <f t="shared" si="1"/>
        <v>#DIV/0!</v>
      </c>
      <c r="Q27" s="1" t="e">
        <f t="shared" si="10"/>
        <v>#DIV/0!</v>
      </c>
      <c r="R27" s="1" t="e">
        <f t="shared" si="2"/>
        <v>#DIV/0!</v>
      </c>
    </row>
    <row r="28" spans="1:20" x14ac:dyDescent="0.25">
      <c r="A28" s="5" t="s">
        <v>5</v>
      </c>
      <c r="B28">
        <f>Properties!S15</f>
        <v>331000000000</v>
      </c>
      <c r="C28">
        <f>Properties!T15</f>
        <v>0.25</v>
      </c>
      <c r="E28" s="1">
        <f>E15</f>
        <v>131000000</v>
      </c>
      <c r="F28">
        <f>F15</f>
        <v>0.39988608059315334</v>
      </c>
      <c r="G28" s="1">
        <f t="shared" si="11"/>
        <v>7.6335877862595424E-9</v>
      </c>
      <c r="H28">
        <f t="shared" si="13"/>
        <v>-3.0525655007110942E-9</v>
      </c>
      <c r="I28">
        <f t="shared" si="14"/>
        <v>-3.0525655007110942E-9</v>
      </c>
      <c r="J28">
        <f>Properties!I18</f>
        <v>3.5999999999999998E-11</v>
      </c>
      <c r="K28">
        <f>AVERAGE(J28:J37)</f>
        <v>3.6200000000000002E-11</v>
      </c>
      <c r="L28">
        <f>STDEVA(J28:J37)</f>
        <v>7.8881063774661575E-13</v>
      </c>
      <c r="N28">
        <f>-(C28/B28)</f>
        <v>-7.5528700906344411E-13</v>
      </c>
      <c r="P28" s="1">
        <f t="shared" si="1"/>
        <v>0.66618541091350791</v>
      </c>
      <c r="Q28" s="1">
        <f>1-(0.8*P28)</f>
        <v>0.46705167126919367</v>
      </c>
      <c r="R28" s="1">
        <f t="shared" si="2"/>
        <v>7.707926598821814E-11</v>
      </c>
      <c r="S28" s="1">
        <f>AVERAGE(R28:R37)</f>
        <v>7.7507484132597124E-11</v>
      </c>
      <c r="T28">
        <f>STDEVA(R28:R37)</f>
        <v>1.6889151378113191E-12</v>
      </c>
    </row>
    <row r="29" spans="1:20" x14ac:dyDescent="0.25">
      <c r="B29">
        <f>B28</f>
        <v>331000000000</v>
      </c>
      <c r="C29">
        <f>C28</f>
        <v>0.25</v>
      </c>
      <c r="E29" s="1">
        <f t="shared" ref="E29:E37" si="17">E28</f>
        <v>131000000</v>
      </c>
      <c r="F29">
        <f t="shared" ref="F29:F37" si="18">F28</f>
        <v>0.39988608059315334</v>
      </c>
      <c r="G29" s="1">
        <f t="shared" si="11"/>
        <v>7.6335877862595424E-9</v>
      </c>
      <c r="H29">
        <f t="shared" si="13"/>
        <v>-3.0525655007110942E-9</v>
      </c>
      <c r="I29">
        <f t="shared" si="14"/>
        <v>-3.0525655007110942E-9</v>
      </c>
      <c r="J29" s="1">
        <f>Properties!I19</f>
        <v>3.5000000000000002E-11</v>
      </c>
      <c r="N29">
        <f>-(C29/B29)</f>
        <v>-7.5528700906344411E-13</v>
      </c>
      <c r="P29" s="1">
        <f t="shared" si="1"/>
        <v>0.66618541091350791</v>
      </c>
      <c r="Q29" s="1">
        <f t="shared" si="10"/>
        <v>0.46705167126919367</v>
      </c>
      <c r="R29" s="1">
        <f t="shared" si="2"/>
        <v>7.4938175266323195E-11</v>
      </c>
    </row>
    <row r="30" spans="1:20" x14ac:dyDescent="0.25">
      <c r="B30">
        <f t="shared" ref="B30:B37" si="19">B29</f>
        <v>331000000000</v>
      </c>
      <c r="C30">
        <f t="shared" ref="C30:C37" si="20">C29</f>
        <v>0.25</v>
      </c>
      <c r="E30" s="1">
        <f t="shared" si="17"/>
        <v>131000000</v>
      </c>
      <c r="F30">
        <f t="shared" si="18"/>
        <v>0.39988608059315334</v>
      </c>
      <c r="G30" s="1">
        <f t="shared" si="11"/>
        <v>7.6335877862595424E-9</v>
      </c>
      <c r="H30">
        <f t="shared" si="13"/>
        <v>-3.0525655007110942E-9</v>
      </c>
      <c r="I30">
        <f t="shared" si="14"/>
        <v>-3.0525655007110942E-9</v>
      </c>
      <c r="J30">
        <f>Properties!I20</f>
        <v>3.5999999999999998E-11</v>
      </c>
      <c r="N30">
        <f t="shared" si="0"/>
        <v>-7.5528700906344411E-13</v>
      </c>
      <c r="P30" s="1">
        <f t="shared" si="1"/>
        <v>0.66618541091350791</v>
      </c>
      <c r="Q30" s="1">
        <f>1-(0.8*P30)</f>
        <v>0.46705167126919367</v>
      </c>
      <c r="R30" s="1">
        <f t="shared" si="2"/>
        <v>7.707926598821814E-11</v>
      </c>
    </row>
    <row r="31" spans="1:20" x14ac:dyDescent="0.25">
      <c r="B31">
        <f t="shared" si="19"/>
        <v>331000000000</v>
      </c>
      <c r="C31">
        <f t="shared" si="20"/>
        <v>0.25</v>
      </c>
      <c r="E31" s="1">
        <f t="shared" si="17"/>
        <v>131000000</v>
      </c>
      <c r="F31">
        <f t="shared" si="18"/>
        <v>0.39988608059315334</v>
      </c>
      <c r="G31" s="1">
        <f t="shared" si="11"/>
        <v>7.6335877862595424E-9</v>
      </c>
      <c r="H31">
        <f t="shared" si="13"/>
        <v>-3.0525655007110942E-9</v>
      </c>
      <c r="I31">
        <f t="shared" si="14"/>
        <v>-3.0525655007110942E-9</v>
      </c>
      <c r="J31">
        <f>Properties!I21</f>
        <v>3.7000000000000001E-11</v>
      </c>
      <c r="N31">
        <f t="shared" si="0"/>
        <v>-7.5528700906344411E-13</v>
      </c>
      <c r="P31" s="1">
        <f t="shared" si="1"/>
        <v>0.66618541091350791</v>
      </c>
      <c r="Q31" s="1">
        <f t="shared" si="10"/>
        <v>0.46705167126919367</v>
      </c>
      <c r="R31" s="1">
        <f t="shared" si="2"/>
        <v>7.9220356710113098E-11</v>
      </c>
    </row>
    <row r="32" spans="1:20" x14ac:dyDescent="0.25">
      <c r="B32">
        <f t="shared" si="19"/>
        <v>331000000000</v>
      </c>
      <c r="C32">
        <f t="shared" si="20"/>
        <v>0.25</v>
      </c>
      <c r="E32" s="1">
        <f t="shared" si="17"/>
        <v>131000000</v>
      </c>
      <c r="F32">
        <f t="shared" si="18"/>
        <v>0.39988608059315334</v>
      </c>
      <c r="G32" s="1">
        <f t="shared" si="11"/>
        <v>7.6335877862595424E-9</v>
      </c>
      <c r="H32">
        <f t="shared" si="13"/>
        <v>-3.0525655007110942E-9</v>
      </c>
      <c r="I32">
        <f t="shared" si="14"/>
        <v>-3.0525655007110942E-9</v>
      </c>
      <c r="J32">
        <f>Properties!I22</f>
        <v>3.7000000000000001E-11</v>
      </c>
      <c r="N32">
        <f t="shared" si="0"/>
        <v>-7.5528700906344411E-13</v>
      </c>
      <c r="P32" s="1">
        <f t="shared" si="1"/>
        <v>0.66618541091350791</v>
      </c>
      <c r="Q32" s="1">
        <f t="shared" si="10"/>
        <v>0.46705167126919367</v>
      </c>
      <c r="R32" s="1">
        <f t="shared" si="2"/>
        <v>7.9220356710113098E-11</v>
      </c>
    </row>
    <row r="33" spans="2:18" x14ac:dyDescent="0.25">
      <c r="B33">
        <f t="shared" si="19"/>
        <v>331000000000</v>
      </c>
      <c r="C33">
        <f t="shared" si="20"/>
        <v>0.25</v>
      </c>
      <c r="E33" s="1">
        <f t="shared" si="17"/>
        <v>131000000</v>
      </c>
      <c r="F33">
        <f t="shared" si="18"/>
        <v>0.39988608059315334</v>
      </c>
      <c r="G33" s="1">
        <f t="shared" si="11"/>
        <v>7.6335877862595424E-9</v>
      </c>
      <c r="H33">
        <f t="shared" si="13"/>
        <v>-3.0525655007110942E-9</v>
      </c>
      <c r="I33">
        <f t="shared" si="14"/>
        <v>-3.0525655007110942E-9</v>
      </c>
      <c r="J33">
        <f>Properties!I23</f>
        <v>3.5000000000000002E-11</v>
      </c>
      <c r="N33">
        <f t="shared" si="0"/>
        <v>-7.5528700906344411E-13</v>
      </c>
      <c r="P33" s="1">
        <f t="shared" si="1"/>
        <v>0.66618541091350791</v>
      </c>
      <c r="Q33" s="1">
        <f t="shared" si="10"/>
        <v>0.46705167126919367</v>
      </c>
      <c r="R33" s="1">
        <f t="shared" si="2"/>
        <v>7.4938175266323195E-11</v>
      </c>
    </row>
    <row r="34" spans="2:18" x14ac:dyDescent="0.25">
      <c r="B34">
        <f t="shared" si="19"/>
        <v>331000000000</v>
      </c>
      <c r="C34">
        <f t="shared" si="20"/>
        <v>0.25</v>
      </c>
      <c r="E34" s="1">
        <f t="shared" si="17"/>
        <v>131000000</v>
      </c>
      <c r="F34">
        <f t="shared" si="18"/>
        <v>0.39988608059315334</v>
      </c>
      <c r="G34" s="1">
        <f t="shared" si="11"/>
        <v>7.6335877862595424E-9</v>
      </c>
      <c r="H34">
        <f t="shared" si="13"/>
        <v>-3.0525655007110942E-9</v>
      </c>
      <c r="I34">
        <f t="shared" si="14"/>
        <v>-3.0525655007110942E-9</v>
      </c>
      <c r="J34">
        <f>Properties!I24</f>
        <v>3.7000000000000001E-11</v>
      </c>
      <c r="N34">
        <f t="shared" si="0"/>
        <v>-7.5528700906344411E-13</v>
      </c>
      <c r="P34" s="1">
        <f t="shared" si="1"/>
        <v>0.66618541091350791</v>
      </c>
      <c r="Q34" s="1">
        <f t="shared" si="10"/>
        <v>0.46705167126919367</v>
      </c>
      <c r="R34" s="1">
        <f t="shared" si="2"/>
        <v>7.9220356710113098E-11</v>
      </c>
    </row>
    <row r="35" spans="2:18" x14ac:dyDescent="0.25">
      <c r="B35">
        <f t="shared" si="19"/>
        <v>331000000000</v>
      </c>
      <c r="C35">
        <f t="shared" si="20"/>
        <v>0.25</v>
      </c>
      <c r="E35" s="1">
        <f t="shared" si="17"/>
        <v>131000000</v>
      </c>
      <c r="F35">
        <f t="shared" si="18"/>
        <v>0.39988608059315334</v>
      </c>
      <c r="G35" s="1">
        <f t="shared" si="11"/>
        <v>7.6335877862595424E-9</v>
      </c>
      <c r="H35">
        <f t="shared" si="13"/>
        <v>-3.0525655007110942E-9</v>
      </c>
      <c r="I35">
        <f t="shared" si="14"/>
        <v>-3.0525655007110942E-9</v>
      </c>
      <c r="J35">
        <f>Properties!I25</f>
        <v>3.5999999999999998E-11</v>
      </c>
      <c r="N35">
        <f t="shared" si="0"/>
        <v>-7.5528700906344411E-13</v>
      </c>
      <c r="P35" s="1">
        <f t="shared" si="1"/>
        <v>0.66618541091350791</v>
      </c>
      <c r="Q35" s="1">
        <f t="shared" si="10"/>
        <v>0.46705167126919367</v>
      </c>
      <c r="R35" s="1">
        <f t="shared" si="2"/>
        <v>7.707926598821814E-11</v>
      </c>
    </row>
    <row r="36" spans="2:18" x14ac:dyDescent="0.25">
      <c r="B36">
        <f t="shared" si="19"/>
        <v>331000000000</v>
      </c>
      <c r="C36">
        <f t="shared" si="20"/>
        <v>0.25</v>
      </c>
      <c r="E36" s="1">
        <f t="shared" si="17"/>
        <v>131000000</v>
      </c>
      <c r="F36">
        <f t="shared" si="18"/>
        <v>0.39988608059315334</v>
      </c>
      <c r="G36" s="1">
        <f t="shared" si="11"/>
        <v>7.6335877862595424E-9</v>
      </c>
      <c r="H36">
        <f t="shared" si="13"/>
        <v>-3.0525655007110942E-9</v>
      </c>
      <c r="I36">
        <f t="shared" si="14"/>
        <v>-3.0525655007110942E-9</v>
      </c>
      <c r="J36">
        <f>Properties!I26</f>
        <v>3.7000000000000001E-11</v>
      </c>
      <c r="N36">
        <f t="shared" si="0"/>
        <v>-7.5528700906344411E-13</v>
      </c>
      <c r="P36" s="1">
        <f t="shared" si="1"/>
        <v>0.66618541091350791</v>
      </c>
      <c r="Q36" s="1">
        <f t="shared" si="10"/>
        <v>0.46705167126919367</v>
      </c>
      <c r="R36" s="1">
        <f t="shared" si="2"/>
        <v>7.9220356710113098E-11</v>
      </c>
    </row>
    <row r="37" spans="2:18" x14ac:dyDescent="0.25">
      <c r="B37">
        <f t="shared" si="19"/>
        <v>331000000000</v>
      </c>
      <c r="C37">
        <f t="shared" si="20"/>
        <v>0.25</v>
      </c>
      <c r="E37" s="1">
        <f t="shared" si="17"/>
        <v>131000000</v>
      </c>
      <c r="F37">
        <f t="shared" si="18"/>
        <v>0.39988608059315334</v>
      </c>
      <c r="G37" s="1">
        <f t="shared" si="11"/>
        <v>7.6335877862595424E-9</v>
      </c>
      <c r="H37">
        <f t="shared" si="13"/>
        <v>-3.0525655007110942E-9</v>
      </c>
      <c r="I37">
        <f t="shared" si="14"/>
        <v>-3.0525655007110942E-9</v>
      </c>
      <c r="J37" s="1">
        <f>Properties!I27</f>
        <v>3.5999999999999998E-11</v>
      </c>
      <c r="N37">
        <f>-(C37/B37)</f>
        <v>-7.5528700906344411E-13</v>
      </c>
      <c r="P37" s="1">
        <f t="shared" si="1"/>
        <v>0.66618541091350791</v>
      </c>
      <c r="Q37" s="1">
        <f t="shared" si="10"/>
        <v>0.46705167126919367</v>
      </c>
      <c r="R37" s="1">
        <f t="shared" si="2"/>
        <v>7.707926598821814E-11</v>
      </c>
    </row>
    <row r="38" spans="2:18" s="2" customFormat="1" x14ac:dyDescent="0.25">
      <c r="E38" s="3"/>
      <c r="G38" s="3"/>
      <c r="P38" s="3"/>
      <c r="Q38" s="1"/>
      <c r="R38" s="1"/>
    </row>
    <row r="39" spans="2:18" x14ac:dyDescent="0.25">
      <c r="E39" s="1"/>
      <c r="G39" s="1"/>
      <c r="P39" s="1"/>
      <c r="Q39" s="1"/>
      <c r="R39" s="1"/>
    </row>
    <row r="40" spans="2:18" x14ac:dyDescent="0.25">
      <c r="C40" s="23"/>
      <c r="D40" s="23" t="s">
        <v>26</v>
      </c>
      <c r="E40" s="24" t="s">
        <v>22</v>
      </c>
      <c r="F40" s="23" t="s">
        <v>27</v>
      </c>
      <c r="G40" s="24" t="s">
        <v>25</v>
      </c>
      <c r="H40" s="23" t="s">
        <v>51</v>
      </c>
      <c r="I40" s="5"/>
    </row>
    <row r="41" spans="2:18" x14ac:dyDescent="0.25">
      <c r="C41" s="23" t="s">
        <v>17</v>
      </c>
      <c r="D41" s="24">
        <f>K3/0.000000000001</f>
        <v>69.999999999999986</v>
      </c>
      <c r="E41" s="24">
        <f>S3/0.000000000001</f>
        <v>82.182830568758575</v>
      </c>
      <c r="F41" s="23">
        <f>L3/0.000000000001</f>
        <v>2.6246692913372729</v>
      </c>
      <c r="G41" s="24">
        <f>T3/0.000000000001</f>
        <v>3.08146788098564</v>
      </c>
      <c r="H41" s="24">
        <f>(E44-D41)/E44*100</f>
        <v>12.792112135558058</v>
      </c>
    </row>
    <row r="42" spans="2:18" x14ac:dyDescent="0.25">
      <c r="C42" s="23" t="s">
        <v>24</v>
      </c>
      <c r="D42" s="24">
        <f>K15/0.000000000001</f>
        <v>39.800000000000011</v>
      </c>
      <c r="E42" s="24">
        <f>S15/0.000000000001</f>
        <v>81.113590934369668</v>
      </c>
      <c r="F42" s="23">
        <f>L15/0.000000000001</f>
        <v>0.91893658347268115</v>
      </c>
      <c r="G42" s="24">
        <f>T15/0.000000000001</f>
        <v>1.8728202544329222</v>
      </c>
      <c r="H42" s="24">
        <f>(E44-D42)/E44*100</f>
        <v>50.416086614217271</v>
      </c>
    </row>
    <row r="43" spans="2:18" x14ac:dyDescent="0.25">
      <c r="C43" s="23" t="s">
        <v>5</v>
      </c>
      <c r="D43" s="24">
        <f>K28/0.000000000001</f>
        <v>36.200000000000003</v>
      </c>
      <c r="E43" s="24">
        <f>S28/0.000000000001</f>
        <v>77.507484132597128</v>
      </c>
      <c r="F43" s="23">
        <f>L28/0.000000000001</f>
        <v>0.78881063774661575</v>
      </c>
      <c r="G43" s="24">
        <f>T28/0.000000000001</f>
        <v>1.6889151378113192</v>
      </c>
      <c r="H43" s="24">
        <f>(E44-D43)/E44*100</f>
        <v>54.901063704388584</v>
      </c>
    </row>
    <row r="44" spans="2:18" x14ac:dyDescent="0.25">
      <c r="C44" s="23" t="s">
        <v>52</v>
      </c>
      <c r="D44" s="23"/>
      <c r="E44" s="24">
        <f>AVERAGE(E41:E43)</f>
        <v>80.267968545241786</v>
      </c>
      <c r="F44" s="23"/>
      <c r="G44" s="24"/>
      <c r="H44" s="23"/>
    </row>
    <row r="45" spans="2:18" x14ac:dyDescent="0.25">
      <c r="E45" s="1"/>
      <c r="G45" s="1"/>
    </row>
    <row r="46" spans="2:18" x14ac:dyDescent="0.25">
      <c r="E46" s="1"/>
      <c r="G46" s="1"/>
    </row>
    <row r="47" spans="2:18" x14ac:dyDescent="0.25">
      <c r="E47" s="1"/>
      <c r="G47" s="1"/>
    </row>
    <row r="48" spans="2:18" x14ac:dyDescent="0.25">
      <c r="E48" s="1"/>
    </row>
  </sheetData>
  <mergeCells count="1">
    <mergeCell ref="E1:J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AG20"/>
  <sheetViews>
    <sheetView zoomScale="82" zoomScaleNormal="82" workbookViewId="0">
      <selection activeCell="S31" sqref="S31"/>
    </sheetView>
  </sheetViews>
  <sheetFormatPr defaultColWidth="8.85546875" defaultRowHeight="15" x14ac:dyDescent="0.25"/>
  <cols>
    <col min="4" max="4" width="15.85546875" customWidth="1"/>
    <col min="11" max="11" width="12.5703125" customWidth="1"/>
    <col min="14" max="14" width="17.140625" customWidth="1"/>
    <col min="18" max="18" width="23.42578125" customWidth="1"/>
    <col min="28" max="29" width="13.28515625" bestFit="1" customWidth="1"/>
    <col min="31" max="31" width="13.28515625" bestFit="1" customWidth="1"/>
    <col min="32" max="32" width="13.28515625" customWidth="1"/>
    <col min="33" max="33" width="8.85546875" style="4"/>
  </cols>
  <sheetData>
    <row r="5" spans="4:33" x14ac:dyDescent="0.25">
      <c r="D5" s="13"/>
      <c r="E5" s="30" t="s">
        <v>50</v>
      </c>
      <c r="F5" s="30"/>
      <c r="G5" s="30"/>
      <c r="H5" s="30"/>
      <c r="I5" s="30"/>
      <c r="J5" s="14"/>
      <c r="K5" s="14" t="s">
        <v>12</v>
      </c>
      <c r="L5" s="14" t="s">
        <v>9</v>
      </c>
      <c r="M5" s="13"/>
      <c r="N5" s="14" t="s">
        <v>51</v>
      </c>
      <c r="W5" s="5" t="s">
        <v>33</v>
      </c>
      <c r="X5" s="5" t="s">
        <v>34</v>
      </c>
      <c r="Y5" s="5" t="s">
        <v>35</v>
      </c>
      <c r="Z5" s="5" t="s">
        <v>36</v>
      </c>
      <c r="AA5" s="5" t="s">
        <v>2</v>
      </c>
      <c r="AB5" s="5" t="s">
        <v>3</v>
      </c>
      <c r="AC5" s="5" t="s">
        <v>4</v>
      </c>
      <c r="AD5" s="5"/>
      <c r="AE5" s="5" t="str">
        <f>"-(v/Y)"</f>
        <v>-(v/Y)</v>
      </c>
      <c r="AF5" s="5" t="s">
        <v>21</v>
      </c>
      <c r="AG5" s="25" t="s">
        <v>37</v>
      </c>
    </row>
    <row r="6" spans="4:33" x14ac:dyDescent="0.25">
      <c r="D6" s="14" t="s">
        <v>31</v>
      </c>
      <c r="E6" s="13">
        <v>36</v>
      </c>
      <c r="F6" s="13">
        <v>33</v>
      </c>
      <c r="G6" s="13">
        <v>36</v>
      </c>
      <c r="H6" s="13">
        <v>35</v>
      </c>
      <c r="I6" s="13">
        <v>36</v>
      </c>
      <c r="J6" s="13"/>
      <c r="K6" s="13">
        <f>AVERAGE(E6:I6)</f>
        <v>35.200000000000003</v>
      </c>
      <c r="L6" s="13">
        <f>STDEVA(E6:I6)</f>
        <v>1.3038404810405297</v>
      </c>
      <c r="M6" s="13"/>
      <c r="N6" s="13" t="s">
        <v>47</v>
      </c>
      <c r="R6" s="5" t="s">
        <v>31</v>
      </c>
      <c r="S6">
        <f>K6</f>
        <v>35.200000000000003</v>
      </c>
      <c r="T6">
        <f>L6</f>
        <v>1.3038404810405297</v>
      </c>
      <c r="W6" t="s">
        <v>47</v>
      </c>
      <c r="X6" t="s">
        <v>47</v>
      </c>
      <c r="Y6" t="s">
        <v>47</v>
      </c>
      <c r="Z6" t="s">
        <v>47</v>
      </c>
      <c r="AA6" t="s">
        <v>47</v>
      </c>
      <c r="AB6" t="s">
        <v>47</v>
      </c>
      <c r="AC6" t="s">
        <v>47</v>
      </c>
    </row>
    <row r="7" spans="4:33" x14ac:dyDescent="0.25">
      <c r="D7" s="14"/>
      <c r="E7" s="13">
        <v>33</v>
      </c>
      <c r="F7" s="13">
        <v>36</v>
      </c>
      <c r="G7" s="13">
        <v>34</v>
      </c>
      <c r="H7" s="13">
        <v>34</v>
      </c>
      <c r="I7" s="13">
        <v>36</v>
      </c>
      <c r="J7" s="13"/>
      <c r="K7" s="13"/>
      <c r="L7" s="13"/>
      <c r="M7" s="13"/>
      <c r="N7" s="13"/>
      <c r="R7" s="5" t="s">
        <v>17</v>
      </c>
      <c r="S7">
        <v>30</v>
      </c>
      <c r="T7">
        <f>L10</f>
        <v>1.0954451150103324</v>
      </c>
      <c r="W7">
        <f>Properties!T12</f>
        <v>0.44073974860910775</v>
      </c>
      <c r="X7" s="1">
        <f>Properties!S12</f>
        <v>200000000</v>
      </c>
      <c r="Y7">
        <f>Properties!T6</f>
        <v>0.39988608059315334</v>
      </c>
      <c r="Z7" s="1">
        <f>Properties!S6</f>
        <v>131000000</v>
      </c>
      <c r="AA7" s="1">
        <f>1/Z7</f>
        <v>7.6335877862595424E-9</v>
      </c>
      <c r="AB7">
        <f>-(Y7/Z7)</f>
        <v>-3.0525655007110942E-9</v>
      </c>
      <c r="AC7">
        <f>(-Y7/Z7)</f>
        <v>-3.0525655007110942E-9</v>
      </c>
      <c r="AE7">
        <f>-(W7/X7)</f>
        <v>-2.2036987430455387E-9</v>
      </c>
      <c r="AF7" s="1">
        <f>(AE7-AC7)/(AA7+AB7)</f>
        <v>0.18530072650889268</v>
      </c>
      <c r="AG7" s="1">
        <f>S7/(1-(0.8*AF7))</f>
        <v>35.22121310089652</v>
      </c>
    </row>
    <row r="8" spans="4:33" x14ac:dyDescent="0.25">
      <c r="D8" s="14"/>
      <c r="E8" s="13"/>
      <c r="F8" s="13"/>
      <c r="G8" s="13"/>
      <c r="H8" s="13"/>
      <c r="I8" s="13"/>
      <c r="J8" s="13"/>
      <c r="K8" s="13"/>
      <c r="L8" s="13"/>
      <c r="M8" s="13"/>
      <c r="N8" s="13"/>
      <c r="R8" s="5" t="s">
        <v>6</v>
      </c>
      <c r="S8">
        <f>K11</f>
        <v>16.600000000000001</v>
      </c>
      <c r="T8">
        <f>L11</f>
        <v>0.54772255750516607</v>
      </c>
      <c r="W8">
        <f>Properties!T14</f>
        <v>0.34</v>
      </c>
      <c r="X8" s="1">
        <f>Properties!S14</f>
        <v>2500000000</v>
      </c>
      <c r="Y8">
        <f>Y7</f>
        <v>0.39988608059315334</v>
      </c>
      <c r="Z8" s="1">
        <f>Z7</f>
        <v>131000000</v>
      </c>
      <c r="AA8" s="1">
        <f t="shared" ref="AA8:AA9" si="0">1/Z8</f>
        <v>7.6335877862595424E-9</v>
      </c>
      <c r="AB8">
        <f t="shared" ref="AB8:AB9" si="1">-(Y8/Z8)</f>
        <v>-3.0525655007110942E-9</v>
      </c>
      <c r="AC8">
        <f t="shared" ref="AC8:AC9" si="2">(-Y8/Z8)</f>
        <v>-3.0525655007110942E-9</v>
      </c>
      <c r="AE8">
        <f t="shared" ref="AE8:AE9" si="3">-(W8/X8)</f>
        <v>-1.3600000000000002E-10</v>
      </c>
      <c r="AF8" s="1">
        <f t="shared" ref="AF8:AF9" si="4">(AE8-AC8)/(AA8+AB8)</f>
        <v>0.63666258728141456</v>
      </c>
      <c r="AG8" s="1">
        <f>S8/(1-(0.8*AF8))</f>
        <v>33.831296721370265</v>
      </c>
    </row>
    <row r="9" spans="4:33" x14ac:dyDescent="0.25"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R9" s="5" t="s">
        <v>5</v>
      </c>
      <c r="S9">
        <f>K12</f>
        <v>15.8</v>
      </c>
      <c r="T9">
        <f>L12</f>
        <v>0.83666002653407556</v>
      </c>
      <c r="W9">
        <f>Properties!T15</f>
        <v>0.25</v>
      </c>
      <c r="X9" s="1">
        <f>Properties!S15</f>
        <v>331000000000</v>
      </c>
      <c r="Y9">
        <f>Y7</f>
        <v>0.39988608059315334</v>
      </c>
      <c r="Z9" s="1">
        <f>Z7</f>
        <v>131000000</v>
      </c>
      <c r="AA9" s="1">
        <f t="shared" si="0"/>
        <v>7.6335877862595424E-9</v>
      </c>
      <c r="AB9">
        <f t="shared" si="1"/>
        <v>-3.0525655007110942E-9</v>
      </c>
      <c r="AC9">
        <f t="shared" si="2"/>
        <v>-3.0525655007110942E-9</v>
      </c>
      <c r="AE9">
        <f t="shared" si="3"/>
        <v>-7.5528700906344411E-13</v>
      </c>
      <c r="AF9" s="1">
        <f t="shared" si="4"/>
        <v>0.66618541091350791</v>
      </c>
      <c r="AG9" s="1">
        <f>S9/(1-(0.8*AF9))</f>
        <v>33.829233405940187</v>
      </c>
    </row>
    <row r="10" spans="4:33" x14ac:dyDescent="0.25">
      <c r="D10" s="14" t="s">
        <v>32</v>
      </c>
      <c r="E10" s="13">
        <v>30</v>
      </c>
      <c r="F10" s="13">
        <v>30</v>
      </c>
      <c r="G10" s="13">
        <v>32</v>
      </c>
      <c r="H10" s="13">
        <v>32</v>
      </c>
      <c r="I10" s="13">
        <v>30</v>
      </c>
      <c r="J10" s="13"/>
      <c r="K10" s="13">
        <f>AVERAGE(E10:I10)</f>
        <v>30.8</v>
      </c>
      <c r="L10" s="13">
        <f>STDEVA(E10:I10)</f>
        <v>1.0954451150103324</v>
      </c>
      <c r="M10" s="13"/>
      <c r="N10" s="13">
        <f>(K6-K10)/K6*100</f>
        <v>12.500000000000005</v>
      </c>
      <c r="R10" s="5"/>
    </row>
    <row r="11" spans="4:33" x14ac:dyDescent="0.25">
      <c r="D11" s="14" t="s">
        <v>6</v>
      </c>
      <c r="E11" s="13">
        <v>16</v>
      </c>
      <c r="F11" s="13">
        <v>16</v>
      </c>
      <c r="G11" s="13">
        <v>17</v>
      </c>
      <c r="H11" s="13">
        <v>17</v>
      </c>
      <c r="I11" s="13">
        <v>17</v>
      </c>
      <c r="J11" s="13"/>
      <c r="K11" s="13">
        <f>AVERAGE(E11:I11)</f>
        <v>16.600000000000001</v>
      </c>
      <c r="L11" s="13">
        <f>STDEVA(E11:I11)</f>
        <v>0.54772255750516607</v>
      </c>
      <c r="M11" s="13"/>
      <c r="N11" s="13">
        <f>(K6-K11)/K6*100</f>
        <v>52.840909090909093</v>
      </c>
      <c r="R11" s="5"/>
    </row>
    <row r="12" spans="4:33" x14ac:dyDescent="0.25">
      <c r="D12" s="14" t="s">
        <v>5</v>
      </c>
      <c r="E12" s="13">
        <v>15</v>
      </c>
      <c r="F12" s="13">
        <v>16</v>
      </c>
      <c r="G12" s="13">
        <v>17</v>
      </c>
      <c r="H12" s="13">
        <v>16</v>
      </c>
      <c r="I12" s="13">
        <v>15</v>
      </c>
      <c r="J12" s="13"/>
      <c r="K12" s="13">
        <f>AVERAGE(E12:I12)</f>
        <v>15.8</v>
      </c>
      <c r="L12" s="13">
        <f>STDEVA(E12:I12)</f>
        <v>0.83666002653407556</v>
      </c>
      <c r="M12" s="13"/>
      <c r="N12" s="13">
        <f>(K6-K12)/K6*100</f>
        <v>55.113636363636367</v>
      </c>
      <c r="R12" s="5"/>
    </row>
    <row r="13" spans="4:33" x14ac:dyDescent="0.25">
      <c r="R13" s="5"/>
      <c r="AF13" s="1"/>
    </row>
    <row r="14" spans="4:33" x14ac:dyDescent="0.25">
      <c r="R14" s="26"/>
      <c r="S14" s="23">
        <v>1</v>
      </c>
      <c r="T14" s="23">
        <v>2</v>
      </c>
      <c r="U14" s="23"/>
      <c r="V14" s="23" t="s">
        <v>38</v>
      </c>
      <c r="W14" s="23" t="s">
        <v>39</v>
      </c>
    </row>
    <row r="15" spans="4:33" x14ac:dyDescent="0.25">
      <c r="R15" s="26" t="s">
        <v>40</v>
      </c>
      <c r="S15" s="23">
        <f>S6</f>
        <v>35.200000000000003</v>
      </c>
      <c r="T15" s="24"/>
      <c r="U15" s="23"/>
      <c r="V15" s="23">
        <f>T6</f>
        <v>1.3038404810405297</v>
      </c>
      <c r="W15" s="23"/>
    </row>
    <row r="16" spans="4:33" x14ac:dyDescent="0.25">
      <c r="R16" s="26"/>
      <c r="S16" s="23"/>
      <c r="T16" s="24"/>
      <c r="U16" s="23"/>
      <c r="V16" s="23"/>
      <c r="W16" s="23"/>
    </row>
    <row r="17" spans="18:23" x14ac:dyDescent="0.25">
      <c r="R17" s="26" t="s">
        <v>17</v>
      </c>
      <c r="S17" s="23">
        <f t="shared" ref="S17:S19" si="5">S7</f>
        <v>30</v>
      </c>
      <c r="T17" s="24">
        <f>AG7</f>
        <v>35.22121310089652</v>
      </c>
      <c r="U17" s="23"/>
      <c r="V17" s="23">
        <f t="shared" ref="V17:V19" si="6">T7</f>
        <v>1.0954451150103324</v>
      </c>
      <c r="W17" s="23">
        <f>T7</f>
        <v>1.0954451150103324</v>
      </c>
    </row>
    <row r="18" spans="18:23" x14ac:dyDescent="0.25">
      <c r="R18" s="26" t="s">
        <v>6</v>
      </c>
      <c r="S18" s="23">
        <f t="shared" si="5"/>
        <v>16.600000000000001</v>
      </c>
      <c r="T18" s="24">
        <f t="shared" ref="T18:T19" si="7">AG8</f>
        <v>33.831296721370265</v>
      </c>
      <c r="U18" s="23"/>
      <c r="V18" s="23">
        <f t="shared" si="6"/>
        <v>0.54772255750516607</v>
      </c>
      <c r="W18" s="23">
        <f t="shared" ref="W18:W19" si="8">T8</f>
        <v>0.54772255750516607</v>
      </c>
    </row>
    <row r="19" spans="18:23" x14ac:dyDescent="0.25">
      <c r="R19" s="26" t="s">
        <v>5</v>
      </c>
      <c r="S19" s="23">
        <f t="shared" si="5"/>
        <v>15.8</v>
      </c>
      <c r="T19" s="24">
        <f t="shared" si="7"/>
        <v>33.829233405940187</v>
      </c>
      <c r="U19" s="23"/>
      <c r="V19" s="23">
        <f t="shared" si="6"/>
        <v>0.83666002653407556</v>
      </c>
      <c r="W19" s="23">
        <f t="shared" si="8"/>
        <v>0.83666002653407556</v>
      </c>
    </row>
    <row r="20" spans="18:23" x14ac:dyDescent="0.25">
      <c r="R20" s="26"/>
      <c r="S20" s="23"/>
      <c r="T20" s="23"/>
      <c r="U20" s="23"/>
      <c r="V20" s="23"/>
      <c r="W20" s="23"/>
    </row>
  </sheetData>
  <mergeCells count="1">
    <mergeCell ref="E5:I5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0" workbookViewId="0">
      <selection activeCell="J36" sqref="J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Properties</vt:lpstr>
      <vt:lpstr>Clamping effect</vt:lpstr>
      <vt:lpstr>Actual clamping effect</vt:lpstr>
      <vt:lpstr>Dielectric constant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asa1g09</dc:creator>
  <cp:lastModifiedBy>asa1g09</cp:lastModifiedBy>
  <dcterms:created xsi:type="dcterms:W3CDTF">2014-10-29T14:55:23Z</dcterms:created>
  <dcterms:modified xsi:type="dcterms:W3CDTF">2015-05-14T18:09:59Z</dcterms:modified>
</cp:coreProperties>
</file>