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209"/>
  <workbookPr autoCompressPictures="0"/>
  <mc:AlternateContent xmlns:mc="http://schemas.openxmlformats.org/markup-compatibility/2006">
    <mc:Choice Requires="x15">
      <x15ac:absPath xmlns:x15ac="http://schemas.microsoft.com/office/spreadsheetml/2010/11/ac" url="/Users/pm04rmf/Desktop/OneDrive - University of Exeter/Rachel_A-F/EGG/MATERNAL_GWAS/Maternal_GWAS_from-2016/After-author-comments-from-060917/Ready-for-AJHG-from-180917/"/>
    </mc:Choice>
  </mc:AlternateContent>
  <bookViews>
    <workbookView xWindow="0" yWindow="460" windowWidth="25600" windowHeight="14620"/>
  </bookViews>
  <sheets>
    <sheet name="Table descriptions" sheetId="4" r:id="rId1"/>
    <sheet name="Supplementary Table 1" sheetId="2" r:id="rId2"/>
    <sheet name="Supplementary Table 2" sheetId="3" r:id="rId3"/>
    <sheet name="Supplementary Table 10" sheetId="8" r:id="rId4"/>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U12" i="8" l="1"/>
  <c r="BM12" i="8"/>
  <c r="BA12" i="8"/>
  <c r="AZ12" i="8"/>
  <c r="AV12" i="8"/>
  <c r="J12" i="8"/>
  <c r="BA6" i="8"/>
  <c r="AZ6" i="8"/>
  <c r="AV6" i="8"/>
  <c r="U6" i="8"/>
  <c r="Q6" i="8"/>
  <c r="J6" i="8"/>
  <c r="CC5" i="8"/>
  <c r="BY5" i="8"/>
  <c r="AZ5" i="8"/>
  <c r="AV5" i="8"/>
  <c r="J5" i="8"/>
  <c r="CC4" i="8"/>
  <c r="BY4" i="8"/>
  <c r="BU4" i="8"/>
  <c r="BM4" i="8"/>
  <c r="BA4" i="8"/>
  <c r="AZ4" i="8"/>
  <c r="AV4" i="8"/>
  <c r="AS4" i="8"/>
  <c r="Y4" i="8"/>
  <c r="U4" i="8"/>
  <c r="Q4" i="8"/>
  <c r="J4" i="8"/>
  <c r="BY11" i="8"/>
  <c r="AZ11" i="8"/>
  <c r="AW11" i="8"/>
  <c r="AV11" i="8"/>
  <c r="AS11" i="8"/>
  <c r="Y11" i="8"/>
  <c r="J11" i="8"/>
  <c r="BT13" i="8"/>
  <c r="AZ13" i="8"/>
  <c r="AV13" i="8"/>
  <c r="J13" i="8"/>
  <c r="BI9" i="8"/>
  <c r="BE9" i="8"/>
  <c r="AZ9" i="8"/>
  <c r="AV9" i="8"/>
  <c r="AS9" i="8"/>
  <c r="J9" i="8"/>
  <c r="BM8" i="8"/>
  <c r="BE8" i="8"/>
  <c r="BA8" i="8"/>
  <c r="AZ8" i="8"/>
  <c r="AV8" i="8"/>
  <c r="J8" i="8"/>
  <c r="CC10" i="8"/>
  <c r="BE10" i="8"/>
  <c r="AZ10" i="8"/>
  <c r="AV10" i="8"/>
  <c r="J10" i="8"/>
  <c r="BU7" i="8"/>
  <c r="BT7" i="8"/>
  <c r="BM7" i="8"/>
  <c r="BE7" i="8"/>
  <c r="BA7" i="8"/>
  <c r="AZ7" i="8"/>
  <c r="AW7" i="8"/>
  <c r="AV7" i="8"/>
  <c r="U7" i="8"/>
  <c r="Q7" i="8"/>
  <c r="M7" i="8"/>
  <c r="J7" i="8"/>
</calcChain>
</file>

<file path=xl/sharedStrings.xml><?xml version="1.0" encoding="utf-8"?>
<sst xmlns="http://schemas.openxmlformats.org/spreadsheetml/2006/main" count="1173" uniqueCount="661">
  <si>
    <t>-</t>
  </si>
  <si>
    <t>MTNR1B</t>
  </si>
  <si>
    <t>GCK</t>
  </si>
  <si>
    <t>Table</t>
  </si>
  <si>
    <t>Description</t>
  </si>
  <si>
    <t>rs10830963</t>
  </si>
  <si>
    <t>STUDY</t>
  </si>
  <si>
    <t>ALSPAC  Mothers</t>
  </si>
  <si>
    <t>Berlin Birth Cohort (BBC) Mothers</t>
  </si>
  <si>
    <t>1958 British Birth Cohort or NCDS (B58C-WTCCC)</t>
  </si>
  <si>
    <t>1958 British Birth Cohort or NCDS (B58C-T1DGC)</t>
  </si>
  <si>
    <t>CHOP Mothers</t>
  </si>
  <si>
    <t>COPSAC-2000 Mothers</t>
  </si>
  <si>
    <t>DNBC-GOYA Random Set</t>
  </si>
  <si>
    <t>DNBC-PTB-CONTROL Mothers</t>
  </si>
  <si>
    <t xml:space="preserve"> EFSOCH Mothers</t>
  </si>
  <si>
    <t>GEN-3G Mothers</t>
  </si>
  <si>
    <t>Generation R Mothers</t>
  </si>
  <si>
    <t>HAPO Mothers (GWAS)</t>
  </si>
  <si>
    <t>HAPO  Mothers (nonGWAS)</t>
  </si>
  <si>
    <t>MoBa (Mothers)</t>
  </si>
  <si>
    <t>NFBC1966</t>
  </si>
  <si>
    <t>NTR</t>
  </si>
  <si>
    <t>QIMR</t>
  </si>
  <si>
    <t>TWINSUK</t>
  </si>
  <si>
    <t>STUDY INFORMATION</t>
  </si>
  <si>
    <t>Ethnicity</t>
  </si>
  <si>
    <t>British/European descent</t>
  </si>
  <si>
    <t>European descent</t>
  </si>
  <si>
    <t>European American</t>
  </si>
  <si>
    <t>Danish/European descent</t>
  </si>
  <si>
    <t>Canadian/European descent</t>
  </si>
  <si>
    <t>Dutch/European descent (~50% cohort who are non-Caucasians excluded from analysis)</t>
  </si>
  <si>
    <t>Northern European</t>
  </si>
  <si>
    <t>Norwegian/European descent</t>
  </si>
  <si>
    <t>Finnish/European descent</t>
  </si>
  <si>
    <t>Dutch/European descent</t>
  </si>
  <si>
    <t>Country (Sample source)</t>
  </si>
  <si>
    <t>UK</t>
  </si>
  <si>
    <t>Germay</t>
  </si>
  <si>
    <t>United States of America</t>
  </si>
  <si>
    <t>Denmark</t>
  </si>
  <si>
    <t>Canada</t>
  </si>
  <si>
    <t>The Netherlands</t>
  </si>
  <si>
    <t>UK, Canada, Australia</t>
  </si>
  <si>
    <t>Norway</t>
  </si>
  <si>
    <t>Northern Finland, Provinces of Oulu and Lapland</t>
  </si>
  <si>
    <t>Australia</t>
  </si>
  <si>
    <t>Collection type (e.g. population-based)</t>
  </si>
  <si>
    <t>Community-based</t>
  </si>
  <si>
    <t>Population-based: one week in March 1958  details on all births in England, Wales and Scotland were collected and  follow through child- and adult-hood</t>
  </si>
  <si>
    <t>Population-based</t>
  </si>
  <si>
    <t>High-risk asthma birth cohort</t>
  </si>
  <si>
    <t>Population based: Pregnant women recruited 1996-2002 as part of the Danish National Birth Cohort. A random (according to BMI) selection with genotype data are included in the current study</t>
  </si>
  <si>
    <t>Population-based / controls from case-control study of preterm delivery</t>
  </si>
  <si>
    <t xml:space="preserve">Population based: Observational prospective cohort study of   </t>
  </si>
  <si>
    <t>Prospective general population-based</t>
  </si>
  <si>
    <t>Population-based controls</t>
  </si>
  <si>
    <t>Population-based recruitment of adult twins</t>
  </si>
  <si>
    <t>population based</t>
  </si>
  <si>
    <t>Year(s) of birth  of offspring</t>
  </si>
  <si>
    <t>April 1991 - Dec 1992</t>
  </si>
  <si>
    <t>2000-2004</t>
  </si>
  <si>
    <t>1972-2000</t>
  </si>
  <si>
    <t>1987-present</t>
  </si>
  <si>
    <t>August 1998 - December 2001</t>
  </si>
  <si>
    <t>1996-2002</t>
  </si>
  <si>
    <t>1987-2009</t>
  </si>
  <si>
    <t>2010-2013</t>
  </si>
  <si>
    <t>2002-2006</t>
  </si>
  <si>
    <t>2000-2006</t>
  </si>
  <si>
    <t>1999-2008</t>
  </si>
  <si>
    <t>1987-2001</t>
  </si>
  <si>
    <t>May 1946 - July 2003</t>
  </si>
  <si>
    <t>1929-1990 (1 outlier at 1929, otherwise 1940-1990)</t>
  </si>
  <si>
    <t>NA</t>
  </si>
  <si>
    <t>Y</t>
  </si>
  <si>
    <t>N</t>
  </si>
  <si>
    <t>BIRTH WEIGHT</t>
  </si>
  <si>
    <t>Method by which offspring birth weight (and length, if available) were collected</t>
  </si>
  <si>
    <t xml:space="preserve">Largely obstetric data and ALSPAC 
measurers  </t>
  </si>
  <si>
    <t xml:space="preserve">Birth weight was measured immediately after giving birth in a single big center always by the same pair of balances. The quality of this pair of balances was checked. Every month. All measurements were repeated 3 times, the mean is reported. </t>
  </si>
  <si>
    <t>Birth weight of female cohort members' first offspring was obtained from maternal self-report (information from questionnaires at age 33 and 42 years)</t>
  </si>
  <si>
    <t>Questionnaire and EPIC medical records: questionnaire data on birth weight were available for all children; of 7380 subjects included in imputation, 704 (9.5%) were checked against medical records (after exclusion of extreme values/errors): r=0.83.</t>
  </si>
  <si>
    <t>Medical Records</t>
  </si>
  <si>
    <t>Obstetric data from medical birth register</t>
  </si>
  <si>
    <t>At birth (within 12 hours of deivery) using standard neonatal anthropometry measures</t>
  </si>
  <si>
    <t>Hospital electronic medical records</t>
  </si>
  <si>
    <t>Hospital records and community midwives</t>
  </si>
  <si>
    <t>Medical record abstraction</t>
  </si>
  <si>
    <t xml:space="preserve"> At birth, weight and length were registered and filed in The Medical Birth Registry of Norway</t>
  </si>
  <si>
    <t>Birth Register Data</t>
  </si>
  <si>
    <t>Birth weight was obtained from longitudinal surveys of family members by self-report or parental report. Consistency was checked across time points and within parents and children. Birth weight was determined as the average of all valid data points.</t>
  </si>
  <si>
    <t>Self-report through questionnaire</t>
  </si>
  <si>
    <t>Questionnaire</t>
  </si>
  <si>
    <t>Reference - birth weight collection method</t>
  </si>
  <si>
    <t xml:space="preserve">European Journal of Public Health, Vol. 16, No. 1, 21–30 
</t>
  </si>
  <si>
    <t>a) Schlemm et al., J Hypertens. 2010 Apr;28(4):732-9. b) Hocher et al., Pharmacogenet Genomics. 2009 Sep;19(9):710-8. 
c) Pfab et al., Circulation. 2006 Oct 17;114(16):1687-92</t>
    <phoneticPr fontId="0" type="noConversion"/>
  </si>
  <si>
    <t xml:space="preserve">Hyppönen E, Power C, Smith GD. Parental growth at different life stages and
offspring birthweight: an intergenerational cohort study. Paediatr Perinat
Epidemiol. 2004 May;18(3):168-77.
</t>
  </si>
  <si>
    <t>Knudsen, L. B., &amp; Olsen, J. (1998). The Danish Medical Birth Registry. Danish medical bulletin, 45(3), 320-323.</t>
  </si>
  <si>
    <t>Paediatric and Perinatal Epidemiology, Vol. 20, No. 2, 172-179</t>
  </si>
  <si>
    <t>[1] Boomsma DI et al. Netherlands Twin Register: a focus on longitudinal research. Twin Research. 2002, 5, 401-6; [2] Boomsma D et al. Twins and the fetal origins hypothesis: An application to growth data. In: C. Kordon, R.C. Gaillard, Y. Christen (Eds.), Hormones and the Brain, Springer, 29-46, 2005</t>
  </si>
  <si>
    <t xml:space="preserve"> Moayyeri A, Hammond CJ, Hart DJ, et al., 2013, The UK Adult Twin Registry (TwinsUK Resource)., Twin Research and Human Genetics, Vol:16, ISSN:1832-4274, Pages:144-149            </t>
  </si>
  <si>
    <t>GESTATIONAL AGE</t>
  </si>
  <si>
    <t>Method by which gestational age was collected</t>
  </si>
  <si>
    <t>Callculated from LMP and corrected by ultrasound, if the difference was &gt; 2 weeks</t>
  </si>
  <si>
    <t>Information on the length of gestation for offspring of cohort members was obtained from a question inquiring if the child was born at term, or alternatively how many weeks in advance or late.  As with birth weight, this information was obtained from maternal self-report at ages 33 and 42 years.</t>
  </si>
  <si>
    <t>The National Birth Register, where gestational age is reported by doctors and midwives at birth</t>
  </si>
  <si>
    <t xml:space="preserve">Consensus algorithm for gestational age was developed based on information from medical birth register, hospital discharge register, LMP, LMP corrected for menstrual cycle length, Expected date of delivery (often based on ultrasound), and mother's selfreport of gestational age. </t>
  </si>
  <si>
    <t>Hospital records and study midwives</t>
  </si>
  <si>
    <t>Estimated according to last menstrual period or ultrasound gestational age and estimated date of delivery or confinement</t>
  </si>
  <si>
    <t xml:space="preserve">Gestational age was obtained from ultrasound at gestational  week 17-19 of pregnancy.                                                                                                                                     </t>
  </si>
  <si>
    <t xml:space="preserve">Last menstrual period and Scans. Based on hospital records  </t>
  </si>
  <si>
    <t>Gestational age was obtained from longitudinal surveys of family members by self-report or parental report. Inconsistencies in reports were checked and gestational age was determined as the average of all valid data points.</t>
  </si>
  <si>
    <t>Reference - gestational age collection method</t>
  </si>
  <si>
    <t xml:space="preserve">
a) Schlemm et al., J Hypertens. 2010 Apr;28(4):732-9
b) Hocher et al., Pharmacogenet Genomics. 2009 Sep;19(9):710-8..
c) Pfab et al., Circulation. 2006 Oct 17;114(16):1687-92</t>
  </si>
  <si>
    <t>na</t>
  </si>
  <si>
    <t xml:space="preserve">Metzger et al., Hyperglycemia and adverse pregnancy outcomes. N Engl J Med 2008; 358:1991–2002 </t>
  </si>
  <si>
    <t>[1] Boomsma DI et al. Netherlands Twin Register: a focus on longitudinal research. Twin Research. 2002, 5, 401-6; [2] Kistka Z.A.-F. et al. Heritability of parturition timing: an extended twin design analysis. American Journal of Obstetrics &amp; Gynecology. 2008, 199, 43.e1-43.e5.</t>
  </si>
  <si>
    <t>Maternal age at delivery [Mean (sd)], years (to 1dp)</t>
  </si>
  <si>
    <t>28.5 (4.8)</t>
  </si>
  <si>
    <t>30.1 (5.4)</t>
  </si>
  <si>
    <t>26.2 (5.2)</t>
  </si>
  <si>
    <t>26.1 (5.4)</t>
  </si>
  <si>
    <t>30.4 (4.3)</t>
  </si>
  <si>
    <t>29.2 (4.2)</t>
  </si>
  <si>
    <t>29.9 (4.2)</t>
  </si>
  <si>
    <t>30.5 (5.3)</t>
  </si>
  <si>
    <t>28.41 (4.41)</t>
  </si>
  <si>
    <t xml:space="preserve">31.2 (4.5) [=Maternal age at intake, when average gestational age = 14.4 weeks] </t>
  </si>
  <si>
    <t>31.5(5.3)</t>
  </si>
  <si>
    <t>28.5 (3.3)</t>
  </si>
  <si>
    <t>26.5 (3.7)  available for 2010 cases</t>
  </si>
  <si>
    <t>27.1 (3.7)</t>
  </si>
  <si>
    <t>24.5 (4.0)</t>
  </si>
  <si>
    <t>Maternal pre-pregnancy BMI [Mean (sd)], kg/m2  (to 2dp)</t>
  </si>
  <si>
    <t>22.78 (3.93)</t>
  </si>
  <si>
    <t>23.57 (4.27)</t>
  </si>
  <si>
    <t>24.07 (4.42)</t>
  </si>
  <si>
    <t>24.83 (5.63)</t>
  </si>
  <si>
    <t>23.12 (3.92)</t>
  </si>
  <si>
    <t>23.93 (3.94)</t>
  </si>
  <si>
    <t>22.79 (5.13)</t>
  </si>
  <si>
    <t>% of mothers who smoked in pregnancy</t>
  </si>
  <si>
    <t>SUMMARY  OFFSPRING CHARACTERISTICS (offspring of the INCLUDED sample of mothers)</t>
  </si>
  <si>
    <t>Birth weight [Mean (sd) ], grams</t>
  </si>
  <si>
    <t>3481 (475)</t>
  </si>
  <si>
    <t>3472 (511)</t>
  </si>
  <si>
    <t>3440 (562)</t>
  </si>
  <si>
    <t>3560 (505)</t>
  </si>
  <si>
    <t>3643 (495)</t>
  </si>
  <si>
    <t>3595 (497)</t>
  </si>
  <si>
    <t>3512 (480)</t>
  </si>
  <si>
    <t>3448 (433)</t>
  </si>
  <si>
    <t xml:space="preserve">3528 (494) </t>
  </si>
  <si>
    <t>3679 (430)</t>
  </si>
  <si>
    <t>3469 (529)</t>
  </si>
  <si>
    <t>Gestational age at delivery [Median (IQR)], weeks</t>
  </si>
  <si>
    <t>40 (39, 41)</t>
  </si>
  <si>
    <t>40 (38, 40)</t>
  </si>
  <si>
    <t>40 (40, 41)</t>
  </si>
  <si>
    <t>40 (39-41)</t>
  </si>
  <si>
    <t>40.3 (39.4 - 41.1)</t>
  </si>
  <si>
    <t>40 (39, 40)</t>
  </si>
  <si>
    <t>40 (37, 43)</t>
  </si>
  <si>
    <t>39.7 [38.9 ; 40.4]</t>
  </si>
  <si>
    <t>40(1.71)</t>
  </si>
  <si>
    <t>40.1 (0.86)</t>
  </si>
  <si>
    <t>40 (2)</t>
  </si>
  <si>
    <t>40 (38, 42)</t>
  </si>
  <si>
    <t>Birth length [Mean (sd)], cm</t>
  </si>
  <si>
    <t>51 (2)</t>
  </si>
  <si>
    <t>51.31 (2.50)</t>
  </si>
  <si>
    <t>52.5 (2.2)</t>
  </si>
  <si>
    <t>52 (2)</t>
  </si>
  <si>
    <t>50 (2)</t>
  </si>
  <si>
    <t>51.1 (2.1)</t>
  </si>
  <si>
    <t xml:space="preserve">51 (2) </t>
  </si>
  <si>
    <t>50.55(2.25)</t>
  </si>
  <si>
    <t>50.6 (1.8)</t>
  </si>
  <si>
    <t>50.31 (1.96)</t>
  </si>
  <si>
    <t>Ponderal index [Mean (sd)], kg/m3</t>
  </si>
  <si>
    <t>26 (3)</t>
  </si>
  <si>
    <t>25.68 (3.40)</t>
  </si>
  <si>
    <t>24.6 (2.4)</t>
  </si>
  <si>
    <t>25.0 (2.3)</t>
  </si>
  <si>
    <t>25 (2)</t>
  </si>
  <si>
    <t>28 (3)</t>
  </si>
  <si>
    <t>25.9 (2.5)</t>
  </si>
  <si>
    <t xml:space="preserve">27 (3) </t>
  </si>
  <si>
    <t>27.48(3.19)</t>
  </si>
  <si>
    <t>28.31 (2.53)</t>
  </si>
  <si>
    <t>27.61 (2.44)</t>
  </si>
  <si>
    <t>Birth head circumference [Mean (sd)], cm</t>
  </si>
  <si>
    <t>35 (1)</t>
  </si>
  <si>
    <t>34.90 (2.01)</t>
  </si>
  <si>
    <t>35.3 (1.6)</t>
  </si>
  <si>
    <t>35.5 (1.6)</t>
  </si>
  <si>
    <t>34.6 (1.4)</t>
  </si>
  <si>
    <t xml:space="preserve">34 (2) </t>
  </si>
  <si>
    <t>34.88(1.51)</t>
  </si>
  <si>
    <t>Parity (% primiparous births)</t>
  </si>
  <si>
    <t>MATERNAL GENOME- OR EXOME-WIDE GENOTYPING</t>
  </si>
  <si>
    <t>Genotyping platform and SNP panel</t>
  </si>
  <si>
    <t>Human Exomechip ver1.1</t>
  </si>
  <si>
    <t>Affymetrix Genome-wide Human SNP Array 6.0</t>
  </si>
  <si>
    <t>Illumina 550K Infinium</t>
  </si>
  <si>
    <t>Illunina550, Illumina610 Infinium</t>
  </si>
  <si>
    <t>Illumina 550K</t>
  </si>
  <si>
    <t xml:space="preserve">Illumina Human610-Quad v1.0 </t>
  </si>
  <si>
    <t>Illumina Human 660W-quad Bead Array</t>
  </si>
  <si>
    <t>Illumina Human 610 Quad v1 B SNP array</t>
  </si>
  <si>
    <t>Illumina 660Wquad</t>
  </si>
  <si>
    <t>Illumina HumanCNV‐370DUO Analysis BeadChip</t>
  </si>
  <si>
    <t>Perlegen-Affymetrix, Affymetrix 6.0, Illumina 370K, 600K, 1M Omni</t>
  </si>
  <si>
    <t>HumanCNV370-Quadv3</t>
  </si>
  <si>
    <t>HumanHap3001,2, HumanHap610Q, 1M‐Duo and 1.2MDuo 1M</t>
  </si>
  <si>
    <t>Genotyping centre</t>
  </si>
  <si>
    <t>Oxfor Centre for Diabete, Endocrinology and Metabolism, University of Oxford, UK</t>
  </si>
  <si>
    <t>Wellcome Trust Sanger Institute, Cambridge, UK</t>
  </si>
  <si>
    <t>JDRF/WT DIL Lab in Cambridge, UK</t>
  </si>
  <si>
    <t>The Center for Applied Genomics</t>
  </si>
  <si>
    <t>Children's Hospital of Philadelphia, Center for Applied Genomics</t>
  </si>
  <si>
    <t>Centre National de Génotypage (CNG), Evry, France</t>
  </si>
  <si>
    <t>Center for Inherited Disease Research, Johns Hopkins University, Baltimore, Maryland, USA</t>
  </si>
  <si>
    <t>Broad Institute Center for Genotyping and Analysis (CGA)</t>
  </si>
  <si>
    <t>The Norwegian Cancer Hospital, Oslo</t>
  </si>
  <si>
    <t>Broad Institute</t>
  </si>
  <si>
    <t>Perlegen Sciences Mountain View CF USA, Finnish Genome Center Helsinki Finland, SNP technology Platform Uppsala Sweden, Molecular Epidemiology Leiden The Netherlands, Translational Genomics Research Institute Phoenix AZ USA, Institute of Human Genetics LIFE &amp; BRAIN Center Bonn Germany.</t>
  </si>
  <si>
    <t>CIDR</t>
  </si>
  <si>
    <t>Sanger</t>
  </si>
  <si>
    <t>Genotype-calling algorithm</t>
  </si>
  <si>
    <t>Illumina Genome Studio (GENCALL)</t>
  </si>
  <si>
    <t>Chiamo</t>
  </si>
  <si>
    <t>ILLUMINUS</t>
  </si>
  <si>
    <t>Illumina Gencall</t>
  </si>
  <si>
    <t>Illumina BeadStudio</t>
  </si>
  <si>
    <t>Illumina GenomeStudio</t>
  </si>
  <si>
    <t>Beadstudio</t>
  </si>
  <si>
    <t>BeadStudio</t>
  </si>
  <si>
    <t>GenomeStudio/GenCall</t>
  </si>
  <si>
    <t>Genotyper, Beadstudio</t>
  </si>
  <si>
    <t>Illuminus</t>
  </si>
  <si>
    <t>Sample call rate [filter detail]</t>
  </si>
  <si>
    <t>≥ 95%</t>
  </si>
  <si>
    <t>-</t>
    <phoneticPr fontId="0"/>
  </si>
  <si>
    <t xml:space="preserve">&gt; 0.03 </t>
  </si>
  <si>
    <t>&gt; 0.05</t>
  </si>
  <si>
    <t>&gt;97.5%</t>
  </si>
  <si>
    <t>&gt;0.05</t>
  </si>
  <si>
    <t>≥95%</t>
  </si>
  <si>
    <t>median call rate = 99.93% [samples missing &gt; 5% removed]</t>
  </si>
  <si>
    <t>≥98%</t>
  </si>
  <si>
    <t>&lt; 95%</t>
  </si>
  <si>
    <t>&lt;98%</t>
  </si>
  <si>
    <t>Heterozygosity [filter detail]</t>
  </si>
  <si>
    <t>excluded &gt; 4SD or &lt;-4SD</t>
  </si>
  <si>
    <t xml:space="preserve">&gt; 0.34 or &lt;0.29 </t>
  </si>
  <si>
    <t xml:space="preserve">mean–(4*SD) </t>
  </si>
  <si>
    <t>&gt;0.35 or &lt;0.302</t>
  </si>
  <si>
    <t>sex differences (in HapMap controls or babies) in heterozygosity &gt; 0.3 removed</t>
  </si>
  <si>
    <t>Low mean heterozygosity: exclude if &lt; 0.29 &amp; MDS outliers</t>
  </si>
  <si>
    <t>Plink f &lt; -.10 &amp; &gt; 0.10</t>
  </si>
  <si>
    <t>all SNPs ≥2 s.d. from the sample mean</t>
  </si>
  <si>
    <t>Ethnic outliers / other exclusions</t>
  </si>
  <si>
    <t>potential gender discrepancy, non European ancestry, duplicates</t>
  </si>
  <si>
    <t>Outlying individuals were excluded on the basis of relatedness, non-European ancestry, sex discrepancy, channel differences and identity</t>
  </si>
  <si>
    <t xml:space="preserve">Potential gender discrepancy, non-European ancestry </t>
  </si>
  <si>
    <t>Non-European Americans were excluded</t>
  </si>
  <si>
    <t>PCA based removal of non-Caucasian samples. Gender Check and familystructure validation by IBS</t>
  </si>
  <si>
    <t xml:space="preserve">Outlying individuals were excluded on the basis of relatedness, non-European ancestry, sex discrepancy or discordance with previous genotyping
</t>
  </si>
  <si>
    <t>Maternal and grandparental birthplaces required to be in Denmark or Northwestern Europe. Exclusion of outliers in multidimensional scaling analysis. Exclusions based on sex discrepancy and Mendelian inconsistencies between mother and child.</t>
  </si>
  <si>
    <t>samples &gt; 5 s.d. from mean eigenvectors 1 and 2 removed</t>
  </si>
  <si>
    <t>Ethnic outliers and gender mismatches</t>
  </si>
  <si>
    <t xml:space="preserve">Duplicates: concordance with other DNA &gt;0.99, Contaminated samples: IBS pairwise with most other samples &gt; 0.99, IBS pairwise sharing &gt; 0.20, Withdrew consent, Gender mismatch: genotypic gender different from phenotypic, MDS outliers </t>
  </si>
  <si>
    <t>None</t>
  </si>
  <si>
    <t xml:space="preserve">Outlying individuals were excluded on the basis of relatedness, non-European ancestry, sex discrepancy, plus all genotypes within a family for SNPs displaying Mendelian errors
</t>
  </si>
  <si>
    <t>evidence of non‐European ancestry as assessed by PCA comparison with HapMap3 popn;  observed pairwise IBD probabilities suggestive of sample identity errors</t>
  </si>
  <si>
    <t>SNP QC prior to imputation: MAF [filter detail]</t>
  </si>
  <si>
    <t>&gt; 1%</t>
  </si>
  <si>
    <t>&gt;0.001</t>
  </si>
  <si>
    <t>&gt;1%</t>
  </si>
  <si>
    <t>≥ 2%</t>
  </si>
  <si>
    <t>&lt; 1%</t>
  </si>
  <si>
    <t>&lt;1% assessed in unrelated samples</t>
  </si>
  <si>
    <t>SNP QC prior to imputation: HWE [filter detail]</t>
  </si>
  <si>
    <t>&gt; 1e-20</t>
  </si>
  <si>
    <t>&gt; 1e-7</t>
  </si>
  <si>
    <t>&gt; 1e-6</t>
  </si>
  <si>
    <t>&gt;1e-6</t>
  </si>
  <si>
    <t>&gt;1e-7</t>
  </si>
  <si>
    <t>&gt;1e-3</t>
  </si>
  <si>
    <t>P ≥ 0.0001</t>
  </si>
  <si>
    <t>p &lt; 5.7e-7</t>
  </si>
  <si>
    <t>10-5</t>
  </si>
  <si>
    <t>&lt;10-6 assessed in unrelated</t>
  </si>
  <si>
    <t>SNP QC prior to imputation: Call rate [filter detail]</t>
  </si>
  <si>
    <t>&gt;98%</t>
  </si>
  <si>
    <t>&gt;95%</t>
  </si>
  <si>
    <t>≥ 98%</t>
  </si>
  <si>
    <t>exclude if &lt; 95% and exclude if &lt; 99% (for MAF &lt; 5%)</t>
  </si>
  <si>
    <t>SNP call rate &lt;97% (SNPs with MAF≥5%) or &lt; 99% (for 1% ≤MAF &lt; 5%)</t>
  </si>
  <si>
    <t>SNP QC prior to imputation: Other</t>
  </si>
  <si>
    <t>Statistical info rate ≥ 0.975, plate association &gt; 1e-5</t>
  </si>
  <si>
    <t>A/T and C/G SNPs excluded</t>
  </si>
  <si>
    <t>Related samples with K &gt; 1/32 filtered.  SNPs with ≥ 10 Mendelian errors (~ equivalent to 1%), ≥ 0 discordant calls in 29 duplicate pairs filtered</t>
  </si>
  <si>
    <t>Double typed and Mendelian eror rate &lt; 1%</t>
  </si>
  <si>
    <t>BeadStudio Gen call score &gt;0.7</t>
  </si>
  <si>
    <t>Alleles of all three datasets were aligned to HapMap2 or HapMap3 fwd strand alleles.</t>
  </si>
  <si>
    <t>N SNPs in QC'd dataset</t>
  </si>
  <si>
    <t>312214-814708</t>
  </si>
  <si>
    <t>323,093, reduced to a common set of 274,604 SNPs (common set across the QIMR sample) prior to imputation</t>
  </si>
  <si>
    <t xml:space="preserve">up to 874,733 SNPs </t>
  </si>
  <si>
    <t>Imputation software / reference panel</t>
  </si>
  <si>
    <t>Impute /HapMap Phase II</t>
  </si>
  <si>
    <t>MacH-minimac/Hapmap Phase II</t>
  </si>
  <si>
    <t>Mach 1.0</t>
  </si>
  <si>
    <t>MaCH/HapMap Phase II</t>
  </si>
  <si>
    <t>Beagle / HapMap3 CEU &amp; TSI</t>
  </si>
  <si>
    <t>PLINK /HapMap Phase II</t>
  </si>
  <si>
    <t>Impute version 2 / HapMap2</t>
  </si>
  <si>
    <t>Impute 1.0 / Build 36r24 Hapmap 2</t>
  </si>
  <si>
    <t>MACH/HapMap Phase II</t>
  </si>
  <si>
    <t>IMPUTE software package (v2) 5 using two referencepanels, P0 (HapMap2, rel 22, combined CEU+YRI+ASN panels) and P1 (610k+, including the combinedHumanHap610k and 1M reduced to 610k SNP content).</t>
  </si>
  <si>
    <t>N QC'd SNPs available for GWAS analysis</t>
  </si>
  <si>
    <t>Genomic control lambda from GWAS analysis of offspring birth weight</t>
  </si>
  <si>
    <t>MATERNAL CUSTOM GENOTYPING</t>
  </si>
  <si>
    <t>Genotyping centre and method</t>
  </si>
  <si>
    <t>LGC Genomics (formerly Kbiosciences); KASPar</t>
  </si>
  <si>
    <t>Genome Quebec Innovation Centre</t>
  </si>
  <si>
    <t>Call rate [Median (range)]; N SNPs genotyped</t>
  </si>
  <si>
    <t>0.99 [0.98 ; 1] (N=4 snps)</t>
  </si>
  <si>
    <t>Did any SNPs deviate from HWE (Bonferroni corrected P&lt;0.05)? Y/N</t>
  </si>
  <si>
    <t>Duplicate concordance (% duplicated genotypes)</t>
  </si>
  <si>
    <t>FETAL GENOME- OR EXOME-WIDE GENOTYPING</t>
  </si>
  <si>
    <t>Ilumina 610 Quad and 660W</t>
  </si>
  <si>
    <t>Human Genotyping Facility (HuGeF), Dept Internal Medicine, Erasmus MC, The Netherlands</t>
  </si>
  <si>
    <t>Genomestudio 2009 V.1.1.9</t>
  </si>
  <si>
    <t>&gt; 4SD from mean</t>
  </si>
  <si>
    <t>Based on PCA</t>
  </si>
  <si>
    <t>Minimac and MACH</t>
  </si>
  <si>
    <t>DATA ANALYSIS</t>
  </si>
  <si>
    <t>Analysis software</t>
  </si>
  <si>
    <t>PLINK</t>
  </si>
  <si>
    <t>plink/impute2</t>
  </si>
  <si>
    <t>R-project</t>
  </si>
  <si>
    <t>MaCH2QTL</t>
  </si>
  <si>
    <t>R</t>
  </si>
  <si>
    <t>Stata version 12</t>
  </si>
  <si>
    <t>R 3.0.2; BEAGLE; SNPTEST; EIGENSTRAT</t>
  </si>
  <si>
    <t>SNPTEST 2.30</t>
  </si>
  <si>
    <t>MERLIN (fastassoc)</t>
  </si>
  <si>
    <t xml:space="preserve">SNPTEST </t>
  </si>
  <si>
    <t>REFERENCES</t>
  </si>
  <si>
    <t>Reference - cohort</t>
  </si>
  <si>
    <t>a) Schlemm et al., J Hypertens. 2010 Apr;28(4):732-9
b) Hocher et al., Pharmacogenet Genomics. 2009 Sep;19(9):710-8.,
c) Pfab et al., Circulation. 2006 Oct 17;114(16):1687-92</t>
    <phoneticPr fontId="0" type="noConversion"/>
  </si>
  <si>
    <t>Power C, Elliott J.  Cohort profile: 1958 British birth cohort (National Child Development Study).  Int J Epidemiol 2006; 35(1):34-41</t>
  </si>
  <si>
    <t>Bisgaard H. The Copenhagen Prospective Study on Asthma in Childhood (COPSAC): design, rationale, and baseline data from a longitudinal birth cohort study. Ann Allergy Asthma Immunol 2004;93:381–389.</t>
  </si>
  <si>
    <t xml:space="preserve">Rantakallio P. Groups at risk in low birth weight infants and perinatal mortality. Acta Paediatr Scand 1969;193(suppl 193):1–71; Järvelin M-R., Sovio U., King V., Laurén L., Xu B., McCarthy M., Hartikainen A-L., Laitinen J., Zitting P., Rantakallio P., Elliott P.: Early Life Factors and Blood Pressure at Age 31 Years in the 1966 Northern Finland Birth Cohort. Hypertension 44:838-846, 2004. </t>
  </si>
  <si>
    <t>[1] Boomsma DI et al. Netherlands Twin Register: from twins to twin families. Twin Research and  Human Genetics. 2006, 9, 849-57; [2] Willemsen et al. The Adult Netherlands Twin Register: twenty-five years of survey and biological data collection. Twin Research and Human Genetics, 2013, 16, 271-81.</t>
  </si>
  <si>
    <t>Medland SE et al. (2009) Common variants in the trichohyalin gene are associated with straight hair in Europeans. American Journal of Human Genetics 85:750-755.</t>
  </si>
  <si>
    <t xml:space="preserve">[1] Moayyeri A, Hammond CJ, Hart DJ, et al., 2013, The UK Adult Twin Registry (TwinsUK Resource)., Twin Research and Human Genetics, Vol:16, ISSN:1832-4274, Pages:144-149                               [2] Moayyeri A, Hammond CJ, Valdes AM, et al., 2013, Cohort Profile: TwinsUK and healthy ageing twin study., Int J Epidemiol, Vol:42, 0300-5771, Pages:76-85 </t>
  </si>
  <si>
    <t>Reference - MATERNAL genotyping</t>
  </si>
  <si>
    <t>Sawcer S, Hellenthal G, Pirinen M, Spencer CC, Patsopoulos NA, et al. (2011) Genetic risk and a primary role for cell-mediated immune mechanisms in multiple sclerosis. Nature 476: 214–219</t>
  </si>
  <si>
    <t>Barrett JC, Clayton DG, Concannon P et al.  Genome-wide assocition study and meta-analysis find that over 40 loci affect risk of type 1 diabetes. Nat. Genet 2009</t>
  </si>
  <si>
    <t>HakonarsonH,GrantSF,BradfieldJP,MarchandL,KimCE,GlessnerJT, Grabs R, Casalunovo T, Taback SP, Frackelton EC, et al. A genome- wide association study identifies KIAA0350 as a type 1 diabetes gene. Nature 2007;448:591–594.</t>
  </si>
  <si>
    <t>Paternoster et al. (2011) PLoS One. 6(9):e24303</t>
  </si>
  <si>
    <t>Hayes et al., Identification of HKDC1 and BACE2 as genes influencing glycemic traits during pregnancy through genome-wide association studies.  Diabetes. 2013 Sep;62(9):3282-91</t>
  </si>
  <si>
    <t>Sabatti et al. Genome-wide association analysis of metabolic traits in a birth cohort from a founder population. Nat Genet. 2009;41:35-46 and Prokopenko et al. Variants in MTNA1B influence fasting glucose levels. Nat Genet 2009;41:77-81.</t>
  </si>
  <si>
    <t>[1] Willemsen et al. The Netherlands Twin Register biobank: a resource for genetic epidemiological studies. Twin Research and Human Genetics. 2010, 13, 231-45.</t>
  </si>
  <si>
    <t>Reference -FETAL genotyping</t>
  </si>
  <si>
    <t>Urbanek et al., The chromosome 3q25 genomic region is associated with measures of adiposity in newborns in a multi-ethnic genome-wide association study.Hum Mol Genet. 2013 Sep 1;22(17):3583-96.</t>
  </si>
  <si>
    <t>Study URL</t>
  </si>
  <si>
    <t>www.cls.ioe.ac.uk and www.wtccc.org.uk</t>
  </si>
  <si>
    <t xml:space="preserve">www.cls.ioe.ac.uk </t>
  </si>
  <si>
    <t>www.copsac.com</t>
  </si>
  <si>
    <t>www.dnbc.dk</t>
  </si>
  <si>
    <t>www.generationr.nl</t>
  </si>
  <si>
    <t>http://www.hapo.northwestern.edu/index.html</t>
  </si>
  <si>
    <t>http://www.fhi.no/morogbarn</t>
  </si>
  <si>
    <t>http://www.oulu.fi/nfbc/</t>
  </si>
  <si>
    <t xml:space="preserve"> www.tweelingenregister.org</t>
  </si>
  <si>
    <t>http//www.genepi.qimr.edu.au/general/researchtopics.cgi</t>
  </si>
  <si>
    <t>www.twinsuk.co.uk</t>
  </si>
  <si>
    <t>FHS</t>
  </si>
  <si>
    <t>INMA Mothers</t>
  </si>
  <si>
    <t>NCCGP Mothers</t>
  </si>
  <si>
    <t>Raine Mothers</t>
  </si>
  <si>
    <t>Rhea Mothers</t>
  </si>
  <si>
    <t>SWS mothers</t>
  </si>
  <si>
    <t>White/European descent</t>
  </si>
  <si>
    <t>Spanish/European descent</t>
  </si>
  <si>
    <t>Greek/European descent</t>
  </si>
  <si>
    <t>Mainly British/Caucasian</t>
  </si>
  <si>
    <t>USA</t>
  </si>
  <si>
    <t>Spain</t>
  </si>
  <si>
    <t>Greece</t>
  </si>
  <si>
    <t>U.K.</t>
  </si>
  <si>
    <t>Population-based, women aged 20-34 living in Southampton between 1998 and 2002</t>
  </si>
  <si>
    <t>Not available</t>
  </si>
  <si>
    <t>2003-2008</t>
  </si>
  <si>
    <t>1996-2003</t>
  </si>
  <si>
    <t>2007-2008</t>
  </si>
  <si>
    <t>1998 and 2007</t>
  </si>
  <si>
    <t>Self report from mother (&gt;37 weeks gestation)</t>
  </si>
  <si>
    <t>Birth weight was measured by the midwife attending the birth,  birth length and HC were measured by a nurse when the newborn arrived at the hospital  within the first 12 hr of life</t>
  </si>
  <si>
    <t>At birth (within 12 hours of delivery) using standard neonatal anthropometry measures</t>
  </si>
  <si>
    <t>Information on anthropometric measures at birth was
obtained from the hospital delivery logs and medical records</t>
  </si>
  <si>
    <t>Shortly after birth by research nurses using standard neonatal anthropometry measures</t>
  </si>
  <si>
    <t>Estarlich M, Ballester F, Aguilera I, Fernández-Somoano A, Lertxundi A, Llop S, et al. 2011. Residential Exposure to Outdoor Air Pollution during Pregnancy and Anthropometric Measures at Birth in a Multicenter Cohort in Spain. Environ Health Perspect doi: 10.1289/ehp.1002918</t>
  </si>
  <si>
    <t xml:space="preserve">Chase DS et al. J Med Genet 1998; 35(5):413-6 </t>
  </si>
  <si>
    <t>Chatzi L., Mendez M., Garcia R., Roumeliotaki T., Ibarluzea J., Tardon A., Amiano P., Lertxundi A., Iniguez C., Vioque J., Kogevinas M., Sunyer J. Mediterranean diet adherence during pregnancy and fetal growth: INMA (Spain) and RHEA (Greece) mother-child cohort studies. Br J Nutr. 2012 Jan; 107(1): 135-45</t>
  </si>
  <si>
    <t>Self-report from mother (&gt; 37 weeks gestation)</t>
  </si>
  <si>
    <t>An early ultrasound of the crown–rump length was used for gestational dating when the difference with the last menstrual period was ≥ 7 days</t>
  </si>
  <si>
    <t>Obstetric estimate of gestational age measured at birth.</t>
  </si>
  <si>
    <t xml:space="preserve">Gestational age was based on the interval between last menstrual period and date of delivery of the baby for 84% of the subjects. When the menstrual estimate of gestational age was inconsistent by 7 or more days within the ultrasound measurement taken in the first trimester of pregnancy (n=187, 16%), a quadratic regression formula describing the relationship between crown-rump length and gestational age was used instead </t>
  </si>
  <si>
    <t>If available and accurate by LMP, otherwise by ultrasound scan</t>
  </si>
  <si>
    <r>
      <rPr>
        <sz val="8"/>
        <color theme="1"/>
        <rFont val="Calibri"/>
        <family val="2"/>
        <scheme val="minor"/>
      </rPr>
      <t>Karakosta P., Alegakis D., Georgiou V., Roumeliotaki T., Fthenou E., Vassilaki M., Boumpas D., Castanas E., Kogevinas M., Chatzi L. Thyroid dysfunction and autoantibodies in early pregnancy are associated with increased risk of gestational diabetes and adverse birth outcomes. J Clin Endocrinol Metab. 2012 Dec; 97(12):4464-72</t>
    </r>
    <r>
      <rPr>
        <sz val="12"/>
        <color theme="1"/>
        <rFont val="Times New Roman"/>
        <family val="1"/>
        <charset val="161"/>
      </rPr>
      <t xml:space="preserve">. </t>
    </r>
  </si>
  <si>
    <t>31.9 (4.0)</t>
  </si>
  <si>
    <t>28.5 (5.9) [data available for n=551 mothers]</t>
  </si>
  <si>
    <t>29.5 (5.0)</t>
  </si>
  <si>
    <t>30.5(3.8)</t>
  </si>
  <si>
    <t>23.43 (4.26)</t>
  </si>
  <si>
    <t>24.16 (4.64)</t>
  </si>
  <si>
    <t>25.43(4.85)</t>
  </si>
  <si>
    <t>25% smoked at some point, 18% continued to smoke throughout pregnancy [data available for n=551 mothers]</t>
  </si>
  <si>
    <t>3279.7 (428.4)</t>
  </si>
  <si>
    <t>3460.33 (472.40)</t>
  </si>
  <si>
    <t>3246.4 (414.7)</t>
  </si>
  <si>
    <t>3520(473)</t>
  </si>
  <si>
    <t>38.9 (39.0-40.7)</t>
  </si>
  <si>
    <t>39.67 (1.22)</t>
  </si>
  <si>
    <t>38 (38-39)</t>
  </si>
  <si>
    <t>40(39,41)</t>
  </si>
  <si>
    <t>49.6 (1.9)</t>
  </si>
  <si>
    <t>50.7 (2.1)</t>
  </si>
  <si>
    <t>50(2)</t>
  </si>
  <si>
    <t>26.7 (2.7)</t>
  </si>
  <si>
    <t>25.0 (2.9)</t>
  </si>
  <si>
    <t>28(2)</t>
  </si>
  <si>
    <t>34.4  (1.3)</t>
  </si>
  <si>
    <t>34.97 (1.31)</t>
  </si>
  <si>
    <t>34.3 (1.4)</t>
  </si>
  <si>
    <t>35(1)</t>
  </si>
  <si>
    <t xml:space="preserve">Affymetrix 500K </t>
  </si>
  <si>
    <t>Affymetrix</t>
  </si>
  <si>
    <t>BRLMM</t>
  </si>
  <si>
    <t>&lt;97%</t>
  </si>
  <si>
    <t>subject heterozygosity &gt;5 SD away from the mean</t>
  </si>
  <si>
    <t>removed MAF&lt;1%</t>
  </si>
  <si>
    <t>MaCH/HapMap2</t>
  </si>
  <si>
    <t>LGC Genomics Ltd (previously KBioSciences UK Ltd), KASP™ genotyping assay</t>
  </si>
  <si>
    <t>99.6 (98.9-99.9); 18</t>
  </si>
  <si>
    <t>99.6 (99.5-99.8); 18</t>
  </si>
  <si>
    <t>99.99% (98% to 99.99%) N=18</t>
  </si>
  <si>
    <t>Y (rs17065363, P=0.002; rs989265, P=1e-14 [Bonferroni corrected P=0.0028 for 18 SNPs)</t>
  </si>
  <si>
    <t>792 duplicated genotypes and 0.63% discordance</t>
  </si>
  <si>
    <t>100% concordance across 15 duplicate pairs (1% of genotyped sample)</t>
  </si>
  <si>
    <t>504 duplicated genotypes and 1.19% discordance</t>
  </si>
  <si>
    <t>100%(5%)</t>
  </si>
  <si>
    <t>SNPassoc</t>
  </si>
  <si>
    <t>STATA version 10</t>
  </si>
  <si>
    <t xml:space="preserve">STATA version 12 </t>
  </si>
  <si>
    <r>
      <t xml:space="preserve">  Splansky GL, Corey D, Yang Q, Atwood LD, Cupples LA, Benjamin EJ, D'Agostino RB Sr, Fox CS, Larson MG, </t>
    </r>
    <r>
      <rPr>
        <b/>
        <sz val="8"/>
        <color theme="1"/>
        <rFont val="Calibri"/>
        <family val="2"/>
        <scheme val="minor"/>
      </rPr>
      <t>Murabito JM</t>
    </r>
    <r>
      <rPr>
        <sz val="8"/>
        <color theme="1"/>
        <rFont val="Calibri"/>
        <family val="2"/>
        <scheme val="minor"/>
      </rPr>
      <t xml:space="preserve">, O'Donnell CJ, Vasan RS, Wolf PA, Levy D. The Third Generation Cohort of the National Heart, Lung, and Blood Institute's Framingham Heart Study: design, recruitment, and initial examination. </t>
    </r>
    <r>
      <rPr>
        <i/>
        <sz val="8"/>
        <color theme="1"/>
        <rFont val="Calibri"/>
        <family val="2"/>
        <scheme val="minor"/>
      </rPr>
      <t>Am J Epidemiol</t>
    </r>
    <r>
      <rPr>
        <sz val="8"/>
        <color theme="1"/>
        <rFont val="Calibri"/>
        <family val="2"/>
        <scheme val="minor"/>
      </rPr>
      <t>. 2007 Jun 1;165(11):1328-35. Epub 2007 Mar 19. PMID: 17372189</t>
    </r>
  </si>
  <si>
    <t>Guxens M, Ballester, F, Espada M, Fernández MF, Grimalt JO, Ibarluzea J, Olea N, Rebagliato M, Tardón A, Torrent M, Vioque J, Sunyer J on behalf of INMA Project. Cohort Profile: The INMA – INfancia y Medio Ambiente (Environment and Childhood) Project. Int J Epidemiol. 2011 doi:10.1093/ije/dyr054</t>
  </si>
  <si>
    <t>Chatzi L., Plana E., Daraki V., Karakosta P., Alegkakis D., Tsatsanis C., Kafatos A., Koutis A., Kogevinas M. Metabolic syndrome in early pregnancy and risk of preterm birth. Am J Epidemiol. 2009 Oct; 170(7): 829-36</t>
  </si>
  <si>
    <t>Inskip HM, Godfrey KM, Robinson SM, Law CM, Barker DJP, Cooper C et al. Cohort profile: The Southampton Women's Survey. Int J Epidemiol 2006; 35(1):42-48</t>
  </si>
  <si>
    <t>http://www.proyectoinma.org/</t>
  </si>
  <si>
    <t>http://www.rhea.gr/</t>
  </si>
  <si>
    <t>http://www.mrc.soton.ac.uk/sws/</t>
  </si>
  <si>
    <t>Australian/European descent</t>
  </si>
  <si>
    <t>Measured</t>
  </si>
  <si>
    <t>Evans S, Newnham J, MacDonald W, Hall C. Characterisation of the possible effect on birthweight following frequent prenatal ultrasound examinations. Early Hum Dev 1996;45:203-14.</t>
  </si>
  <si>
    <t>Ultrasound biometry and LMP</t>
  </si>
  <si>
    <t>0.987 (0.957, 0.990); 18</t>
  </si>
  <si>
    <t>Newnham JP, Evans SF, Michael CA, Stanley FJ, Landau LI. Effects of frequent ultrasound during pregnancy: a randomised controlled trial. Lancet 1993;342:887-91.</t>
  </si>
  <si>
    <t>USA, UK, Canada, Australia</t>
  </si>
  <si>
    <t>30.4 (5.4) [=Maternal age at OGTT, when average gestaional age = 28 weeks]</t>
  </si>
  <si>
    <t>24.63 (5.33)</t>
  </si>
  <si>
    <t>3526 (463)</t>
  </si>
  <si>
    <t>50.8 (2.3)</t>
  </si>
  <si>
    <t>26.87 (2.86)</t>
  </si>
  <si>
    <t>35.0 (1.4)</t>
  </si>
  <si>
    <t>Stata v.13</t>
  </si>
  <si>
    <t>Y - rs204928 (P = 0.00007)</t>
  </si>
  <si>
    <t>&gt;99% except rs204928, 98.7% (4% duplicates included)</t>
  </si>
  <si>
    <t>0.985 [0.978, 0.989]; N=18 SNPs</t>
  </si>
  <si>
    <t>&gt; 98%</t>
  </si>
  <si>
    <t>May 1989 - Nov 1991</t>
  </si>
  <si>
    <t>28.4 (5.8)</t>
  </si>
  <si>
    <t>22.43 (4.25)</t>
  </si>
  <si>
    <t>3446 (471)</t>
  </si>
  <si>
    <t>39.86 (38.86,40.86)</t>
  </si>
  <si>
    <t>49.44 (2.16)</t>
  </si>
  <si>
    <t>28.47 (2.88)</t>
  </si>
  <si>
    <t>34.70 (1.52)</t>
  </si>
  <si>
    <t>R version  2.12</t>
  </si>
  <si>
    <t>NA</t>
    <phoneticPr fontId="0"/>
  </si>
  <si>
    <t xml:space="preserve">Number of womenof EUROPEAN ANCESTRY available for analysis (i.e. with BIRTH WEIGHT OF 1 CHILD available and SNP GENOTYPE DATA), excluding offspring of multiple births, stillbirths, gestation &lt;37 wks (where known) and congenital anomalies (where known). </t>
  </si>
  <si>
    <t>4.56 (0.37) (28)</t>
  </si>
  <si>
    <t>Fasting glucose [Mean (sd)], mmol/L (to 2dp) (gestational wk of measurement)</t>
  </si>
  <si>
    <t>SUMMARY MATERNAL CHARACTERISTICS, where available in the INCLUDED sample</t>
  </si>
  <si>
    <t>4.35 (0.38) (28)</t>
  </si>
  <si>
    <t>4.20 (0.41) (26)</t>
  </si>
  <si>
    <t>4.54 (0.37) (28)</t>
  </si>
  <si>
    <t>MATERNAL GENOME-WIDE GENOTYPING</t>
  </si>
  <si>
    <t>FETAL GENOME- WIDE GENOTYPING (if available)</t>
  </si>
  <si>
    <t>For all live births gestation was recorded in a variety of ways on the “stork database”, using one or more of: LMP, paediatric assessment, obstetric assessment, ultrasound assessment. In addition the mothers' report of their expected date of delivery as recorded at enrolment was used to identify from any source children who had been classified as a preterm or post-term delivery.  For all such case records, Professor Ian MacGillivray reviewed the obstetric notes and came to a conclusion as to the most appropriate gestation in completed weeks.  In general, the LMP was used if the mother was certain of it and there were no other clinical suggestions that this was erroneous.  If the LMP date was considered unreliable, then the earliest ultrasound measurement was most likely to be taken.</t>
  </si>
  <si>
    <t>22.93 (3.73)</t>
  </si>
  <si>
    <t xml:space="preserve">Illumina Human660W-Quad BeadChip </t>
  </si>
  <si>
    <t>&gt; 95%</t>
  </si>
  <si>
    <t>excluded unusual genome-wide or X-chromosome heterozygosity</t>
  </si>
  <si>
    <t>IBD &gt;10%; inconclusive X chromosome heterozygosity; do not cluster with CEU HapMap on IBS plot</t>
  </si>
  <si>
    <t>MACH v.1.0.16 / HapMap Phase II</t>
  </si>
  <si>
    <t>Illumina HumanHap550 quad array</t>
  </si>
  <si>
    <t>23andMe subcontracting The Wellcome Trust Sanger Centre, Cambridge, UK and Laboratory Corporation of America, Burlington, NC, USA</t>
  </si>
  <si>
    <t>NA</t>
    <phoneticPr fontId="0" type="noConversion"/>
  </si>
  <si>
    <t>&gt;=97%</t>
  </si>
  <si>
    <t>&gt;34.5% or &lt;32% for the Sanger data and &gt;33% or &lt;31% for the LabCorp data</t>
  </si>
  <si>
    <t>Individuals were excluded on the basis of gender mismatches, cryptic relatedness measured as proportion of identity by descent (IBD &gt; 0.1) and insufficient sample replication (IBD &lt; 0.8). all individuals with non-European ancestry were removed</t>
  </si>
  <si>
    <t>minor allele frequency of &lt; 1%</t>
    <phoneticPr fontId="2"/>
  </si>
  <si>
    <t>HWE P &lt; 5E-7</t>
    <phoneticPr fontId="2"/>
  </si>
  <si>
    <t>call rate of &lt; 95%</t>
  </si>
  <si>
    <t>MOTHERS: Fraser, A. et al. (2013) Cohort Profile: the Avon Longitudinal Study of Parents and Children: ALSPAC mothers cohort. Int J Epidemiol. 42(1):97-110.    CHILDREN: Boyd A et al. (2013). Cohort Profile: the 'children of the 90s'--the index offspring of the Avon Longitudinal Study of Parents and Children. Int J Epidemiol. 42(1):111-27.</t>
  </si>
  <si>
    <t>Evans DM et al. (2013) Genome-wide association study identifies loci affecting blood copper, selenium and zinc. Hum Mol Genet. 22(19):3998-4006.</t>
  </si>
  <si>
    <t xml:space="preserve">Paternoster L. et al. (2012) Genome-wide association study of three-dimensional facial morphology identifies a variant in PAX3 associated with nasion position. Am J Hum Genet. 90(3):478-85. </t>
  </si>
  <si>
    <t>MACH2QTL</t>
  </si>
  <si>
    <t>24.5 (5.0)</t>
  </si>
  <si>
    <t>Knight, B., Shields, B. M., Hattersley, A. T. (2006). The Exeter Family Study of Childhood Health (EFSOCH): study protocol and methodology</t>
  </si>
  <si>
    <t>www.diabetesgenes.org</t>
  </si>
  <si>
    <t xml:space="preserve"> &gt;99% for all SNPs except rs204928 which was 98.7% (min 6% duplicated samples)</t>
  </si>
  <si>
    <t>0.955 [0.942 to 0.985] (N=18 SNPs)</t>
  </si>
  <si>
    <r>
      <t>FETAL CUSTOM GENOTYPING of</t>
    </r>
    <r>
      <rPr>
        <b/>
        <i/>
        <sz val="8"/>
        <color indexed="9"/>
        <rFont val="Calibri"/>
        <family val="2"/>
      </rPr>
      <t xml:space="preserve"> MTNR1B </t>
    </r>
    <r>
      <rPr>
        <b/>
        <sz val="8"/>
        <color indexed="9"/>
        <rFont val="Calibri"/>
        <family val="2"/>
      </rPr>
      <t xml:space="preserve">SNP rs10830963 </t>
    </r>
  </si>
  <si>
    <t>0.931 (rs10830963)</t>
  </si>
  <si>
    <t>&gt;99% (approx. 10%)</t>
  </si>
  <si>
    <t>0.979 (rs10830963)</t>
  </si>
  <si>
    <t>&gt;99% (4%)</t>
  </si>
  <si>
    <t>Fetal  genotype data used to adjust association between birth weight and maternal rs10830963? (Y/N)</t>
  </si>
  <si>
    <t>SNPTEST</t>
  </si>
  <si>
    <t>3344 (532)</t>
  </si>
  <si>
    <t>3525 (461)</t>
  </si>
  <si>
    <t>3557 (517)</t>
  </si>
  <si>
    <t>3379 (469)</t>
  </si>
  <si>
    <t>3325 (483)</t>
  </si>
  <si>
    <t>0.99 (0.96, 1.00); 18 SNPs</t>
  </si>
  <si>
    <t>99.3% [5 SNPs]</t>
  </si>
  <si>
    <t>&gt;97%</t>
  </si>
  <si>
    <t>www.framinghamheartstudy.org</t>
  </si>
  <si>
    <t>Inskip HM, Godfrey KM, Robinson SM, Law CM, Barker DJ, Cooper C, Cohort profile: The Southampton Women's Survey. Int J Epidemiol 2006;90:42-48.</t>
  </si>
  <si>
    <t>Informed consent was obtained from all participants, and study protocols were approved by the local regional or institutional ethics committees.</t>
  </si>
  <si>
    <r>
      <t>Population-Based (</t>
    </r>
    <r>
      <rPr>
        <i/>
        <sz val="8"/>
        <rFont val="Calibri"/>
        <family val="2"/>
      </rPr>
      <t>Ethical approval for the study was obtained from the ALSPAC Ethics and Law Committee and the Local Research Ethics Committees)</t>
    </r>
  </si>
  <si>
    <t xml:space="preserve">Basic characteristics of participants from EGG Discovery studies (NA, not available) </t>
  </si>
  <si>
    <t xml:space="preserve">Basic characteristics of participants from EGG Follow-up studies (NA, not available) </t>
  </si>
  <si>
    <t>Basic characteristics, genotyping, imputation and analysis details for participants in the EGG Discovery studies</t>
  </si>
  <si>
    <t>Basic characteristics, genotyping, imputation and analysis details for participants in the EGG Follow-up studies</t>
  </si>
  <si>
    <t>Supplementary Table 1</t>
  </si>
  <si>
    <t>Supplementary Table 2</t>
  </si>
  <si>
    <t>Look-ups of 10 birth weight-associated SNPs in available GWAS data for other traits</t>
  </si>
  <si>
    <t xml:space="preserve">Type 2 Diabetes </t>
  </si>
  <si>
    <t>Fasting Glucose</t>
  </si>
  <si>
    <t xml:space="preserve">Proinsulin </t>
  </si>
  <si>
    <t>Coronary artery disease</t>
  </si>
  <si>
    <t xml:space="preserve">Total cholesterol </t>
  </si>
  <si>
    <t xml:space="preserve">Triglyceride </t>
  </si>
  <si>
    <t>SBP</t>
  </si>
  <si>
    <t>DBP</t>
  </si>
  <si>
    <t>Adult height</t>
  </si>
  <si>
    <t xml:space="preserve">Adult BMI </t>
  </si>
  <si>
    <t>Adult WHRadjBMI</t>
  </si>
  <si>
    <t>Birth Length</t>
  </si>
  <si>
    <t>Infant Head Circumference</t>
  </si>
  <si>
    <t>Childhood Obesity</t>
  </si>
  <si>
    <t>Childhood Height (pubertal height)</t>
  </si>
  <si>
    <t>Pubertal Growth</t>
  </si>
  <si>
    <t>TANNER stage</t>
  </si>
  <si>
    <t>Locus</t>
  </si>
  <si>
    <t>Index variant</t>
  </si>
  <si>
    <t>Chr</t>
  </si>
  <si>
    <t>Pos (b37)</t>
  </si>
  <si>
    <t>SNP (Proxy)</t>
  </si>
  <si>
    <t>r2 (EUR)</t>
  </si>
  <si>
    <t>OR</t>
  </si>
  <si>
    <t>SE</t>
  </si>
  <si>
    <t>P</t>
  </si>
  <si>
    <t>β</t>
  </si>
  <si>
    <t>Log OR</t>
  </si>
  <si>
    <t>KCNAB1</t>
  </si>
  <si>
    <t>rs7629460</t>
  </si>
  <si>
    <t>rs13073556</t>
  </si>
  <si>
    <t>c</t>
  </si>
  <si>
    <t>a</t>
  </si>
  <si>
    <t>EBF1</t>
  </si>
  <si>
    <t>rs12520982</t>
  </si>
  <si>
    <t>rs2963462</t>
  </si>
  <si>
    <t>t</t>
  </si>
  <si>
    <t>L3MBTL3</t>
  </si>
  <si>
    <t>rs9375694</t>
  </si>
  <si>
    <t>g</t>
  </si>
  <si>
    <t>rs2971669</t>
  </si>
  <si>
    <t>rs45446698</t>
  </si>
  <si>
    <t>rs10278040</t>
  </si>
  <si>
    <t>g(a)</t>
  </si>
  <si>
    <t>t(g)</t>
  </si>
  <si>
    <t>TCF7L2</t>
  </si>
  <si>
    <t>rs7903146</t>
  </si>
  <si>
    <t>HMGA2</t>
  </si>
  <si>
    <t>rs1351394</t>
  </si>
  <si>
    <t>SH2B3</t>
  </si>
  <si>
    <t>rs3184504</t>
  </si>
  <si>
    <t>ACTL9</t>
  </si>
  <si>
    <t>rs2918299</t>
  </si>
  <si>
    <t>Non-effect allele</t>
  </si>
  <si>
    <t>HDL-cholesterol</t>
  </si>
  <si>
    <t>LDL-cholesterol</t>
  </si>
  <si>
    <t xml:space="preserve">Fasting Insulin </t>
  </si>
  <si>
    <t>N (cases/controls)</t>
  </si>
  <si>
    <t>34840/114981</t>
  </si>
  <si>
    <t>http://diagram-consortium.org/downloads.html</t>
  </si>
  <si>
    <t>https://www.magicinvestigators.org/downloads/</t>
  </si>
  <si>
    <t>PMC3178302</t>
  </si>
  <si>
    <t>PMC3018764</t>
  </si>
  <si>
    <t>PMC3442244</t>
  </si>
  <si>
    <t>22233/64762</t>
  </si>
  <si>
    <t>PMC3119261</t>
  </si>
  <si>
    <t>http://www.cardiogramplusc4d.org/downloads/</t>
  </si>
  <si>
    <t>http://archive.broadinstitute.org/mpg/pubs/lipids2010/</t>
  </si>
  <si>
    <t>PMC3039276</t>
  </si>
  <si>
    <t>http://csg.sph.umich.edu/abecasis/public/lipids2013/</t>
  </si>
  <si>
    <t>PMC3838666</t>
  </si>
  <si>
    <t>http://www.broadinstitute.org/collaboration/giant/index.php/GIANT_consortium_data_files</t>
  </si>
  <si>
    <t>PMC4250049</t>
  </si>
  <si>
    <t>PMC3014648</t>
  </si>
  <si>
    <t>PMC4338562</t>
  </si>
  <si>
    <t>http://egg-consortium.org/</t>
  </si>
  <si>
    <t>PMC4447786</t>
  </si>
  <si>
    <t>PMC3773913</t>
  </si>
  <si>
    <t>PMC3370100</t>
  </si>
  <si>
    <t>5530/8318</t>
  </si>
  <si>
    <t>PMC3674797</t>
  </si>
  <si>
    <t>PMC4168307</t>
  </si>
  <si>
    <t>UK Biobank data, see Methods</t>
  </si>
  <si>
    <t>UK Biobank data, see methods</t>
  </si>
  <si>
    <t>Source Ref:</t>
  </si>
  <si>
    <t>Source URL:</t>
  </si>
  <si>
    <t>Supplementary Table 10</t>
  </si>
  <si>
    <t>CYP3A7</t>
  </si>
  <si>
    <t>Effect allele (BW-raising)</t>
  </si>
  <si>
    <t>https://www.rainestudy.org.au/</t>
  </si>
  <si>
    <t xml:space="preserve">Guillemette L, Allard C, Lacroix M, Patenaude J, Battista MC, Doyon M, Moreau J, Ménard J, Bouchard L, Ardilouze JL, Perron P, Hivert M. Genetics of Glucose Regulation in Gestation and Growth (Gen3G): a prospective prebirth cohort of mother-child pairs in Sherbrooke, Canada. BMJ Open 2016 Feb 3;6(2). PMID: 26842272 </t>
  </si>
  <si>
    <t>Nohr et al. (2009) PLoS One. 4(12):e8444                                                                                                                                                                                                                                                                      Olsen, J., Melbye, M., Olsen, S. F. et al (2001). The Danish National Birth Cohort-its background, structure and aim. Scandinavian journal of public health, 29(4), 300-307.</t>
  </si>
  <si>
    <t>Kooijman MN, Kruithof CJ, van Duijn CM, Duijts L, Franco OH, van IJzendoorn MH, de Jongste JC, Klaver CC, van der Lugt A, Mackenbach JP, Moll HA, Peeters RP, Raat H, Rings EH, Rivadeneira F, van der Schroeff MP, Steegers EA, Tiemeier H, Uitterlinden AG, Verhulst FC, Wolvius E, Felix JF, Jaddoe VW. The Generation R Study: design and cohort update 2017. Eur J Epidemiol. 2016 Dec;31(12):1243-1264.doi: 10.1007/s10654-016-0224-9. PMID: 28070760</t>
  </si>
  <si>
    <t>Kruithof CJ, Kooijman MN, van Duijn CM, Franco OH, de Jongste JC, Klaver CC, Mackenbach JP, Moll HA, Raat H, Rings EH, Rivadeneira F, Steegers EA, Tiemeier H, Uitterlinden AG, Verhulst FC, Wolvius EB, Hofman A, Jaddoe VW. The Generation R Study: Biobank update 2015. Eur J Epidemiol. 2014 Dec;29(12):911-27.doi:10.1007/s10654-014-9980-6. PMID: 25527369.</t>
  </si>
  <si>
    <r>
      <t xml:space="preserve">Olsen, J., Melbye, M., Olsen, S. F. </t>
    </r>
    <r>
      <rPr>
        <i/>
        <sz val="8"/>
        <rFont val="Calibri"/>
        <family val="2"/>
      </rPr>
      <t>et al</t>
    </r>
    <r>
      <rPr>
        <sz val="8"/>
        <rFont val="Calibri"/>
        <family val="2"/>
      </rPr>
      <t xml:space="preserve"> (2001). The Danish National Birth Cohort-its background, structure and aim. </t>
    </r>
    <r>
      <rPr>
        <i/>
        <sz val="8"/>
        <color theme="1"/>
        <rFont val="Calibri"/>
        <family val="2"/>
      </rPr>
      <t>Scandinavian journal of public health</t>
    </r>
    <r>
      <rPr>
        <sz val="8"/>
        <color theme="1"/>
        <rFont val="Calibri"/>
        <family val="2"/>
      </rPr>
      <t xml:space="preserve">, </t>
    </r>
    <r>
      <rPr>
        <i/>
        <sz val="8"/>
        <color theme="1"/>
        <rFont val="Calibri"/>
        <family val="2"/>
      </rPr>
      <t>29</t>
    </r>
    <r>
      <rPr>
        <sz val="8"/>
        <color theme="1"/>
        <rFont val="Calibri"/>
        <family val="2"/>
      </rPr>
      <t>(4), 300-307.</t>
    </r>
  </si>
  <si>
    <r>
      <t xml:space="preserve">Ryckman, K. K., Feenstra, B., Shaffer, J. R., </t>
    </r>
    <r>
      <rPr>
        <i/>
        <sz val="8"/>
        <rFont val="Calibri"/>
        <family val="2"/>
      </rPr>
      <t>et al</t>
    </r>
    <r>
      <rPr>
        <sz val="8"/>
        <rFont val="Calibri"/>
        <family val="2"/>
      </rPr>
      <t xml:space="preserve"> (2012). Replication of a genome-wide association study of birth weight in preterm neonates. </t>
    </r>
    <r>
      <rPr>
        <i/>
        <sz val="8"/>
        <color theme="1"/>
        <rFont val="Calibri"/>
        <family val="2"/>
      </rPr>
      <t>The Journal of pediatrics</t>
    </r>
    <r>
      <rPr>
        <sz val="8"/>
        <color theme="1"/>
        <rFont val="Calibri"/>
        <family val="2"/>
      </rPr>
      <t xml:space="preserve">, </t>
    </r>
    <r>
      <rPr>
        <i/>
        <sz val="8"/>
        <color theme="1"/>
        <rFont val="Calibri"/>
        <family val="2"/>
      </rPr>
      <t>160</t>
    </r>
    <r>
      <rPr>
        <sz val="8"/>
        <color theme="1"/>
        <rFont val="Calibri"/>
        <family val="2"/>
      </rPr>
      <t>(1), 19-24.</t>
    </r>
  </si>
  <si>
    <r>
      <t>http://www.bristol.ac.uk/alspac/ (</t>
    </r>
    <r>
      <rPr>
        <b/>
        <sz val="8"/>
        <color theme="1"/>
        <rFont val="Calibri"/>
        <family val="2"/>
      </rPr>
      <t>Please note that the study website contains details of all  data available through a fully searchable data dictionary:
&lt;http://www.bris.ac.uk/alspac/researchers/data-access/data-dictionary/&gt;)</t>
    </r>
    <r>
      <rPr>
        <sz val="8"/>
        <color theme="1"/>
        <rFont val="Calibri"/>
        <family val="2"/>
      </rPr>
      <t xml:space="preserve">
</t>
    </r>
  </si>
  <si>
    <t>Magnus P, Birke C, Vejrup K, Haugan A, Alsaker E, Daltveit AK, Handal M, Haugen M, Hoiseth G, Knudsen GP, Paltiel L, Schreuder P; Tambs K, Vold L, Stoltenberg C. Cohort Profile Update: The Norwegian Mother and Child Cohort Study (MoBa). Int J Epidemiol 2016; April 10, 1-7. doi: 10.1093/ije/dyw029.  //  Per Magnus, Lorentz M Irgens,  Kjell Haug, Wenche Nystad,  Rolv Skjærven, Camilla Stoltenberg and The Moba Study Group. Cohort profile: The Norwegian Mother and Child Cohort Study (MoBa) Int. J. Epidemiol. (October 2006) 35 (5): 1146-1150.  //   Rønningen KS, Paltiel L, Meltzer HM et al. The biobank of the Norwegian Mother and Child Cohort Study—A Resource for the next 100 years.Eur J Epidemiol. 2006;21(8):619-25.</t>
  </si>
  <si>
    <t xml:space="preserve">Magnus P, Birke C, Vejrup K, Haugan A, Alsaker E, Daltveit AK, Handal M, Haugen M, Hoiseth G, Knudsen GP, Paltiel L, Schreuder P; Tambs K, Vold L, Stoltenberg C. Cohort Profile Update: The Norwegian Mother and Child Cohort Study (MoBa). Int J Epidemiol 2016; April 10, 1-7. doi: 10.1093/ije/dyw029.  //  Per Magnus, Lorentz M Irgens,  Kjell Haug, Wenche Nystad,  Rolv Skjærven, Camilla Stoltenberg and The Moba Study Group. Cohort profile: The Norwegian Mother and Child Cohort Study (MoBa) Int. J. Epidemiol. (October 2006) 35 (5): 1146-1150.  </t>
  </si>
  <si>
    <t>Childhood BMI</t>
  </si>
  <si>
    <t>http://egg-consortium.org/childhood-bmi.html</t>
  </si>
  <si>
    <t>PMC4854022</t>
  </si>
  <si>
    <t>Look-ups of 10 birth weight-associated SNPs in available GWAS data for other growth-related and cardiometabolic traits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</si>
</sst>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0.0E+00"/>
  </numFmts>
  <fonts count="34" x14ac:knownFonts="1">
    <font>
      <sz val="11"/>
      <color theme="1"/>
      <name val="Calibri"/>
      <family val="2"/>
      <scheme val="minor"/>
    </font>
    <font>
      <sz val="12"/>
      <color theme="1"/>
      <name val="Calibri"/>
      <family val="2"/>
      <scheme val="minor"/>
    </font>
    <font>
      <sz val="11"/>
      <name val="Calibri"/>
      <family val="2"/>
    </font>
    <font>
      <sz val="11"/>
      <name val="ＭＳ Ｐゴシック"/>
      <charset val="128"/>
    </font>
    <font>
      <b/>
      <sz val="11"/>
      <color theme="1"/>
      <name val="Calibri"/>
      <family val="2"/>
      <scheme val="minor"/>
    </font>
    <font>
      <sz val="8"/>
      <color indexed="8"/>
      <name val="Calibri"/>
      <family val="2"/>
    </font>
    <font>
      <b/>
      <sz val="8"/>
      <color indexed="9"/>
      <name val="Calibri"/>
      <family val="2"/>
    </font>
    <font>
      <b/>
      <sz val="8"/>
      <color theme="0"/>
      <name val="Calibri"/>
      <family val="2"/>
    </font>
    <font>
      <sz val="8"/>
      <name val="Calibri"/>
      <family val="2"/>
    </font>
    <font>
      <sz val="8"/>
      <name val="Calibri"/>
      <family val="2"/>
      <scheme val="minor"/>
    </font>
    <font>
      <sz val="8"/>
      <color theme="1"/>
      <name val="Calibri"/>
      <family val="2"/>
      <scheme val="minor"/>
    </font>
    <font>
      <i/>
      <sz val="8"/>
      <name val="Calibri"/>
      <family val="2"/>
    </font>
    <font>
      <i/>
      <sz val="8"/>
      <color theme="1"/>
      <name val="Calibri"/>
      <family val="2"/>
      <scheme val="minor"/>
    </font>
    <font>
      <sz val="8"/>
      <color theme="1"/>
      <name val="Calibri"/>
      <family val="2"/>
    </font>
    <font>
      <sz val="12"/>
      <color theme="1"/>
      <name val="Times New Roman"/>
      <family val="1"/>
      <charset val="161"/>
    </font>
    <font>
      <sz val="8"/>
      <color rgb="FFFF0000"/>
      <name val="Calibri"/>
      <family val="2"/>
    </font>
    <font>
      <sz val="8"/>
      <color rgb="FF000000"/>
      <name val="Calibri"/>
      <family val="2"/>
      <scheme val="minor"/>
    </font>
    <font>
      <b/>
      <sz val="8"/>
      <color theme="1"/>
      <name val="Calibri"/>
      <family val="2"/>
      <scheme val="minor"/>
    </font>
    <font>
      <b/>
      <i/>
      <sz val="8"/>
      <color indexed="9"/>
      <name val="Calibri"/>
      <family val="2"/>
    </font>
    <font>
      <b/>
      <sz val="11"/>
      <name val="Calibri"/>
      <family val="2"/>
    </font>
    <font>
      <b/>
      <i/>
      <sz val="11"/>
      <color theme="1"/>
      <name val="Calibri"/>
      <family val="2"/>
      <scheme val="minor"/>
    </font>
    <font>
      <b/>
      <i/>
      <sz val="11"/>
      <name val="Calibri"/>
      <scheme val="minor"/>
    </font>
    <font>
      <b/>
      <sz val="11"/>
      <name val="Calibri"/>
      <scheme val="minor"/>
    </font>
    <font>
      <b/>
      <sz val="10"/>
      <name val="Calibri"/>
      <scheme val="minor"/>
    </font>
    <font>
      <sz val="11"/>
      <name val="Calibri"/>
      <family val="2"/>
      <scheme val="minor"/>
    </font>
    <font>
      <i/>
      <sz val="12"/>
      <name val="Calibri"/>
      <scheme val="minor"/>
    </font>
    <font>
      <sz val="12"/>
      <name val="Calibri"/>
      <scheme val="minor"/>
    </font>
    <font>
      <u/>
      <sz val="11"/>
      <color theme="10"/>
      <name val="Calibri"/>
      <family val="2"/>
      <scheme val="minor"/>
    </font>
    <font>
      <u/>
      <sz val="11"/>
      <color theme="11"/>
      <name val="Calibri"/>
      <family val="2"/>
      <scheme val="minor"/>
    </font>
    <font>
      <b/>
      <sz val="11"/>
      <color theme="1"/>
      <name val="Calibri"/>
      <family val="2"/>
    </font>
    <font>
      <sz val="11"/>
      <color theme="1"/>
      <name val="Calibri"/>
      <family val="2"/>
    </font>
    <font>
      <b/>
      <i/>
      <sz val="11"/>
      <color theme="1"/>
      <name val="Calibri"/>
      <family val="2"/>
    </font>
    <font>
      <i/>
      <sz val="8"/>
      <color theme="1"/>
      <name val="Calibri"/>
      <family val="2"/>
    </font>
    <font>
      <b/>
      <sz val="8"/>
      <color theme="1"/>
      <name val="Calibri"/>
      <family val="2"/>
    </font>
  </fonts>
  <fills count="7">
    <fill>
      <patternFill patternType="none"/>
    </fill>
    <fill>
      <patternFill patternType="gray125"/>
    </fill>
    <fill>
      <patternFill patternType="solid">
        <fgColor indexed="23"/>
        <bgColor indexed="64"/>
      </patternFill>
    </fill>
    <fill>
      <patternFill patternType="solid">
        <fgColor indexed="9"/>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bgColor indexed="64"/>
      </patternFill>
    </fill>
  </fills>
  <borders count="9">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auto="1"/>
      </right>
      <top/>
      <bottom/>
      <diagonal/>
    </border>
  </borders>
  <cellStyleXfs count="52">
    <xf numFmtId="0" fontId="0" fillId="0" borderId="0"/>
    <xf numFmtId="0" fontId="3" fillId="0" borderId="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cellStyleXfs>
  <cellXfs count="145">
    <xf numFmtId="0" fontId="0" fillId="0" borderId="0" xfId="0"/>
    <xf numFmtId="0" fontId="4" fillId="0" borderId="0" xfId="0" applyFont="1" applyAlignment="1">
      <alignment horizontal="left" vertical="center"/>
    </xf>
    <xf numFmtId="0" fontId="4" fillId="0" borderId="0" xfId="0" applyFont="1"/>
    <xf numFmtId="0" fontId="5" fillId="2" borderId="2" xfId="0" applyFont="1" applyFill="1" applyBorder="1"/>
    <xf numFmtId="0" fontId="6" fillId="2" borderId="2"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wrapText="1"/>
    </xf>
    <xf numFmtId="49" fontId="8" fillId="0" borderId="3" xfId="0" applyNumberFormat="1" applyFont="1" applyBorder="1" applyAlignment="1">
      <alignment horizontal="center" vertical="center" wrapText="1"/>
    </xf>
    <xf numFmtId="0" fontId="8" fillId="0" borderId="2" xfId="0" applyFont="1" applyFill="1" applyBorder="1" applyAlignment="1">
      <alignment horizontal="center" vertical="center"/>
    </xf>
    <xf numFmtId="49"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Border="1" applyAlignment="1">
      <alignment horizontal="center" vertical="center" wrapText="1"/>
    </xf>
    <xf numFmtId="49" fontId="8" fillId="0" borderId="2"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0" fontId="8" fillId="3" borderId="2" xfId="0" applyFont="1" applyFill="1" applyBorder="1" applyAlignment="1">
      <alignment horizontal="center" vertical="center" wrapText="1"/>
    </xf>
    <xf numFmtId="0" fontId="8" fillId="0" borderId="2" xfId="0" applyNumberFormat="1" applyFont="1" applyBorder="1" applyAlignment="1">
      <alignment horizontal="center" vertical="center" wrapText="1"/>
    </xf>
    <xf numFmtId="164" fontId="8"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164" fontId="8" fillId="0" borderId="2" xfId="0" applyNumberFormat="1" applyFont="1" applyBorder="1" applyAlignment="1">
      <alignment horizontal="center" vertical="center" wrapText="1"/>
    </xf>
    <xf numFmtId="0" fontId="8" fillId="0" borderId="3" xfId="0" applyFont="1" applyFill="1" applyBorder="1" applyAlignment="1">
      <alignment horizontal="center" vertical="center" wrapText="1"/>
    </xf>
    <xf numFmtId="164" fontId="8" fillId="0" borderId="3" xfId="0" applyNumberFormat="1" applyFont="1" applyBorder="1" applyAlignment="1">
      <alignment horizontal="center" vertical="center" wrapText="1"/>
    </xf>
    <xf numFmtId="10" fontId="8" fillId="0" borderId="2" xfId="0" applyNumberFormat="1" applyFont="1" applyFill="1" applyBorder="1" applyAlignment="1">
      <alignment horizontal="center" vertical="center" wrapText="1"/>
    </xf>
    <xf numFmtId="4" fontId="8" fillId="0" borderId="2"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8" fillId="5" borderId="2" xfId="0" applyFont="1" applyFill="1" applyBorder="1" applyAlignment="1">
      <alignment horizontal="center" vertical="center" wrapText="1"/>
    </xf>
    <xf numFmtId="49" fontId="8" fillId="5" borderId="2" xfId="0" applyNumberFormat="1" applyFont="1" applyFill="1" applyBorder="1" applyAlignment="1">
      <alignment horizontal="center" vertical="center" wrapText="1"/>
    </xf>
    <xf numFmtId="9" fontId="8" fillId="0" borderId="2" xfId="0" applyNumberFormat="1" applyFont="1" applyFill="1" applyBorder="1" applyAlignment="1">
      <alignment horizontal="center" vertical="center" wrapText="1"/>
    </xf>
    <xf numFmtId="9" fontId="8" fillId="0" borderId="3" xfId="0" applyNumberFormat="1" applyFont="1" applyBorder="1" applyAlignment="1">
      <alignment horizontal="center" vertical="center" wrapText="1"/>
    </xf>
    <xf numFmtId="9" fontId="8" fillId="0" borderId="2" xfId="0" applyNumberFormat="1" applyFont="1" applyBorder="1" applyAlignment="1">
      <alignment horizontal="center" vertical="center" wrapText="1"/>
    </xf>
    <xf numFmtId="11" fontId="8" fillId="0" borderId="2" xfId="0" applyNumberFormat="1" applyFont="1" applyFill="1" applyBorder="1" applyAlignment="1">
      <alignment horizontal="center" vertical="center" wrapText="1"/>
    </xf>
    <xf numFmtId="16" fontId="8" fillId="0" borderId="2" xfId="0" quotePrefix="1" applyNumberFormat="1" applyFont="1" applyFill="1" applyBorder="1" applyAlignment="1">
      <alignment horizontal="center" vertical="center" wrapText="1"/>
    </xf>
    <xf numFmtId="0" fontId="8" fillId="0" borderId="2" xfId="0" quotePrefix="1" applyFont="1" applyFill="1" applyBorder="1" applyAlignment="1">
      <alignment horizontal="center" vertical="center" wrapText="1"/>
    </xf>
    <xf numFmtId="3" fontId="8" fillId="0" borderId="2" xfId="0" applyNumberFormat="1" applyFont="1" applyFill="1" applyBorder="1" applyAlignment="1">
      <alignment horizontal="center" vertical="center" wrapText="1"/>
    </xf>
    <xf numFmtId="3" fontId="8" fillId="0" borderId="2" xfId="0" applyNumberFormat="1" applyFont="1" applyBorder="1" applyAlignment="1">
      <alignment horizontal="center" vertical="center" wrapText="1"/>
    </xf>
    <xf numFmtId="3" fontId="8" fillId="5" borderId="2" xfId="0" applyNumberFormat="1" applyFont="1" applyFill="1" applyBorder="1" applyAlignment="1">
      <alignment horizontal="center" vertical="center" wrapText="1"/>
    </xf>
    <xf numFmtId="0" fontId="8" fillId="3" borderId="2" xfId="0" applyNumberFormat="1" applyFont="1" applyFill="1" applyBorder="1" applyAlignment="1">
      <alignment horizontal="center" vertical="center" wrapText="1"/>
    </xf>
    <xf numFmtId="3" fontId="8" fillId="3" borderId="2" xfId="0" applyNumberFormat="1" applyFont="1" applyFill="1" applyBorder="1" applyAlignment="1">
      <alignment horizontal="center" vertical="center" wrapText="1"/>
    </xf>
    <xf numFmtId="49" fontId="8" fillId="5" borderId="5" xfId="0" applyNumberFormat="1"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5" borderId="2" xfId="0" applyNumberFormat="1" applyFont="1" applyFill="1" applyBorder="1" applyAlignment="1">
      <alignment horizontal="center" vertical="center" wrapText="1"/>
    </xf>
    <xf numFmtId="10" fontId="8" fillId="6" borderId="2" xfId="0" applyNumberFormat="1" applyFont="1" applyFill="1" applyBorder="1" applyAlignment="1">
      <alignment horizontal="center" vertical="center" wrapText="1"/>
    </xf>
    <xf numFmtId="49" fontId="8" fillId="6" borderId="2" xfId="0" applyNumberFormat="1" applyFont="1" applyFill="1" applyBorder="1" applyAlignment="1">
      <alignment horizontal="center" vertical="center" wrapText="1"/>
    </xf>
    <xf numFmtId="9" fontId="8" fillId="6" borderId="2" xfId="0" applyNumberFormat="1" applyFont="1" applyFill="1" applyBorder="1" applyAlignment="1">
      <alignment horizontal="center" vertical="center" wrapText="1"/>
    </xf>
    <xf numFmtId="0" fontId="8" fillId="0" borderId="2" xfId="0" applyFont="1" applyFill="1" applyBorder="1" applyAlignment="1">
      <alignment horizontal="center" wrapText="1"/>
    </xf>
    <xf numFmtId="10" fontId="8" fillId="0" borderId="2" xfId="0" applyNumberFormat="1" applyFont="1" applyFill="1" applyBorder="1" applyAlignment="1">
      <alignment horizontal="center"/>
    </xf>
    <xf numFmtId="0" fontId="8" fillId="0" borderId="2" xfId="0" applyFont="1" applyFill="1" applyBorder="1" applyAlignment="1">
      <alignment horizontal="center"/>
    </xf>
    <xf numFmtId="3" fontId="8" fillId="0" borderId="2" xfId="0" applyNumberFormat="1" applyFont="1" applyFill="1" applyBorder="1" applyAlignment="1">
      <alignment horizontal="center" wrapText="1"/>
    </xf>
    <xf numFmtId="0" fontId="9" fillId="0" borderId="2" xfId="0" applyFont="1" applyBorder="1" applyAlignment="1">
      <alignment horizontal="center" vertical="center" wrapText="1"/>
    </xf>
    <xf numFmtId="12" fontId="8" fillId="0" borderId="2" xfId="0" applyNumberFormat="1" applyFont="1" applyFill="1" applyBorder="1" applyAlignment="1">
      <alignment horizontal="center" vertical="center" wrapText="1"/>
    </xf>
    <xf numFmtId="0" fontId="13" fillId="0" borderId="2" xfId="0" applyFont="1" applyBorder="1" applyAlignment="1">
      <alignment horizontal="center" vertical="center"/>
    </xf>
    <xf numFmtId="0" fontId="10" fillId="0" borderId="2" xfId="0" applyFont="1" applyBorder="1" applyAlignment="1">
      <alignment horizontal="center" vertical="center"/>
    </xf>
    <xf numFmtId="0" fontId="13" fillId="0" borderId="2" xfId="0" applyFont="1" applyFill="1" applyBorder="1" applyAlignment="1">
      <alignment horizontal="center" vertical="center"/>
    </xf>
    <xf numFmtId="0" fontId="5" fillId="0" borderId="2" xfId="0" applyFont="1" applyBorder="1" applyAlignment="1">
      <alignment horizontal="center" vertical="center" wrapText="1"/>
    </xf>
    <xf numFmtId="0" fontId="16" fillId="0" borderId="2" xfId="0" applyFont="1" applyBorder="1" applyAlignment="1">
      <alignment horizontal="center" vertical="center" wrapText="1"/>
    </xf>
    <xf numFmtId="3" fontId="10" fillId="0" borderId="0" xfId="0" applyNumberFormat="1" applyFont="1" applyAlignment="1">
      <alignment horizontal="center" vertical="center"/>
    </xf>
    <xf numFmtId="0" fontId="10" fillId="0" borderId="0" xfId="0" applyFont="1" applyAlignment="1">
      <alignment horizontal="center" wrapText="1"/>
    </xf>
    <xf numFmtId="0" fontId="6" fillId="2" borderId="2"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6" fillId="2" borderId="5" xfId="0" applyNumberFormat="1" applyFont="1" applyFill="1" applyBorder="1" applyAlignment="1">
      <alignment horizontal="center" vertical="center" wrapText="1"/>
    </xf>
    <xf numFmtId="49" fontId="8" fillId="0" borderId="5" xfId="0" applyNumberFormat="1" applyFont="1" applyBorder="1" applyAlignment="1">
      <alignment horizontal="center" vertical="center" wrapText="1"/>
    </xf>
    <xf numFmtId="0" fontId="8" fillId="0" borderId="5" xfId="0"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10" fontId="8" fillId="0" borderId="5" xfId="0" applyNumberFormat="1" applyFont="1" applyFill="1" applyBorder="1" applyAlignment="1">
      <alignment horizontal="center" vertical="center" wrapText="1"/>
    </xf>
    <xf numFmtId="164" fontId="8" fillId="0" borderId="5" xfId="0" applyNumberFormat="1" applyFont="1" applyFill="1" applyBorder="1" applyAlignment="1">
      <alignment horizontal="center" vertical="center" wrapText="1"/>
    </xf>
    <xf numFmtId="0" fontId="8" fillId="6" borderId="2" xfId="0" applyNumberFormat="1" applyFont="1" applyFill="1" applyBorder="1" applyAlignment="1">
      <alignment horizontal="center" vertical="center" wrapText="1"/>
    </xf>
    <xf numFmtId="0" fontId="8" fillId="6" borderId="2" xfId="0" quotePrefix="1" applyNumberFormat="1" applyFont="1" applyFill="1" applyBorder="1" applyAlignment="1">
      <alignment horizontal="center" vertical="center" wrapText="1"/>
    </xf>
    <xf numFmtId="0" fontId="8" fillId="0" borderId="8" xfId="0" applyFont="1" applyFill="1" applyBorder="1" applyAlignment="1">
      <alignment horizontal="center" wrapText="1"/>
    </xf>
    <xf numFmtId="49" fontId="8" fillId="0" borderId="2" xfId="0" quotePrefix="1"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9" fontId="8" fillId="0" borderId="3" xfId="0" applyNumberFormat="1" applyFont="1" applyFill="1" applyBorder="1" applyAlignment="1">
      <alignment horizontal="center" vertical="center" wrapText="1"/>
    </xf>
    <xf numFmtId="3" fontId="8" fillId="0" borderId="3" xfId="0" applyNumberFormat="1" applyFont="1" applyFill="1" applyBorder="1" applyAlignment="1">
      <alignment horizontal="center" vertical="center" wrapText="1"/>
    </xf>
    <xf numFmtId="9" fontId="8" fillId="5" borderId="2" xfId="0" applyNumberFormat="1" applyFont="1" applyFill="1" applyBorder="1" applyAlignment="1">
      <alignment horizontal="center" vertical="center" wrapText="1"/>
    </xf>
    <xf numFmtId="11" fontId="8" fillId="5" borderId="2" xfId="0" applyNumberFormat="1" applyFont="1" applyFill="1" applyBorder="1" applyAlignment="1">
      <alignment horizontal="center" vertical="center" wrapText="1"/>
    </xf>
    <xf numFmtId="0" fontId="10" fillId="5" borderId="2" xfId="0" applyFont="1" applyFill="1" applyBorder="1" applyAlignment="1">
      <alignment horizontal="center" vertical="center"/>
    </xf>
    <xf numFmtId="0" fontId="8" fillId="5" borderId="5" xfId="0" applyFont="1" applyFill="1" applyBorder="1" applyAlignment="1">
      <alignment horizontal="center" vertical="center" wrapText="1"/>
    </xf>
    <xf numFmtId="49" fontId="15" fillId="5" borderId="2" xfId="0" applyNumberFormat="1" applyFont="1" applyFill="1" applyBorder="1" applyAlignment="1">
      <alignment horizontal="center" vertical="center" wrapText="1"/>
    </xf>
    <xf numFmtId="10" fontId="8" fillId="5" borderId="2" xfId="0" applyNumberFormat="1" applyFont="1" applyFill="1" applyBorder="1" applyAlignment="1">
      <alignment horizontal="center" vertical="center" wrapText="1"/>
    </xf>
    <xf numFmtId="0" fontId="0" fillId="5" borderId="0" xfId="0" applyFill="1"/>
    <xf numFmtId="0" fontId="8" fillId="5" borderId="2" xfId="0" quotePrefix="1" applyFont="1" applyFill="1" applyBorder="1" applyAlignment="1">
      <alignment horizontal="center" vertical="center" wrapText="1"/>
    </xf>
    <xf numFmtId="164" fontId="8" fillId="0" borderId="3" xfId="0" applyNumberFormat="1" applyFont="1" applyFill="1" applyBorder="1" applyAlignment="1">
      <alignment horizontal="center" vertical="center" wrapText="1"/>
    </xf>
    <xf numFmtId="16" fontId="8" fillId="5" borderId="2" xfId="0" quotePrefix="1" applyNumberFormat="1" applyFont="1" applyFill="1" applyBorder="1" applyAlignment="1">
      <alignment horizontal="center" vertical="center" wrapText="1"/>
    </xf>
    <xf numFmtId="12" fontId="8" fillId="5" borderId="2"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0" fillId="0" borderId="0" xfId="0" applyAlignment="1">
      <alignment vertical="center"/>
    </xf>
    <xf numFmtId="0" fontId="0" fillId="0" borderId="0" xfId="0" applyFont="1" applyAlignment="1">
      <alignment vertical="center"/>
    </xf>
    <xf numFmtId="0" fontId="2" fillId="0" borderId="0" xfId="0" applyFont="1" applyAlignment="1">
      <alignment vertical="center" wrapText="1"/>
    </xf>
    <xf numFmtId="0" fontId="6" fillId="2" borderId="2" xfId="0" applyNumberFormat="1" applyFont="1" applyFill="1" applyBorder="1" applyAlignment="1">
      <alignment horizontal="center" vertical="center" wrapText="1"/>
    </xf>
    <xf numFmtId="0" fontId="20" fillId="0" borderId="0" xfId="0" applyFont="1"/>
    <xf numFmtId="0" fontId="0" fillId="0" borderId="0" xfId="0" applyAlignment="1">
      <alignment horizontal="center" vertical="center"/>
    </xf>
    <xf numFmtId="0" fontId="21" fillId="0" borderId="2" xfId="0" applyFont="1" applyFill="1" applyBorder="1" applyAlignment="1">
      <alignment horizontal="center" vertical="center"/>
    </xf>
    <xf numFmtId="0" fontId="22" fillId="0" borderId="2" xfId="0" applyFont="1" applyFill="1" applyBorder="1" applyAlignment="1">
      <alignment horizontal="center" vertical="center"/>
    </xf>
    <xf numFmtId="3" fontId="22" fillId="0" borderId="2" xfId="0" applyNumberFormat="1" applyFont="1" applyFill="1" applyBorder="1" applyAlignment="1">
      <alignment horizontal="center" vertical="center"/>
    </xf>
    <xf numFmtId="0" fontId="22" fillId="0" borderId="2" xfId="0" applyFont="1" applyBorder="1" applyAlignment="1">
      <alignment horizontal="center" vertical="center"/>
    </xf>
    <xf numFmtId="0" fontId="22" fillId="0" borderId="0" xfId="0" applyFont="1" applyAlignment="1">
      <alignment horizontal="center" vertical="center"/>
    </xf>
    <xf numFmtId="0" fontId="22" fillId="0" borderId="2" xfId="0" applyFont="1" applyBorder="1" applyAlignment="1">
      <alignment horizontal="center" vertical="center" wrapText="1"/>
    </xf>
    <xf numFmtId="0" fontId="23" fillId="0" borderId="2" xfId="0" applyFont="1" applyBorder="1" applyAlignment="1">
      <alignment horizontal="center" vertical="center"/>
    </xf>
    <xf numFmtId="0" fontId="21" fillId="0" borderId="2" xfId="0" applyFont="1" applyBorder="1" applyAlignment="1">
      <alignment horizontal="center" vertical="center"/>
    </xf>
    <xf numFmtId="0" fontId="24" fillId="0" borderId="0" xfId="0" applyFont="1" applyAlignment="1">
      <alignment horizontal="center" vertical="center"/>
    </xf>
    <xf numFmtId="0" fontId="26" fillId="0" borderId="2" xfId="0" applyFont="1" applyFill="1" applyBorder="1" applyAlignment="1">
      <alignment horizontal="center" vertical="center"/>
    </xf>
    <xf numFmtId="0" fontId="26" fillId="0" borderId="2" xfId="0" applyNumberFormat="1" applyFont="1" applyFill="1" applyBorder="1" applyAlignment="1">
      <alignment horizontal="center" vertical="center"/>
    </xf>
    <xf numFmtId="0" fontId="0" fillId="0" borderId="2" xfId="0" applyBorder="1" applyAlignment="1">
      <alignment horizontal="center" vertical="center"/>
    </xf>
    <xf numFmtId="0" fontId="26" fillId="0" borderId="2" xfId="0" applyFont="1" applyBorder="1" applyAlignment="1">
      <alignment horizontal="center" vertical="center"/>
    </xf>
    <xf numFmtId="2" fontId="0" fillId="0" borderId="2" xfId="0" applyNumberFormat="1" applyBorder="1" applyAlignment="1">
      <alignment horizontal="center" vertical="center"/>
    </xf>
    <xf numFmtId="0" fontId="22" fillId="0" borderId="2" xfId="0" applyFont="1" applyFill="1" applyBorder="1" applyAlignment="1">
      <alignment horizontal="left" vertical="center"/>
    </xf>
    <xf numFmtId="0" fontId="25" fillId="0" borderId="2" xfId="0" applyFont="1" applyFill="1" applyBorder="1" applyAlignment="1">
      <alignment horizontal="left" vertical="center"/>
    </xf>
    <xf numFmtId="0" fontId="25" fillId="0" borderId="2" xfId="0" applyFont="1" applyBorder="1" applyAlignment="1">
      <alignment horizontal="left" vertical="center"/>
    </xf>
    <xf numFmtId="0" fontId="19" fillId="0" borderId="0" xfId="0" applyFont="1" applyAlignment="1">
      <alignment horizontal="left" vertical="center"/>
    </xf>
    <xf numFmtId="165" fontId="0" fillId="0" borderId="2" xfId="0" applyNumberFormat="1" applyBorder="1" applyAlignment="1">
      <alignment horizontal="center" vertical="center"/>
    </xf>
    <xf numFmtId="166" fontId="0" fillId="0" borderId="2" xfId="0" applyNumberFormat="1" applyBorder="1" applyAlignment="1">
      <alignment horizontal="center" vertical="center"/>
    </xf>
    <xf numFmtId="1" fontId="0" fillId="0" borderId="2" xfId="0" applyNumberFormat="1" applyBorder="1" applyAlignment="1">
      <alignment horizontal="center" vertical="center"/>
    </xf>
    <xf numFmtId="0" fontId="0" fillId="0" borderId="2" xfId="0" applyNumberFormat="1" applyBorder="1" applyAlignment="1">
      <alignment horizontal="center" vertical="center"/>
    </xf>
    <xf numFmtId="0" fontId="2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0" xfId="0" applyFont="1" applyAlignment="1">
      <alignment horizontal="center" vertical="center"/>
    </xf>
    <xf numFmtId="0" fontId="6" fillId="2" borderId="2" xfId="0" applyNumberFormat="1" applyFont="1" applyFill="1" applyBorder="1" applyAlignment="1">
      <alignment horizontal="center" vertical="center" wrapText="1"/>
    </xf>
    <xf numFmtId="0" fontId="13" fillId="0" borderId="0" xfId="0" applyFont="1" applyAlignment="1">
      <alignment horizontal="center" vertical="center" wrapText="1"/>
    </xf>
    <xf numFmtId="0" fontId="0" fillId="0" borderId="0" xfId="0" applyAlignment="1">
      <alignment horizontal="left" vertical="center"/>
    </xf>
    <xf numFmtId="0" fontId="1" fillId="0" borderId="0" xfId="0" applyFont="1" applyAlignment="1">
      <alignment horizontal="left" vertical="center"/>
    </xf>
    <xf numFmtId="0" fontId="0" fillId="0" borderId="0" xfId="0" applyAlignment="1">
      <alignment horizontal="left"/>
    </xf>
    <xf numFmtId="0" fontId="22" fillId="0" borderId="2" xfId="0" applyFont="1" applyBorder="1" applyAlignment="1">
      <alignment horizontal="center" vertical="center"/>
    </xf>
    <xf numFmtId="0" fontId="29" fillId="0" borderId="0" xfId="0" applyFont="1"/>
    <xf numFmtId="0" fontId="30" fillId="0" borderId="0" xfId="0" applyFont="1"/>
    <xf numFmtId="0" fontId="31" fillId="0" borderId="0" xfId="0" applyFont="1"/>
    <xf numFmtId="0" fontId="8" fillId="0" borderId="0" xfId="0" applyFont="1" applyAlignment="1">
      <alignment horizontal="center" vertical="center" wrapText="1"/>
    </xf>
    <xf numFmtId="0" fontId="13" fillId="0" borderId="2" xfId="0" applyFont="1" applyBorder="1" applyAlignment="1">
      <alignment horizontal="center" vertical="center" wrapText="1"/>
    </xf>
    <xf numFmtId="0" fontId="13" fillId="0" borderId="2" xfId="0" applyFont="1" applyBorder="1" applyAlignment="1">
      <alignment wrapText="1"/>
    </xf>
    <xf numFmtId="0" fontId="13" fillId="0" borderId="2" xfId="0" applyFont="1" applyFill="1" applyBorder="1" applyAlignment="1">
      <alignment horizontal="center" vertical="center" wrapText="1"/>
    </xf>
    <xf numFmtId="0" fontId="13" fillId="0" borderId="0" xfId="0" applyFont="1" applyFill="1" applyAlignment="1">
      <alignment horizontal="center" vertical="center" wrapText="1"/>
    </xf>
    <xf numFmtId="0" fontId="13" fillId="0" borderId="2" xfId="0" applyFont="1" applyBorder="1" applyAlignment="1">
      <alignment vertical="top" wrapText="1"/>
    </xf>
    <xf numFmtId="3" fontId="13" fillId="0" borderId="2" xfId="0" applyNumberFormat="1" applyFont="1" applyBorder="1" applyAlignment="1">
      <alignment horizontal="center" vertical="center" wrapText="1"/>
    </xf>
    <xf numFmtId="0" fontId="13" fillId="0" borderId="2" xfId="0" applyFont="1" applyBorder="1" applyAlignment="1">
      <alignment vertical="center" wrapText="1"/>
    </xf>
    <xf numFmtId="0" fontId="13" fillId="0" borderId="0" xfId="0" applyFont="1"/>
    <xf numFmtId="0" fontId="10" fillId="0" borderId="0" xfId="0" applyFont="1" applyAlignment="1">
      <alignment vertical="center" wrapText="1"/>
    </xf>
    <xf numFmtId="0" fontId="6" fillId="2" borderId="6" xfId="0" applyNumberFormat="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6" fillId="2" borderId="2" xfId="0" applyNumberFormat="1" applyFont="1" applyFill="1" applyBorder="1" applyAlignment="1">
      <alignment horizontal="center" vertical="center" wrapText="1"/>
    </xf>
    <xf numFmtId="0" fontId="6" fillId="4" borderId="6" xfId="0"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1" xfId="0" applyFont="1" applyBorder="1" applyAlignment="1">
      <alignment horizontal="center" vertical="center"/>
    </xf>
    <xf numFmtId="0" fontId="22" fillId="0" borderId="5" xfId="0" applyFont="1" applyBorder="1" applyAlignment="1">
      <alignment horizontal="center" vertical="center"/>
    </xf>
  </cellXfs>
  <cellStyles count="52">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Normal" xfId="0" builtinId="0"/>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abSelected="1" workbookViewId="0"/>
  </sheetViews>
  <sheetFormatPr baseColWidth="10" defaultColWidth="8.83203125" defaultRowHeight="15" x14ac:dyDescent="0.2"/>
  <cols>
    <col min="1" max="1" width="22.1640625" customWidth="1"/>
    <col min="2" max="2" width="117.1640625" customWidth="1"/>
  </cols>
  <sheetData>
    <row r="1" spans="1:2" x14ac:dyDescent="0.2">
      <c r="A1" s="1" t="s">
        <v>3</v>
      </c>
      <c r="B1" s="1" t="s">
        <v>4</v>
      </c>
    </row>
    <row r="2" spans="1:2" x14ac:dyDescent="0.2">
      <c r="A2" s="84" t="s">
        <v>555</v>
      </c>
      <c r="B2" s="85" t="s">
        <v>553</v>
      </c>
    </row>
    <row r="3" spans="1:2" x14ac:dyDescent="0.2">
      <c r="A3" s="84" t="s">
        <v>556</v>
      </c>
      <c r="B3" s="85" t="s">
        <v>554</v>
      </c>
    </row>
    <row r="4" spans="1:2" x14ac:dyDescent="0.2">
      <c r="A4" s="84" t="s">
        <v>644</v>
      </c>
      <c r="B4" s="85" t="s">
        <v>660</v>
      </c>
    </row>
    <row r="5" spans="1:2" x14ac:dyDescent="0.2">
      <c r="A5" s="84"/>
      <c r="B5" s="86"/>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4"/>
  <sheetViews>
    <sheetView workbookViewId="0">
      <pane xSplit="2" ySplit="3" topLeftCell="C4" activePane="bottomRight" state="frozen"/>
      <selection pane="topRight" activeCell="C1" sqref="C1"/>
      <selection pane="bottomLeft" activeCell="A3" sqref="A3"/>
      <selection pane="bottomRight"/>
    </sheetView>
  </sheetViews>
  <sheetFormatPr baseColWidth="10" defaultColWidth="8.83203125" defaultRowHeight="15" x14ac:dyDescent="0.2"/>
  <cols>
    <col min="1" max="2" width="18.5" style="122" customWidth="1"/>
    <col min="3" max="13" width="21" style="122" customWidth="1"/>
    <col min="14" max="16384" width="8.83203125" style="122"/>
  </cols>
  <sheetData>
    <row r="1" spans="1:13" x14ac:dyDescent="0.2">
      <c r="A1" s="121" t="s">
        <v>551</v>
      </c>
    </row>
    <row r="2" spans="1:13" x14ac:dyDescent="0.2">
      <c r="A2" s="123" t="s">
        <v>549</v>
      </c>
    </row>
    <row r="3" spans="1:13" s="132" customFormat="1" ht="22" x14ac:dyDescent="0.15">
      <c r="A3" s="3"/>
      <c r="B3" s="115" t="s">
        <v>6</v>
      </c>
      <c r="C3" s="115" t="s">
        <v>7</v>
      </c>
      <c r="D3" s="115" t="s">
        <v>9</v>
      </c>
      <c r="E3" s="115" t="s">
        <v>10</v>
      </c>
      <c r="F3" s="115" t="s">
        <v>13</v>
      </c>
      <c r="G3" s="115" t="s">
        <v>14</v>
      </c>
      <c r="H3" s="115" t="s">
        <v>18</v>
      </c>
      <c r="I3" s="115" t="s">
        <v>20</v>
      </c>
      <c r="J3" s="5" t="s">
        <v>21</v>
      </c>
      <c r="K3" s="115" t="s">
        <v>22</v>
      </c>
      <c r="L3" s="5" t="s">
        <v>23</v>
      </c>
      <c r="M3" s="115" t="s">
        <v>24</v>
      </c>
    </row>
    <row r="4" spans="1:13" s="132" customFormat="1" ht="11" x14ac:dyDescent="0.15">
      <c r="A4" s="134" t="s">
        <v>25</v>
      </c>
      <c r="B4" s="115" t="s">
        <v>26</v>
      </c>
      <c r="C4" s="6" t="s">
        <v>27</v>
      </c>
      <c r="D4" s="8" t="s">
        <v>27</v>
      </c>
      <c r="E4" s="8" t="s">
        <v>27</v>
      </c>
      <c r="F4" s="9" t="s">
        <v>30</v>
      </c>
      <c r="G4" s="9" t="s">
        <v>30</v>
      </c>
      <c r="H4" s="9" t="s">
        <v>33</v>
      </c>
      <c r="I4" s="8" t="s">
        <v>34</v>
      </c>
      <c r="J4" s="9" t="s">
        <v>35</v>
      </c>
      <c r="K4" s="10" t="s">
        <v>36</v>
      </c>
      <c r="L4" s="8" t="s">
        <v>28</v>
      </c>
      <c r="M4" s="9" t="s">
        <v>28</v>
      </c>
    </row>
    <row r="5" spans="1:13" s="132" customFormat="1" ht="22" x14ac:dyDescent="0.15">
      <c r="A5" s="135"/>
      <c r="B5" s="115" t="s">
        <v>37</v>
      </c>
      <c r="C5" s="11" t="s">
        <v>38</v>
      </c>
      <c r="D5" s="8" t="s">
        <v>38</v>
      </c>
      <c r="E5" s="8" t="s">
        <v>38</v>
      </c>
      <c r="F5" s="9" t="s">
        <v>41</v>
      </c>
      <c r="G5" s="9" t="s">
        <v>41</v>
      </c>
      <c r="H5" s="10" t="s">
        <v>44</v>
      </c>
      <c r="I5" s="8" t="s">
        <v>45</v>
      </c>
      <c r="J5" s="9" t="s">
        <v>46</v>
      </c>
      <c r="K5" s="10" t="s">
        <v>43</v>
      </c>
      <c r="L5" s="10" t="s">
        <v>47</v>
      </c>
      <c r="M5" s="9" t="s">
        <v>38</v>
      </c>
    </row>
    <row r="6" spans="1:13" s="132" customFormat="1" ht="66" x14ac:dyDescent="0.15">
      <c r="A6" s="135"/>
      <c r="B6" s="115" t="s">
        <v>48</v>
      </c>
      <c r="C6" s="9" t="s">
        <v>550</v>
      </c>
      <c r="D6" s="8" t="s">
        <v>50</v>
      </c>
      <c r="E6" s="8" t="s">
        <v>50</v>
      </c>
      <c r="F6" s="9" t="s">
        <v>53</v>
      </c>
      <c r="G6" s="10" t="s">
        <v>54</v>
      </c>
      <c r="H6" s="9" t="s">
        <v>51</v>
      </c>
      <c r="I6" s="9" t="s">
        <v>55</v>
      </c>
      <c r="J6" s="9" t="s">
        <v>56</v>
      </c>
      <c r="K6" s="10" t="s">
        <v>57</v>
      </c>
      <c r="L6" s="9" t="s">
        <v>58</v>
      </c>
      <c r="M6" s="9" t="s">
        <v>59</v>
      </c>
    </row>
    <row r="7" spans="1:13" s="132" customFormat="1" ht="22" x14ac:dyDescent="0.15">
      <c r="A7" s="135"/>
      <c r="B7" s="115" t="s">
        <v>60</v>
      </c>
      <c r="C7" s="11" t="s">
        <v>61</v>
      </c>
      <c r="D7" s="12" t="s">
        <v>63</v>
      </c>
      <c r="E7" s="12" t="s">
        <v>63</v>
      </c>
      <c r="F7" s="9" t="s">
        <v>66</v>
      </c>
      <c r="G7" s="9" t="s">
        <v>67</v>
      </c>
      <c r="H7" s="9" t="s">
        <v>70</v>
      </c>
      <c r="I7" s="8" t="s">
        <v>71</v>
      </c>
      <c r="J7" s="9" t="s">
        <v>72</v>
      </c>
      <c r="K7" s="10" t="s">
        <v>73</v>
      </c>
      <c r="L7" s="10" t="s">
        <v>74</v>
      </c>
      <c r="M7" s="9" t="s">
        <v>75</v>
      </c>
    </row>
    <row r="8" spans="1:13" s="132" customFormat="1" ht="110" x14ac:dyDescent="0.15">
      <c r="A8" s="135"/>
      <c r="B8" s="115" t="s">
        <v>498</v>
      </c>
      <c r="C8" s="11">
        <v>7304</v>
      </c>
      <c r="D8" s="18">
        <v>858</v>
      </c>
      <c r="E8" s="10">
        <v>836</v>
      </c>
      <c r="F8" s="10">
        <v>1805</v>
      </c>
      <c r="G8" s="10">
        <v>1656</v>
      </c>
      <c r="H8" s="9">
        <v>1280</v>
      </c>
      <c r="I8" s="16">
        <v>650</v>
      </c>
      <c r="J8" s="9">
        <v>2035</v>
      </c>
      <c r="K8" s="15">
        <v>707</v>
      </c>
      <c r="L8" s="10">
        <v>892</v>
      </c>
      <c r="M8" s="9">
        <v>1603</v>
      </c>
    </row>
    <row r="9" spans="1:13" s="132" customFormat="1" ht="44" x14ac:dyDescent="0.15">
      <c r="A9" s="136"/>
      <c r="B9" s="115" t="s">
        <v>537</v>
      </c>
      <c r="C9" s="11" t="s">
        <v>76</v>
      </c>
      <c r="D9" s="12" t="s">
        <v>77</v>
      </c>
      <c r="E9" s="12" t="s">
        <v>77</v>
      </c>
      <c r="F9" s="9" t="s">
        <v>77</v>
      </c>
      <c r="G9" s="9" t="s">
        <v>76</v>
      </c>
      <c r="H9" s="9" t="s">
        <v>76</v>
      </c>
      <c r="I9" s="8" t="s">
        <v>77</v>
      </c>
      <c r="J9" s="9" t="s">
        <v>77</v>
      </c>
      <c r="K9" s="10" t="s">
        <v>77</v>
      </c>
      <c r="L9" s="10" t="s">
        <v>77</v>
      </c>
      <c r="M9" s="9" t="s">
        <v>77</v>
      </c>
    </row>
    <row r="10" spans="1:13" s="132" customFormat="1" ht="88" x14ac:dyDescent="0.15">
      <c r="A10" s="137" t="s">
        <v>78</v>
      </c>
      <c r="B10" s="115" t="s">
        <v>79</v>
      </c>
      <c r="C10" s="11" t="s">
        <v>80</v>
      </c>
      <c r="D10" s="13" t="s">
        <v>82</v>
      </c>
      <c r="E10" s="13" t="s">
        <v>82</v>
      </c>
      <c r="F10" s="9" t="s">
        <v>85</v>
      </c>
      <c r="G10" s="9" t="s">
        <v>85</v>
      </c>
      <c r="H10" s="10" t="s">
        <v>89</v>
      </c>
      <c r="I10" s="8" t="s">
        <v>90</v>
      </c>
      <c r="J10" s="9" t="s">
        <v>91</v>
      </c>
      <c r="K10" s="10" t="s">
        <v>92</v>
      </c>
      <c r="L10" s="10" t="s">
        <v>93</v>
      </c>
      <c r="M10" s="9" t="s">
        <v>94</v>
      </c>
    </row>
    <row r="11" spans="1:13" s="132" customFormat="1" ht="187" x14ac:dyDescent="0.15">
      <c r="A11" s="137"/>
      <c r="B11" s="115" t="s">
        <v>95</v>
      </c>
      <c r="C11" s="11" t="s">
        <v>96</v>
      </c>
      <c r="D11" s="12" t="s">
        <v>98</v>
      </c>
      <c r="E11" s="12" t="s">
        <v>98</v>
      </c>
      <c r="F11" s="10" t="s">
        <v>99</v>
      </c>
      <c r="G11" s="10" t="s">
        <v>99</v>
      </c>
      <c r="H11" s="10" t="s">
        <v>117</v>
      </c>
      <c r="I11" s="12" t="s">
        <v>656</v>
      </c>
      <c r="J11" s="124" t="s">
        <v>75</v>
      </c>
      <c r="K11" s="10" t="s">
        <v>101</v>
      </c>
      <c r="L11" s="10" t="s">
        <v>75</v>
      </c>
      <c r="M11" s="9" t="s">
        <v>102</v>
      </c>
    </row>
    <row r="12" spans="1:13" s="132" customFormat="1" ht="253" x14ac:dyDescent="0.15">
      <c r="A12" s="137" t="s">
        <v>103</v>
      </c>
      <c r="B12" s="115" t="s">
        <v>104</v>
      </c>
      <c r="C12" s="11" t="s">
        <v>507</v>
      </c>
      <c r="D12" s="13" t="s">
        <v>106</v>
      </c>
      <c r="E12" s="13" t="s">
        <v>106</v>
      </c>
      <c r="F12" s="9" t="s">
        <v>107</v>
      </c>
      <c r="G12" s="9" t="s">
        <v>108</v>
      </c>
      <c r="H12" s="10" t="s">
        <v>110</v>
      </c>
      <c r="I12" s="8" t="s">
        <v>111</v>
      </c>
      <c r="J12" s="9" t="s">
        <v>112</v>
      </c>
      <c r="K12" s="10" t="s">
        <v>113</v>
      </c>
      <c r="L12" s="10" t="s">
        <v>75</v>
      </c>
      <c r="M12" s="14" t="s">
        <v>94</v>
      </c>
    </row>
    <row r="13" spans="1:13" s="132" customFormat="1" ht="187" x14ac:dyDescent="0.15">
      <c r="A13" s="137"/>
      <c r="B13" s="115" t="s">
        <v>114</v>
      </c>
      <c r="C13" s="11" t="s">
        <v>75</v>
      </c>
      <c r="D13" s="12" t="s">
        <v>98</v>
      </c>
      <c r="E13" s="12" t="s">
        <v>98</v>
      </c>
      <c r="F13" s="10" t="s">
        <v>75</v>
      </c>
      <c r="G13" s="10" t="s">
        <v>75</v>
      </c>
      <c r="H13" s="10" t="s">
        <v>117</v>
      </c>
      <c r="I13" s="12" t="s">
        <v>656</v>
      </c>
      <c r="J13" s="9" t="s">
        <v>75</v>
      </c>
      <c r="K13" s="15" t="s">
        <v>118</v>
      </c>
      <c r="L13" s="10" t="s">
        <v>75</v>
      </c>
      <c r="M13" s="9" t="s">
        <v>102</v>
      </c>
    </row>
    <row r="14" spans="1:13" s="132" customFormat="1" ht="40.5" customHeight="1" x14ac:dyDescent="0.15">
      <c r="A14" s="138" t="s">
        <v>501</v>
      </c>
      <c r="B14" s="115" t="s">
        <v>119</v>
      </c>
      <c r="C14" s="11" t="s">
        <v>120</v>
      </c>
      <c r="D14" s="17" t="s">
        <v>122</v>
      </c>
      <c r="E14" s="17" t="s">
        <v>123</v>
      </c>
      <c r="F14" s="18" t="s">
        <v>125</v>
      </c>
      <c r="G14" s="17" t="s">
        <v>126</v>
      </c>
      <c r="H14" s="19" t="s">
        <v>130</v>
      </c>
      <c r="I14" s="17" t="s">
        <v>131</v>
      </c>
      <c r="J14" s="19" t="s">
        <v>132</v>
      </c>
      <c r="K14" s="17" t="s">
        <v>133</v>
      </c>
      <c r="L14" s="10" t="s">
        <v>134</v>
      </c>
      <c r="M14" s="9" t="s">
        <v>75</v>
      </c>
    </row>
    <row r="15" spans="1:13" s="132" customFormat="1" ht="22" x14ac:dyDescent="0.15">
      <c r="A15" s="135"/>
      <c r="B15" s="115" t="s">
        <v>135</v>
      </c>
      <c r="C15" s="11" t="s">
        <v>508</v>
      </c>
      <c r="D15" s="17" t="s">
        <v>75</v>
      </c>
      <c r="E15" s="17" t="s">
        <v>75</v>
      </c>
      <c r="F15" s="18" t="s">
        <v>137</v>
      </c>
      <c r="G15" s="17" t="s">
        <v>137</v>
      </c>
      <c r="H15" s="17" t="s">
        <v>527</v>
      </c>
      <c r="I15" s="17" t="s">
        <v>141</v>
      </c>
      <c r="J15" s="19" t="s">
        <v>75</v>
      </c>
      <c r="K15" s="17" t="s">
        <v>75</v>
      </c>
      <c r="L15" s="10" t="s">
        <v>142</v>
      </c>
      <c r="M15" s="9" t="s">
        <v>75</v>
      </c>
    </row>
    <row r="16" spans="1:13" s="132" customFormat="1" ht="33" x14ac:dyDescent="0.15">
      <c r="A16" s="135"/>
      <c r="B16" s="115" t="s">
        <v>500</v>
      </c>
      <c r="C16" s="11" t="s">
        <v>75</v>
      </c>
      <c r="D16" s="17" t="s">
        <v>75</v>
      </c>
      <c r="E16" s="17" t="s">
        <v>75</v>
      </c>
      <c r="F16" s="17" t="s">
        <v>75</v>
      </c>
      <c r="G16" s="17" t="s">
        <v>75</v>
      </c>
      <c r="H16" s="19" t="s">
        <v>499</v>
      </c>
      <c r="I16" s="17" t="s">
        <v>75</v>
      </c>
      <c r="J16" s="19" t="s">
        <v>75</v>
      </c>
      <c r="K16" s="17" t="s">
        <v>75</v>
      </c>
      <c r="L16" s="10" t="s">
        <v>75</v>
      </c>
      <c r="M16" s="9" t="s">
        <v>75</v>
      </c>
    </row>
    <row r="17" spans="1:13" s="132" customFormat="1" ht="22" x14ac:dyDescent="0.15">
      <c r="A17" s="136"/>
      <c r="B17" s="115" t="s">
        <v>143</v>
      </c>
      <c r="C17" s="21">
        <v>0.17499999999999999</v>
      </c>
      <c r="D17" s="17">
        <v>0.38</v>
      </c>
      <c r="E17" s="17">
        <v>0.34100000000000003</v>
      </c>
      <c r="F17" s="17">
        <v>0.25800000000000001</v>
      </c>
      <c r="G17" s="17">
        <v>0.17799999999999999</v>
      </c>
      <c r="H17" s="19">
        <v>0.13469999999999999</v>
      </c>
      <c r="I17" s="17">
        <v>8.1000000000000003E-2</v>
      </c>
      <c r="J17" s="19" t="s">
        <v>75</v>
      </c>
      <c r="K17" s="17" t="s">
        <v>75</v>
      </c>
      <c r="L17" s="10" t="s">
        <v>75</v>
      </c>
      <c r="M17" s="9" t="s">
        <v>75</v>
      </c>
    </row>
    <row r="18" spans="1:13" s="132" customFormat="1" ht="22" x14ac:dyDescent="0.15">
      <c r="A18" s="134" t="s">
        <v>144</v>
      </c>
      <c r="B18" s="115" t="s">
        <v>145</v>
      </c>
      <c r="C18" s="11" t="s">
        <v>146</v>
      </c>
      <c r="D18" s="10" t="s">
        <v>543</v>
      </c>
      <c r="E18" s="10" t="s">
        <v>542</v>
      </c>
      <c r="F18" s="10" t="s">
        <v>150</v>
      </c>
      <c r="G18" s="10" t="s">
        <v>151</v>
      </c>
      <c r="H18" s="9" t="s">
        <v>541</v>
      </c>
      <c r="I18" s="12" t="s">
        <v>155</v>
      </c>
      <c r="J18" s="9" t="s">
        <v>540</v>
      </c>
      <c r="K18" s="10" t="s">
        <v>156</v>
      </c>
      <c r="L18" s="23" t="s">
        <v>539</v>
      </c>
      <c r="M18" s="9" t="s">
        <v>75</v>
      </c>
    </row>
    <row r="19" spans="1:13" s="132" customFormat="1" ht="22" x14ac:dyDescent="0.15">
      <c r="A19" s="135"/>
      <c r="B19" s="115" t="s">
        <v>157</v>
      </c>
      <c r="C19" s="11" t="s">
        <v>158</v>
      </c>
      <c r="D19" s="10" t="s">
        <v>160</v>
      </c>
      <c r="E19" s="10" t="s">
        <v>160</v>
      </c>
      <c r="F19" s="10" t="s">
        <v>162</v>
      </c>
      <c r="G19" s="10" t="s">
        <v>163</v>
      </c>
      <c r="H19" s="9" t="s">
        <v>166</v>
      </c>
      <c r="I19" s="12" t="s">
        <v>167</v>
      </c>
      <c r="J19" s="9" t="s">
        <v>168</v>
      </c>
      <c r="K19" s="10" t="s">
        <v>169</v>
      </c>
      <c r="L19" s="10" t="s">
        <v>75</v>
      </c>
      <c r="M19" s="9" t="s">
        <v>75</v>
      </c>
    </row>
    <row r="20" spans="1:13" s="132" customFormat="1" ht="11" x14ac:dyDescent="0.15">
      <c r="A20" s="135"/>
      <c r="B20" s="115" t="s">
        <v>170</v>
      </c>
      <c r="C20" s="11" t="s">
        <v>171</v>
      </c>
      <c r="D20" s="10" t="s">
        <v>75</v>
      </c>
      <c r="E20" s="10" t="s">
        <v>75</v>
      </c>
      <c r="F20" s="10" t="s">
        <v>173</v>
      </c>
      <c r="G20" s="10" t="s">
        <v>174</v>
      </c>
      <c r="H20" s="9" t="s">
        <v>178</v>
      </c>
      <c r="I20" s="12" t="s">
        <v>179</v>
      </c>
      <c r="J20" s="9" t="s">
        <v>180</v>
      </c>
      <c r="K20" s="17" t="s">
        <v>75</v>
      </c>
      <c r="L20" s="10" t="s">
        <v>75</v>
      </c>
      <c r="M20" s="9" t="s">
        <v>75</v>
      </c>
    </row>
    <row r="21" spans="1:13" s="132" customFormat="1" ht="22" x14ac:dyDescent="0.15">
      <c r="A21" s="135"/>
      <c r="B21" s="115" t="s">
        <v>181</v>
      </c>
      <c r="C21" s="11" t="s">
        <v>182</v>
      </c>
      <c r="D21" s="10" t="s">
        <v>75</v>
      </c>
      <c r="E21" s="10" t="s">
        <v>75</v>
      </c>
      <c r="F21" s="10" t="s">
        <v>185</v>
      </c>
      <c r="G21" s="10" t="s">
        <v>186</v>
      </c>
      <c r="H21" s="9" t="s">
        <v>190</v>
      </c>
      <c r="I21" s="12" t="s">
        <v>191</v>
      </c>
      <c r="J21" s="9" t="s">
        <v>192</v>
      </c>
      <c r="K21" s="17" t="s">
        <v>75</v>
      </c>
      <c r="L21" s="10" t="s">
        <v>75</v>
      </c>
      <c r="M21" s="9" t="s">
        <v>75</v>
      </c>
    </row>
    <row r="22" spans="1:13" s="132" customFormat="1" ht="22" x14ac:dyDescent="0.15">
      <c r="A22" s="135"/>
      <c r="B22" s="115" t="s">
        <v>193</v>
      </c>
      <c r="C22" s="11" t="s">
        <v>194</v>
      </c>
      <c r="D22" s="10" t="s">
        <v>75</v>
      </c>
      <c r="E22" s="10" t="s">
        <v>75</v>
      </c>
      <c r="F22" s="10" t="s">
        <v>197</v>
      </c>
      <c r="G22" s="10" t="s">
        <v>194</v>
      </c>
      <c r="H22" s="9" t="s">
        <v>200</v>
      </c>
      <c r="I22" s="12" t="s">
        <v>75</v>
      </c>
      <c r="J22" s="9" t="s">
        <v>75</v>
      </c>
      <c r="K22" s="17" t="s">
        <v>75</v>
      </c>
      <c r="L22" s="10" t="s">
        <v>75</v>
      </c>
      <c r="M22" s="9" t="s">
        <v>75</v>
      </c>
    </row>
    <row r="23" spans="1:13" s="132" customFormat="1" ht="11" x14ac:dyDescent="0.15">
      <c r="A23" s="136"/>
      <c r="B23" s="115" t="s">
        <v>201</v>
      </c>
      <c r="C23" s="28">
        <v>0.34</v>
      </c>
      <c r="D23" s="10">
        <v>100</v>
      </c>
      <c r="E23" s="10">
        <v>100</v>
      </c>
      <c r="F23" s="17">
        <v>0.5</v>
      </c>
      <c r="G23" s="17">
        <v>0.309</v>
      </c>
      <c r="H23" s="19">
        <v>0.56899999999999995</v>
      </c>
      <c r="I23" s="17">
        <v>0.45800000000000002</v>
      </c>
      <c r="J23" s="19" t="s">
        <v>75</v>
      </c>
      <c r="K23" s="17">
        <v>0.84</v>
      </c>
      <c r="L23" s="10" t="s">
        <v>75</v>
      </c>
      <c r="M23" s="9" t="s">
        <v>75</v>
      </c>
    </row>
    <row r="24" spans="1:13" s="132" customFormat="1" ht="22" x14ac:dyDescent="0.15">
      <c r="A24" s="138" t="s">
        <v>505</v>
      </c>
      <c r="B24" s="115" t="s">
        <v>203</v>
      </c>
      <c r="C24" s="20" t="s">
        <v>509</v>
      </c>
      <c r="D24" s="12" t="s">
        <v>205</v>
      </c>
      <c r="E24" s="10" t="s">
        <v>206</v>
      </c>
      <c r="F24" s="125" t="s">
        <v>209</v>
      </c>
      <c r="G24" s="9" t="s">
        <v>210</v>
      </c>
      <c r="H24" s="10" t="s">
        <v>211</v>
      </c>
      <c r="I24" s="12" t="s">
        <v>212</v>
      </c>
      <c r="J24" s="9" t="s">
        <v>213</v>
      </c>
      <c r="K24" s="10" t="s">
        <v>214</v>
      </c>
      <c r="L24" s="10" t="s">
        <v>215</v>
      </c>
      <c r="M24" s="126" t="s">
        <v>216</v>
      </c>
    </row>
    <row r="25" spans="1:13" s="132" customFormat="1" ht="99" x14ac:dyDescent="0.15">
      <c r="A25" s="135"/>
      <c r="B25" s="115" t="s">
        <v>217</v>
      </c>
      <c r="C25" s="127" t="s">
        <v>223</v>
      </c>
      <c r="D25" s="10" t="s">
        <v>219</v>
      </c>
      <c r="E25" s="10" t="s">
        <v>220</v>
      </c>
      <c r="F25" s="125" t="s">
        <v>223</v>
      </c>
      <c r="G25" s="9" t="s">
        <v>224</v>
      </c>
      <c r="H25" s="10" t="s">
        <v>225</v>
      </c>
      <c r="I25" s="12" t="s">
        <v>226</v>
      </c>
      <c r="J25" s="9" t="s">
        <v>227</v>
      </c>
      <c r="K25" s="10" t="s">
        <v>228</v>
      </c>
      <c r="L25" s="10" t="s">
        <v>229</v>
      </c>
      <c r="M25" s="10" t="s">
        <v>230</v>
      </c>
    </row>
    <row r="26" spans="1:13" s="132" customFormat="1" ht="11" x14ac:dyDescent="0.15">
      <c r="A26" s="135"/>
      <c r="B26" s="115" t="s">
        <v>231</v>
      </c>
      <c r="C26" s="10" t="s">
        <v>235</v>
      </c>
      <c r="D26" s="12" t="s">
        <v>233</v>
      </c>
      <c r="E26" s="10" t="s">
        <v>234</v>
      </c>
      <c r="F26" s="9" t="s">
        <v>237</v>
      </c>
      <c r="G26" s="9" t="s">
        <v>238</v>
      </c>
      <c r="H26" s="10" t="s">
        <v>239</v>
      </c>
      <c r="I26" s="12" t="s">
        <v>240</v>
      </c>
      <c r="J26" s="9" t="s">
        <v>238</v>
      </c>
      <c r="K26" s="10" t="s">
        <v>241</v>
      </c>
      <c r="L26" s="10" t="s">
        <v>239</v>
      </c>
      <c r="M26" s="9" t="s">
        <v>242</v>
      </c>
    </row>
    <row r="27" spans="1:13" s="132" customFormat="1" ht="22" x14ac:dyDescent="0.15">
      <c r="A27" s="135"/>
      <c r="B27" s="115" t="s">
        <v>243</v>
      </c>
      <c r="C27" s="20" t="s">
        <v>510</v>
      </c>
      <c r="D27" s="12" t="s">
        <v>245</v>
      </c>
      <c r="E27" s="10" t="s">
        <v>246</v>
      </c>
      <c r="F27" s="10" t="s">
        <v>249</v>
      </c>
      <c r="G27" s="9" t="s">
        <v>250</v>
      </c>
      <c r="H27" s="18" t="s">
        <v>251</v>
      </c>
      <c r="I27" s="9" t="s">
        <v>252</v>
      </c>
      <c r="J27" s="9" t="s">
        <v>253</v>
      </c>
      <c r="K27" s="27">
        <v>0.9</v>
      </c>
      <c r="L27" s="27" t="s">
        <v>250</v>
      </c>
      <c r="M27" s="9" t="s">
        <v>254</v>
      </c>
    </row>
    <row r="28" spans="1:13" s="132" customFormat="1" ht="33" x14ac:dyDescent="0.15">
      <c r="A28" s="135"/>
      <c r="B28" s="115" t="s">
        <v>255</v>
      </c>
      <c r="C28" s="20" t="s">
        <v>511</v>
      </c>
      <c r="D28" s="12" t="s">
        <v>245</v>
      </c>
      <c r="E28" s="10" t="s">
        <v>257</v>
      </c>
      <c r="F28" s="10" t="s">
        <v>259</v>
      </c>
      <c r="G28" s="10" t="s">
        <v>75</v>
      </c>
      <c r="H28" s="10" t="s">
        <v>260</v>
      </c>
      <c r="I28" s="12" t="s">
        <v>75</v>
      </c>
      <c r="J28" s="9" t="s">
        <v>261</v>
      </c>
      <c r="K28" s="10" t="s">
        <v>262</v>
      </c>
      <c r="L28" s="10"/>
      <c r="M28" s="10" t="s">
        <v>263</v>
      </c>
    </row>
    <row r="29" spans="1:13" s="132" customFormat="1" ht="88" x14ac:dyDescent="0.15">
      <c r="A29" s="135"/>
      <c r="B29" s="115" t="s">
        <v>264</v>
      </c>
      <c r="C29" s="128" t="s">
        <v>512</v>
      </c>
      <c r="D29" s="12" t="s">
        <v>266</v>
      </c>
      <c r="E29" s="10" t="s">
        <v>267</v>
      </c>
      <c r="F29" s="8" t="s">
        <v>270</v>
      </c>
      <c r="G29" s="10" t="s">
        <v>271</v>
      </c>
      <c r="H29" s="10" t="s">
        <v>272</v>
      </c>
      <c r="I29" s="12" t="s">
        <v>273</v>
      </c>
      <c r="J29" s="9" t="s">
        <v>274</v>
      </c>
      <c r="K29" s="10" t="s">
        <v>275</v>
      </c>
      <c r="L29" s="10" t="s">
        <v>276</v>
      </c>
      <c r="M29" s="10" t="s">
        <v>277</v>
      </c>
    </row>
    <row r="30" spans="1:13" s="132" customFormat="1" ht="22" x14ac:dyDescent="0.15">
      <c r="A30" s="135"/>
      <c r="B30" s="115" t="s">
        <v>278</v>
      </c>
      <c r="C30" s="70" t="s">
        <v>279</v>
      </c>
      <c r="D30" s="10" t="s">
        <v>279</v>
      </c>
      <c r="E30" s="10" t="s">
        <v>279</v>
      </c>
      <c r="F30" s="27" t="s">
        <v>281</v>
      </c>
      <c r="G30" s="27" t="s">
        <v>281</v>
      </c>
      <c r="H30" s="10" t="s">
        <v>282</v>
      </c>
      <c r="I30" s="27">
        <v>0.05</v>
      </c>
      <c r="J30" s="29" t="s">
        <v>283</v>
      </c>
      <c r="K30" s="27">
        <v>0.01</v>
      </c>
      <c r="L30" s="29">
        <v>0.01</v>
      </c>
      <c r="M30" s="27" t="s">
        <v>284</v>
      </c>
    </row>
    <row r="31" spans="1:13" s="132" customFormat="1" ht="22" x14ac:dyDescent="0.15">
      <c r="A31" s="135"/>
      <c r="B31" s="115" t="s">
        <v>285</v>
      </c>
      <c r="C31" s="10" t="s">
        <v>287</v>
      </c>
      <c r="D31" s="12" t="s">
        <v>286</v>
      </c>
      <c r="E31" s="10" t="s">
        <v>287</v>
      </c>
      <c r="F31" s="10" t="s">
        <v>290</v>
      </c>
      <c r="G31" s="10" t="s">
        <v>291</v>
      </c>
      <c r="H31" s="10" t="s">
        <v>292</v>
      </c>
      <c r="I31" s="9" t="s">
        <v>289</v>
      </c>
      <c r="J31" s="9" t="s">
        <v>293</v>
      </c>
      <c r="K31" s="31" t="s">
        <v>294</v>
      </c>
      <c r="L31" s="9" t="s">
        <v>289</v>
      </c>
      <c r="M31" s="10" t="s">
        <v>295</v>
      </c>
    </row>
    <row r="32" spans="1:13" s="132" customFormat="1" ht="33" x14ac:dyDescent="0.15">
      <c r="A32" s="135"/>
      <c r="B32" s="115" t="s">
        <v>296</v>
      </c>
      <c r="C32" s="20" t="s">
        <v>510</v>
      </c>
      <c r="D32" s="12" t="s">
        <v>297</v>
      </c>
      <c r="E32" s="10" t="s">
        <v>250</v>
      </c>
      <c r="F32" s="10" t="s">
        <v>298</v>
      </c>
      <c r="G32" s="8" t="s">
        <v>297</v>
      </c>
      <c r="H32" s="27" t="s">
        <v>299</v>
      </c>
      <c r="I32" s="9" t="s">
        <v>250</v>
      </c>
      <c r="J32" s="9" t="s">
        <v>300</v>
      </c>
      <c r="K32" s="27">
        <v>0.95</v>
      </c>
      <c r="L32" s="9" t="s">
        <v>250</v>
      </c>
      <c r="M32" s="9" t="s">
        <v>301</v>
      </c>
    </row>
    <row r="33" spans="1:13" s="132" customFormat="1" ht="55" x14ac:dyDescent="0.15">
      <c r="A33" s="135"/>
      <c r="B33" s="115" t="s">
        <v>302</v>
      </c>
      <c r="C33" s="20" t="s">
        <v>75</v>
      </c>
      <c r="D33" s="12" t="s">
        <v>303</v>
      </c>
      <c r="E33" s="10" t="s">
        <v>275</v>
      </c>
      <c r="F33" s="10" t="s">
        <v>275</v>
      </c>
      <c r="G33" s="10" t="s">
        <v>304</v>
      </c>
      <c r="H33" s="10" t="s">
        <v>305</v>
      </c>
      <c r="I33" s="12" t="s">
        <v>275</v>
      </c>
      <c r="J33" s="9" t="s">
        <v>275</v>
      </c>
      <c r="K33" s="10" t="s">
        <v>306</v>
      </c>
      <c r="L33" s="32" t="s">
        <v>307</v>
      </c>
      <c r="M33" s="10" t="s">
        <v>308</v>
      </c>
    </row>
    <row r="34" spans="1:13" s="132" customFormat="1" ht="54.75" customHeight="1" x14ac:dyDescent="0.15">
      <c r="A34" s="135"/>
      <c r="B34" s="115" t="s">
        <v>309</v>
      </c>
      <c r="C34" s="71">
        <v>526688</v>
      </c>
      <c r="D34" s="33">
        <v>721428</v>
      </c>
      <c r="E34" s="33">
        <v>520413</v>
      </c>
      <c r="F34" s="33">
        <v>545349</v>
      </c>
      <c r="G34" s="33">
        <v>518097</v>
      </c>
      <c r="H34" s="33">
        <v>559739</v>
      </c>
      <c r="I34" s="33">
        <v>432270</v>
      </c>
      <c r="J34" s="34">
        <v>324896</v>
      </c>
      <c r="K34" s="10" t="s">
        <v>310</v>
      </c>
      <c r="L34" s="33" t="s">
        <v>311</v>
      </c>
      <c r="M34" s="33" t="s">
        <v>312</v>
      </c>
    </row>
    <row r="35" spans="1:13" s="132" customFormat="1" ht="77" x14ac:dyDescent="0.15">
      <c r="A35" s="135"/>
      <c r="B35" s="83" t="s">
        <v>313</v>
      </c>
      <c r="C35" s="10" t="s">
        <v>513</v>
      </c>
      <c r="D35" s="12" t="s">
        <v>314</v>
      </c>
      <c r="E35" s="12" t="s">
        <v>314</v>
      </c>
      <c r="F35" s="10" t="s">
        <v>316</v>
      </c>
      <c r="G35" s="10" t="s">
        <v>317</v>
      </c>
      <c r="H35" s="10" t="s">
        <v>318</v>
      </c>
      <c r="I35" s="8" t="s">
        <v>319</v>
      </c>
      <c r="J35" s="8" t="s">
        <v>320</v>
      </c>
      <c r="K35" s="15" t="s">
        <v>321</v>
      </c>
      <c r="L35" s="36" t="s">
        <v>322</v>
      </c>
      <c r="M35" s="129" t="s">
        <v>323</v>
      </c>
    </row>
    <row r="36" spans="1:13" s="132" customFormat="1" ht="22" x14ac:dyDescent="0.15">
      <c r="A36" s="135"/>
      <c r="B36" s="115" t="s">
        <v>324</v>
      </c>
      <c r="C36" s="33">
        <v>2450866</v>
      </c>
      <c r="D36" s="34">
        <v>2543926</v>
      </c>
      <c r="E36" s="34">
        <v>2451644</v>
      </c>
      <c r="F36" s="33">
        <v>2449993</v>
      </c>
      <c r="G36" s="33">
        <v>2543887</v>
      </c>
      <c r="H36" s="7">
        <v>2293443</v>
      </c>
      <c r="I36" s="7">
        <v>2126709</v>
      </c>
      <c r="J36" s="34">
        <v>2487934</v>
      </c>
      <c r="K36" s="15">
        <v>2385474</v>
      </c>
      <c r="L36" s="37">
        <v>2454244</v>
      </c>
      <c r="M36" s="130">
        <v>2401373</v>
      </c>
    </row>
    <row r="37" spans="1:13" s="132" customFormat="1" ht="33" x14ac:dyDescent="0.15">
      <c r="A37" s="136"/>
      <c r="B37" s="115" t="s">
        <v>325</v>
      </c>
      <c r="C37" s="10">
        <v>1.0389999999999999</v>
      </c>
      <c r="D37" s="18">
        <v>0.98399999999999999</v>
      </c>
      <c r="E37" s="18">
        <v>1.0069999999999999</v>
      </c>
      <c r="F37" s="10">
        <v>1.006</v>
      </c>
      <c r="G37" s="10">
        <v>1.006</v>
      </c>
      <c r="H37" s="10">
        <v>1.016</v>
      </c>
      <c r="I37" s="12" t="s">
        <v>275</v>
      </c>
      <c r="J37" s="16">
        <v>1.02</v>
      </c>
      <c r="K37" s="15">
        <v>1.002</v>
      </c>
      <c r="L37" s="36">
        <v>1.012</v>
      </c>
      <c r="M37" s="33">
        <v>1.004</v>
      </c>
    </row>
    <row r="38" spans="1:13" s="132" customFormat="1" ht="22" x14ac:dyDescent="0.15">
      <c r="A38" s="134" t="s">
        <v>506</v>
      </c>
      <c r="B38" s="115" t="s">
        <v>203</v>
      </c>
      <c r="C38" s="44" t="s">
        <v>514</v>
      </c>
      <c r="D38" s="38"/>
      <c r="E38" s="26"/>
      <c r="F38" s="25"/>
      <c r="G38" s="9" t="s">
        <v>210</v>
      </c>
      <c r="H38" s="10" t="s">
        <v>211</v>
      </c>
      <c r="I38" s="26"/>
      <c r="J38" s="26"/>
      <c r="K38" s="25"/>
      <c r="L38" s="40"/>
      <c r="M38" s="35"/>
    </row>
    <row r="39" spans="1:13" s="132" customFormat="1" ht="55" x14ac:dyDescent="0.15">
      <c r="A39" s="135"/>
      <c r="B39" s="115" t="s">
        <v>217</v>
      </c>
      <c r="C39" s="10" t="s">
        <v>515</v>
      </c>
      <c r="D39" s="38"/>
      <c r="E39" s="26"/>
      <c r="F39" s="25"/>
      <c r="G39" s="9" t="s">
        <v>224</v>
      </c>
      <c r="H39" s="10" t="s">
        <v>225</v>
      </c>
      <c r="I39" s="26"/>
      <c r="J39" s="26"/>
      <c r="K39" s="25"/>
      <c r="L39" s="40"/>
      <c r="M39" s="35"/>
    </row>
    <row r="40" spans="1:13" s="132" customFormat="1" ht="11" x14ac:dyDescent="0.15">
      <c r="A40" s="135"/>
      <c r="B40" s="115" t="s">
        <v>231</v>
      </c>
      <c r="C40" s="10" t="s">
        <v>516</v>
      </c>
      <c r="D40" s="38"/>
      <c r="E40" s="26"/>
      <c r="F40" s="25"/>
      <c r="G40" s="9" t="s">
        <v>238</v>
      </c>
      <c r="H40" s="10" t="s">
        <v>239</v>
      </c>
      <c r="I40" s="26"/>
      <c r="J40" s="26"/>
      <c r="K40" s="25"/>
      <c r="L40" s="40"/>
      <c r="M40" s="35"/>
    </row>
    <row r="41" spans="1:13" s="132" customFormat="1" ht="22" x14ac:dyDescent="0.15">
      <c r="A41" s="135"/>
      <c r="B41" s="115" t="s">
        <v>243</v>
      </c>
      <c r="C41" s="10" t="s">
        <v>517</v>
      </c>
      <c r="D41" s="38"/>
      <c r="E41" s="26"/>
      <c r="F41" s="25"/>
      <c r="G41" s="9" t="s">
        <v>250</v>
      </c>
      <c r="H41" s="18" t="s">
        <v>251</v>
      </c>
      <c r="I41" s="25"/>
      <c r="J41" s="26"/>
      <c r="K41" s="72"/>
      <c r="L41" s="40"/>
      <c r="M41" s="35"/>
    </row>
    <row r="42" spans="1:13" s="132" customFormat="1" ht="33" x14ac:dyDescent="0.15">
      <c r="A42" s="135"/>
      <c r="B42" s="115" t="s">
        <v>255</v>
      </c>
      <c r="C42" s="10" t="s">
        <v>518</v>
      </c>
      <c r="D42" s="38"/>
      <c r="E42" s="26"/>
      <c r="F42" s="25"/>
      <c r="G42" s="10" t="s">
        <v>75</v>
      </c>
      <c r="H42" s="10" t="s">
        <v>260</v>
      </c>
      <c r="I42" s="26"/>
      <c r="J42" s="26"/>
      <c r="K42" s="25"/>
      <c r="L42" s="40"/>
      <c r="M42" s="35"/>
    </row>
    <row r="43" spans="1:13" s="132" customFormat="1" ht="88" x14ac:dyDescent="0.15">
      <c r="A43" s="135"/>
      <c r="B43" s="115" t="s">
        <v>264</v>
      </c>
      <c r="C43" s="10" t="s">
        <v>519</v>
      </c>
      <c r="D43" s="38"/>
      <c r="E43" s="26"/>
      <c r="F43" s="25"/>
      <c r="G43" s="10" t="s">
        <v>271</v>
      </c>
      <c r="H43" s="10" t="s">
        <v>272</v>
      </c>
      <c r="I43" s="26"/>
      <c r="J43" s="26"/>
      <c r="K43" s="25"/>
      <c r="L43" s="40"/>
      <c r="M43" s="35"/>
    </row>
    <row r="44" spans="1:13" s="132" customFormat="1" ht="22" x14ac:dyDescent="0.15">
      <c r="A44" s="135"/>
      <c r="B44" s="115" t="s">
        <v>278</v>
      </c>
      <c r="C44" s="10" t="s">
        <v>520</v>
      </c>
      <c r="D44" s="38"/>
      <c r="E44" s="26"/>
      <c r="F44" s="25"/>
      <c r="G44" s="27" t="s">
        <v>281</v>
      </c>
      <c r="H44" s="10" t="s">
        <v>282</v>
      </c>
      <c r="I44" s="26"/>
      <c r="J44" s="26"/>
      <c r="K44" s="72"/>
      <c r="L44" s="40"/>
      <c r="M44" s="35"/>
    </row>
    <row r="45" spans="1:13" s="132" customFormat="1" ht="22" x14ac:dyDescent="0.15">
      <c r="A45" s="135"/>
      <c r="B45" s="115" t="s">
        <v>285</v>
      </c>
      <c r="C45" s="10" t="s">
        <v>521</v>
      </c>
      <c r="D45" s="38"/>
      <c r="E45" s="26"/>
      <c r="F45" s="25"/>
      <c r="G45" s="10" t="s">
        <v>291</v>
      </c>
      <c r="H45" s="10" t="s">
        <v>292</v>
      </c>
      <c r="I45" s="25"/>
      <c r="J45" s="26"/>
      <c r="K45" s="81"/>
      <c r="L45" s="40"/>
      <c r="M45" s="35"/>
    </row>
    <row r="46" spans="1:13" s="132" customFormat="1" ht="22" x14ac:dyDescent="0.15">
      <c r="A46" s="135"/>
      <c r="B46" s="115" t="s">
        <v>296</v>
      </c>
      <c r="C46" s="7" t="s">
        <v>522</v>
      </c>
      <c r="D46" s="38"/>
      <c r="E46" s="26"/>
      <c r="F46" s="25"/>
      <c r="G46" s="8" t="s">
        <v>297</v>
      </c>
      <c r="H46" s="27" t="s">
        <v>299</v>
      </c>
      <c r="I46" s="25"/>
      <c r="J46" s="26"/>
      <c r="K46" s="72"/>
      <c r="L46" s="40"/>
      <c r="M46" s="35"/>
    </row>
    <row r="47" spans="1:13" s="132" customFormat="1" ht="55" x14ac:dyDescent="0.15">
      <c r="A47" s="135"/>
      <c r="B47" s="115" t="s">
        <v>302</v>
      </c>
      <c r="C47" s="10" t="s">
        <v>516</v>
      </c>
      <c r="D47" s="38"/>
      <c r="E47" s="26"/>
      <c r="F47" s="25"/>
      <c r="G47" s="10" t="s">
        <v>304</v>
      </c>
      <c r="H47" s="10" t="s">
        <v>305</v>
      </c>
      <c r="I47" s="26"/>
      <c r="J47" s="26"/>
      <c r="K47" s="25"/>
      <c r="L47" s="40"/>
      <c r="M47" s="35"/>
    </row>
    <row r="48" spans="1:13" s="132" customFormat="1" ht="11" x14ac:dyDescent="0.15">
      <c r="A48" s="135"/>
      <c r="B48" s="115" t="s">
        <v>309</v>
      </c>
      <c r="C48" s="33">
        <v>500541</v>
      </c>
      <c r="D48" s="38"/>
      <c r="E48" s="26"/>
      <c r="F48" s="25"/>
      <c r="G48" s="33">
        <v>514382</v>
      </c>
      <c r="H48" s="33">
        <v>559739</v>
      </c>
      <c r="I48" s="26"/>
      <c r="J48" s="26"/>
      <c r="K48" s="25"/>
      <c r="L48" s="40"/>
      <c r="M48" s="35"/>
    </row>
    <row r="49" spans="1:13" s="132" customFormat="1" ht="22" x14ac:dyDescent="0.15">
      <c r="A49" s="136"/>
      <c r="B49" s="83" t="s">
        <v>313</v>
      </c>
      <c r="C49" s="10" t="s">
        <v>513</v>
      </c>
      <c r="D49" s="38"/>
      <c r="E49" s="26"/>
      <c r="F49" s="25"/>
      <c r="G49" s="10" t="s">
        <v>317</v>
      </c>
      <c r="H49" s="10" t="s">
        <v>318</v>
      </c>
      <c r="I49" s="26"/>
      <c r="J49" s="26"/>
      <c r="K49" s="25"/>
      <c r="L49" s="40"/>
      <c r="M49" s="35"/>
    </row>
    <row r="50" spans="1:13" s="132" customFormat="1" ht="22" x14ac:dyDescent="0.15">
      <c r="A50" s="115" t="s">
        <v>341</v>
      </c>
      <c r="B50" s="115" t="s">
        <v>342</v>
      </c>
      <c r="C50" s="11" t="s">
        <v>526</v>
      </c>
      <c r="D50" s="12" t="s">
        <v>538</v>
      </c>
      <c r="E50" s="12" t="s">
        <v>538</v>
      </c>
      <c r="F50" s="11" t="s">
        <v>526</v>
      </c>
      <c r="G50" s="10" t="s">
        <v>346</v>
      </c>
      <c r="H50" s="10" t="s">
        <v>349</v>
      </c>
      <c r="I50" s="12"/>
      <c r="J50" s="10" t="s">
        <v>538</v>
      </c>
      <c r="K50" s="10" t="s">
        <v>350</v>
      </c>
      <c r="L50" s="9" t="s">
        <v>351</v>
      </c>
      <c r="M50" s="10" t="s">
        <v>352</v>
      </c>
    </row>
    <row r="51" spans="1:13" s="132" customFormat="1" ht="242" x14ac:dyDescent="0.15">
      <c r="A51" s="134" t="s">
        <v>353</v>
      </c>
      <c r="B51" s="115" t="s">
        <v>354</v>
      </c>
      <c r="C51" s="11" t="s">
        <v>523</v>
      </c>
      <c r="D51" s="8" t="s">
        <v>356</v>
      </c>
      <c r="E51" s="8" t="s">
        <v>356</v>
      </c>
      <c r="F51" s="9" t="s">
        <v>649</v>
      </c>
      <c r="G51" s="9" t="s">
        <v>652</v>
      </c>
      <c r="H51" s="10" t="s">
        <v>117</v>
      </c>
      <c r="I51" s="133" t="s">
        <v>655</v>
      </c>
      <c r="J51" s="9" t="s">
        <v>358</v>
      </c>
      <c r="K51" s="10" t="s">
        <v>359</v>
      </c>
      <c r="L51" s="10" t="s">
        <v>360</v>
      </c>
      <c r="M51" s="131" t="s">
        <v>361</v>
      </c>
    </row>
    <row r="52" spans="1:13" s="132" customFormat="1" ht="88" x14ac:dyDescent="0.15">
      <c r="A52" s="135"/>
      <c r="B52" s="115" t="s">
        <v>362</v>
      </c>
      <c r="C52" s="11" t="s">
        <v>524</v>
      </c>
      <c r="D52" s="12" t="s">
        <v>363</v>
      </c>
      <c r="E52" s="10" t="s">
        <v>364</v>
      </c>
      <c r="F52" s="9" t="s">
        <v>366</v>
      </c>
      <c r="G52" s="9" t="s">
        <v>653</v>
      </c>
      <c r="H52" s="10" t="s">
        <v>367</v>
      </c>
      <c r="I52" s="10" t="s">
        <v>75</v>
      </c>
      <c r="J52" s="9" t="s">
        <v>368</v>
      </c>
      <c r="K52" s="49" t="s">
        <v>369</v>
      </c>
      <c r="L52" s="10" t="s">
        <v>360</v>
      </c>
      <c r="M52" s="125" t="s">
        <v>102</v>
      </c>
    </row>
    <row r="53" spans="1:13" s="132" customFormat="1" ht="66" x14ac:dyDescent="0.15">
      <c r="A53" s="135"/>
      <c r="B53" s="115" t="s">
        <v>370</v>
      </c>
      <c r="C53" s="18" t="s">
        <v>525</v>
      </c>
      <c r="D53" s="26"/>
      <c r="E53" s="25"/>
      <c r="F53" s="25"/>
      <c r="G53" s="9" t="s">
        <v>653</v>
      </c>
      <c r="H53" s="10" t="s">
        <v>371</v>
      </c>
      <c r="I53" s="26"/>
      <c r="J53" s="25"/>
      <c r="K53" s="82"/>
      <c r="L53" s="25"/>
      <c r="M53" s="25"/>
    </row>
    <row r="54" spans="1:13" s="132" customFormat="1" ht="99" x14ac:dyDescent="0.15">
      <c r="A54" s="136"/>
      <c r="B54" s="83" t="s">
        <v>372</v>
      </c>
      <c r="C54" s="125" t="s">
        <v>654</v>
      </c>
      <c r="D54" s="8" t="s">
        <v>373</v>
      </c>
      <c r="E54" s="10" t="s">
        <v>374</v>
      </c>
      <c r="F54" s="50" t="s">
        <v>376</v>
      </c>
      <c r="G54" s="50" t="s">
        <v>376</v>
      </c>
      <c r="H54" s="10" t="s">
        <v>378</v>
      </c>
      <c r="I54" s="9" t="s">
        <v>379</v>
      </c>
      <c r="J54" s="9" t="s">
        <v>380</v>
      </c>
      <c r="K54" s="53" t="s">
        <v>381</v>
      </c>
      <c r="L54" s="10" t="s">
        <v>382</v>
      </c>
      <c r="M54" s="125" t="s">
        <v>383</v>
      </c>
    </row>
    <row r="55" spans="1:13" s="132" customFormat="1" ht="11" x14ac:dyDescent="0.15"/>
    <row r="56" spans="1:13" s="132" customFormat="1" ht="11" x14ac:dyDescent="0.15"/>
    <row r="57" spans="1:13" s="132" customFormat="1" ht="11" x14ac:dyDescent="0.15"/>
    <row r="58" spans="1:13" s="132" customFormat="1" ht="11" x14ac:dyDescent="0.15"/>
    <row r="59" spans="1:13" s="132" customFormat="1" ht="11" x14ac:dyDescent="0.15"/>
    <row r="60" spans="1:13" s="132" customFormat="1" ht="11" x14ac:dyDescent="0.15"/>
    <row r="61" spans="1:13" s="132" customFormat="1" ht="11" x14ac:dyDescent="0.15"/>
    <row r="62" spans="1:13" s="132" customFormat="1" ht="11" x14ac:dyDescent="0.15"/>
    <row r="63" spans="1:13" s="132" customFormat="1" ht="11" x14ac:dyDescent="0.15"/>
    <row r="64" spans="1:13" s="132" customFormat="1" ht="11" x14ac:dyDescent="0.15"/>
    <row r="65" s="132" customFormat="1" ht="11" x14ac:dyDescent="0.15"/>
    <row r="66" s="132" customFormat="1" ht="11" x14ac:dyDescent="0.15"/>
    <row r="67" s="132" customFormat="1" ht="11" x14ac:dyDescent="0.15"/>
    <row r="68" s="132" customFormat="1" ht="11" x14ac:dyDescent="0.15"/>
    <row r="69" s="132" customFormat="1" ht="11" x14ac:dyDescent="0.15"/>
    <row r="70" s="132" customFormat="1" ht="11" x14ac:dyDescent="0.15"/>
    <row r="71" s="132" customFormat="1" ht="11" x14ac:dyDescent="0.15"/>
    <row r="72" s="132" customFormat="1" ht="11" x14ac:dyDescent="0.15"/>
    <row r="73" s="132" customFormat="1" ht="11" x14ac:dyDescent="0.15"/>
    <row r="74" s="132" customFormat="1" ht="11" x14ac:dyDescent="0.15"/>
    <row r="75" s="132" customFormat="1" ht="11" x14ac:dyDescent="0.15"/>
    <row r="76" s="132" customFormat="1" ht="11" x14ac:dyDescent="0.15"/>
    <row r="77" s="132" customFormat="1" ht="11" x14ac:dyDescent="0.15"/>
    <row r="78" s="132" customFormat="1" ht="11" x14ac:dyDescent="0.15"/>
    <row r="79" s="132" customFormat="1" ht="11" x14ac:dyDescent="0.15"/>
    <row r="80" s="132" customFormat="1" ht="11" x14ac:dyDescent="0.15"/>
    <row r="81" s="132" customFormat="1" ht="11" x14ac:dyDescent="0.15"/>
    <row r="82" s="132" customFormat="1" ht="11" x14ac:dyDescent="0.15"/>
    <row r="83" s="132" customFormat="1" ht="11" x14ac:dyDescent="0.15"/>
    <row r="84" s="132" customFormat="1" ht="11" x14ac:dyDescent="0.15"/>
  </sheetData>
  <mergeCells count="8">
    <mergeCell ref="A4:A9"/>
    <mergeCell ref="A38:A49"/>
    <mergeCell ref="A51:A54"/>
    <mergeCell ref="A10:A11"/>
    <mergeCell ref="A12:A13"/>
    <mergeCell ref="A18:A23"/>
    <mergeCell ref="A24:A37"/>
    <mergeCell ref="A14:A17"/>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
  <sheetViews>
    <sheetView zoomScale="75" zoomScaleNormal="50" zoomScalePageLayoutView="50" workbookViewId="0">
      <pane xSplit="2" ySplit="3" topLeftCell="C4" activePane="bottomRight" state="frozen"/>
      <selection pane="topRight" activeCell="C1" sqref="C1"/>
      <selection pane="bottomLeft" activeCell="A3" sqref="A3"/>
      <selection pane="bottomRight" activeCell="B10" sqref="B10"/>
    </sheetView>
  </sheetViews>
  <sheetFormatPr baseColWidth="10" defaultColWidth="8.83203125" defaultRowHeight="15" x14ac:dyDescent="0.2"/>
  <cols>
    <col min="1" max="2" width="18.5" customWidth="1"/>
    <col min="3" max="15" width="21" customWidth="1"/>
  </cols>
  <sheetData>
    <row r="1" spans="1:15" x14ac:dyDescent="0.2">
      <c r="A1" s="2" t="s">
        <v>552</v>
      </c>
    </row>
    <row r="2" spans="1:15" x14ac:dyDescent="0.2">
      <c r="A2" s="88" t="s">
        <v>549</v>
      </c>
    </row>
    <row r="3" spans="1:15" x14ac:dyDescent="0.2">
      <c r="A3" s="3"/>
      <c r="B3" s="4" t="s">
        <v>6</v>
      </c>
      <c r="C3" s="4" t="s">
        <v>8</v>
      </c>
      <c r="D3" s="4" t="s">
        <v>11</v>
      </c>
      <c r="E3" s="4" t="s">
        <v>12</v>
      </c>
      <c r="F3" s="4" t="s">
        <v>15</v>
      </c>
      <c r="G3" s="87" t="s">
        <v>384</v>
      </c>
      <c r="H3" s="4" t="s">
        <v>16</v>
      </c>
      <c r="I3" s="4" t="s">
        <v>17</v>
      </c>
      <c r="J3" s="58" t="s">
        <v>19</v>
      </c>
      <c r="K3" s="4" t="s">
        <v>385</v>
      </c>
      <c r="L3" s="4" t="s">
        <v>386</v>
      </c>
      <c r="M3" s="57" t="s">
        <v>387</v>
      </c>
      <c r="N3" s="59" t="s">
        <v>388</v>
      </c>
      <c r="O3" s="4" t="s">
        <v>389</v>
      </c>
    </row>
    <row r="4" spans="1:15" ht="33" x14ac:dyDescent="0.2">
      <c r="A4" s="134" t="s">
        <v>25</v>
      </c>
      <c r="B4" s="4" t="s">
        <v>26</v>
      </c>
      <c r="C4" s="7" t="s">
        <v>28</v>
      </c>
      <c r="D4" s="9" t="s">
        <v>29</v>
      </c>
      <c r="E4" s="9" t="s">
        <v>30</v>
      </c>
      <c r="F4" s="9" t="s">
        <v>27</v>
      </c>
      <c r="G4" s="9" t="s">
        <v>390</v>
      </c>
      <c r="H4" s="10" t="s">
        <v>31</v>
      </c>
      <c r="I4" s="9" t="s">
        <v>32</v>
      </c>
      <c r="J4" s="8" t="s">
        <v>28</v>
      </c>
      <c r="K4" s="8" t="s">
        <v>391</v>
      </c>
      <c r="L4" s="9" t="s">
        <v>27</v>
      </c>
      <c r="M4" s="10" t="s">
        <v>470</v>
      </c>
      <c r="N4" s="60" t="s">
        <v>392</v>
      </c>
      <c r="O4" s="8" t="s">
        <v>393</v>
      </c>
    </row>
    <row r="5" spans="1:15" x14ac:dyDescent="0.2">
      <c r="A5" s="139"/>
      <c r="B5" s="4" t="s">
        <v>37</v>
      </c>
      <c r="C5" s="10" t="s">
        <v>39</v>
      </c>
      <c r="D5" s="9" t="s">
        <v>40</v>
      </c>
      <c r="E5" s="9" t="s">
        <v>41</v>
      </c>
      <c r="F5" s="9" t="s">
        <v>38</v>
      </c>
      <c r="G5" s="9" t="s">
        <v>394</v>
      </c>
      <c r="H5" s="9" t="s">
        <v>42</v>
      </c>
      <c r="I5" s="9" t="s">
        <v>43</v>
      </c>
      <c r="J5" s="10" t="s">
        <v>476</v>
      </c>
      <c r="K5" s="8" t="s">
        <v>395</v>
      </c>
      <c r="L5" s="8" t="s">
        <v>38</v>
      </c>
      <c r="M5" s="10" t="s">
        <v>47</v>
      </c>
      <c r="N5" s="61" t="s">
        <v>396</v>
      </c>
      <c r="O5" s="10" t="s">
        <v>397</v>
      </c>
    </row>
    <row r="6" spans="1:15" ht="33" x14ac:dyDescent="0.2">
      <c r="A6" s="139"/>
      <c r="B6" s="4" t="s">
        <v>48</v>
      </c>
      <c r="C6" s="10" t="s">
        <v>49</v>
      </c>
      <c r="D6" s="9" t="s">
        <v>51</v>
      </c>
      <c r="E6" s="9" t="s">
        <v>52</v>
      </c>
      <c r="F6" s="9" t="s">
        <v>49</v>
      </c>
      <c r="G6" s="9" t="s">
        <v>49</v>
      </c>
      <c r="H6" s="10" t="s">
        <v>51</v>
      </c>
      <c r="I6" s="9" t="s">
        <v>51</v>
      </c>
      <c r="J6" s="9" t="s">
        <v>51</v>
      </c>
      <c r="K6" s="9" t="s">
        <v>51</v>
      </c>
      <c r="L6" s="9" t="s">
        <v>56</v>
      </c>
      <c r="M6" s="10" t="s">
        <v>51</v>
      </c>
      <c r="N6" s="14" t="s">
        <v>51</v>
      </c>
      <c r="O6" s="9" t="s">
        <v>398</v>
      </c>
    </row>
    <row r="7" spans="1:15" x14ac:dyDescent="0.2">
      <c r="A7" s="139"/>
      <c r="B7" s="4" t="s">
        <v>60</v>
      </c>
      <c r="C7" s="10" t="s">
        <v>62</v>
      </c>
      <c r="D7" s="9" t="s">
        <v>64</v>
      </c>
      <c r="E7" s="9" t="s">
        <v>65</v>
      </c>
      <c r="F7" s="9" t="s">
        <v>62</v>
      </c>
      <c r="G7" s="9" t="s">
        <v>399</v>
      </c>
      <c r="H7" s="10" t="s">
        <v>68</v>
      </c>
      <c r="I7" s="9" t="s">
        <v>69</v>
      </c>
      <c r="J7" s="9" t="s">
        <v>70</v>
      </c>
      <c r="K7" s="12" t="s">
        <v>400</v>
      </c>
      <c r="L7" s="8" t="s">
        <v>401</v>
      </c>
      <c r="M7" s="9" t="s">
        <v>488</v>
      </c>
      <c r="N7" s="61" t="s">
        <v>402</v>
      </c>
      <c r="O7" s="10" t="s">
        <v>403</v>
      </c>
    </row>
    <row r="8" spans="1:15" ht="110" x14ac:dyDescent="0.2">
      <c r="A8" s="139"/>
      <c r="B8" s="69" t="s">
        <v>498</v>
      </c>
      <c r="C8" s="10">
        <v>1319</v>
      </c>
      <c r="D8" s="9">
        <v>312</v>
      </c>
      <c r="E8" s="10">
        <v>282</v>
      </c>
      <c r="F8" s="10">
        <v>842</v>
      </c>
      <c r="G8" s="10">
        <v>1118</v>
      </c>
      <c r="H8" s="10">
        <v>685</v>
      </c>
      <c r="I8" s="9">
        <v>3187</v>
      </c>
      <c r="J8" s="10">
        <v>3701</v>
      </c>
      <c r="K8" s="18">
        <v>1525</v>
      </c>
      <c r="L8" s="16">
        <v>1113</v>
      </c>
      <c r="M8" s="10">
        <v>1337</v>
      </c>
      <c r="N8" s="61">
        <v>970</v>
      </c>
      <c r="O8" s="10">
        <v>1928</v>
      </c>
    </row>
    <row r="9" spans="1:15" ht="44" x14ac:dyDescent="0.2">
      <c r="A9" s="140"/>
      <c r="B9" s="4" t="s">
        <v>537</v>
      </c>
      <c r="C9" s="10" t="s">
        <v>77</v>
      </c>
      <c r="D9" s="10" t="s">
        <v>77</v>
      </c>
      <c r="E9" s="10" t="s">
        <v>77</v>
      </c>
      <c r="F9" s="9" t="s">
        <v>76</v>
      </c>
      <c r="G9" s="9" t="s">
        <v>77</v>
      </c>
      <c r="H9" s="9" t="s">
        <v>77</v>
      </c>
      <c r="I9" s="9" t="s">
        <v>76</v>
      </c>
      <c r="J9" s="8" t="s">
        <v>76</v>
      </c>
      <c r="K9" s="8" t="s">
        <v>77</v>
      </c>
      <c r="L9" s="8" t="s">
        <v>77</v>
      </c>
      <c r="M9" s="10" t="s">
        <v>77</v>
      </c>
      <c r="N9" s="61" t="s">
        <v>77</v>
      </c>
      <c r="O9" s="10" t="s">
        <v>77</v>
      </c>
    </row>
    <row r="10" spans="1:15" ht="88" x14ac:dyDescent="0.2">
      <c r="A10" s="137" t="s">
        <v>78</v>
      </c>
      <c r="B10" s="4" t="s">
        <v>79</v>
      </c>
      <c r="C10" s="10" t="s">
        <v>81</v>
      </c>
      <c r="D10" s="9" t="s">
        <v>83</v>
      </c>
      <c r="E10" s="9" t="s">
        <v>84</v>
      </c>
      <c r="F10" s="9" t="s">
        <v>86</v>
      </c>
      <c r="G10" s="10" t="s">
        <v>404</v>
      </c>
      <c r="H10" s="10" t="s">
        <v>87</v>
      </c>
      <c r="I10" s="9" t="s">
        <v>88</v>
      </c>
      <c r="J10" s="10" t="s">
        <v>89</v>
      </c>
      <c r="K10" s="12" t="s">
        <v>405</v>
      </c>
      <c r="L10" s="9" t="s">
        <v>406</v>
      </c>
      <c r="M10" s="10" t="s">
        <v>471</v>
      </c>
      <c r="N10" s="62" t="s">
        <v>407</v>
      </c>
      <c r="O10" s="9" t="s">
        <v>408</v>
      </c>
    </row>
    <row r="11" spans="1:15" ht="168" customHeight="1" x14ac:dyDescent="0.2">
      <c r="A11" s="137"/>
      <c r="B11" s="4" t="s">
        <v>95</v>
      </c>
      <c r="C11" s="10" t="s">
        <v>97</v>
      </c>
      <c r="D11" s="9" t="s">
        <v>75</v>
      </c>
      <c r="E11" s="10" t="s">
        <v>75</v>
      </c>
      <c r="F11" s="10" t="s">
        <v>100</v>
      </c>
      <c r="G11" s="10" t="s">
        <v>75</v>
      </c>
      <c r="H11" s="10" t="s">
        <v>75</v>
      </c>
      <c r="I11" s="116" t="s">
        <v>650</v>
      </c>
      <c r="J11" s="20" t="s">
        <v>117</v>
      </c>
      <c r="K11" s="44" t="s">
        <v>409</v>
      </c>
      <c r="L11" s="12" t="s">
        <v>410</v>
      </c>
      <c r="M11" s="9" t="s">
        <v>472</v>
      </c>
      <c r="N11" s="44" t="s">
        <v>411</v>
      </c>
      <c r="O11" s="10" t="s">
        <v>548</v>
      </c>
    </row>
    <row r="12" spans="1:15" ht="144" x14ac:dyDescent="0.2">
      <c r="A12" s="137" t="s">
        <v>103</v>
      </c>
      <c r="B12" s="4" t="s">
        <v>104</v>
      </c>
      <c r="C12" s="10" t="s">
        <v>105</v>
      </c>
      <c r="D12" s="9" t="s">
        <v>75</v>
      </c>
      <c r="E12" s="9" t="s">
        <v>84</v>
      </c>
      <c r="F12" s="9" t="s">
        <v>109</v>
      </c>
      <c r="G12" s="9" t="s">
        <v>412</v>
      </c>
      <c r="H12" s="10" t="s">
        <v>87</v>
      </c>
      <c r="I12" s="9" t="s">
        <v>88</v>
      </c>
      <c r="J12" s="20" t="s">
        <v>110</v>
      </c>
      <c r="K12" s="44" t="s">
        <v>413</v>
      </c>
      <c r="L12" s="8" t="s">
        <v>414</v>
      </c>
      <c r="M12" s="9" t="s">
        <v>473</v>
      </c>
      <c r="N12" s="44" t="s">
        <v>415</v>
      </c>
      <c r="O12" s="48" t="s">
        <v>416</v>
      </c>
    </row>
    <row r="13" spans="1:15" ht="154" x14ac:dyDescent="0.2">
      <c r="A13" s="137"/>
      <c r="B13" s="4" t="s">
        <v>114</v>
      </c>
      <c r="C13" s="10" t="s">
        <v>115</v>
      </c>
      <c r="D13" s="9" t="s">
        <v>75</v>
      </c>
      <c r="E13" s="10" t="s">
        <v>75</v>
      </c>
      <c r="F13" s="10" t="s">
        <v>100</v>
      </c>
      <c r="G13" s="10" t="s">
        <v>75</v>
      </c>
      <c r="H13" s="10" t="s">
        <v>116</v>
      </c>
      <c r="I13" s="116" t="s">
        <v>650</v>
      </c>
      <c r="J13" s="20" t="s">
        <v>117</v>
      </c>
      <c r="K13" s="44" t="s">
        <v>409</v>
      </c>
      <c r="L13" s="12" t="s">
        <v>410</v>
      </c>
      <c r="M13" s="9" t="s">
        <v>475</v>
      </c>
      <c r="N13" s="44" t="s">
        <v>417</v>
      </c>
      <c r="O13" s="10" t="s">
        <v>548</v>
      </c>
    </row>
    <row r="14" spans="1:15" ht="40.5" customHeight="1" x14ac:dyDescent="0.2">
      <c r="A14" s="138" t="s">
        <v>501</v>
      </c>
      <c r="B14" s="4" t="s">
        <v>119</v>
      </c>
      <c r="C14" s="10" t="s">
        <v>121</v>
      </c>
      <c r="D14" s="9" t="s">
        <v>75</v>
      </c>
      <c r="E14" s="17" t="s">
        <v>124</v>
      </c>
      <c r="F14" s="17" t="s">
        <v>127</v>
      </c>
      <c r="G14" s="17" t="s">
        <v>75</v>
      </c>
      <c r="H14" s="17" t="s">
        <v>128</v>
      </c>
      <c r="I14" s="19" t="s">
        <v>129</v>
      </c>
      <c r="J14" s="80" t="s">
        <v>477</v>
      </c>
      <c r="K14" s="17" t="s">
        <v>418</v>
      </c>
      <c r="L14" s="17" t="s">
        <v>419</v>
      </c>
      <c r="M14" s="10" t="s">
        <v>489</v>
      </c>
      <c r="N14" s="10" t="s">
        <v>420</v>
      </c>
      <c r="O14" s="10" t="s">
        <v>421</v>
      </c>
    </row>
    <row r="15" spans="1:15" ht="22" x14ac:dyDescent="0.2">
      <c r="A15" s="139"/>
      <c r="B15" s="4" t="s">
        <v>135</v>
      </c>
      <c r="C15" s="10" t="s">
        <v>136</v>
      </c>
      <c r="D15" s="9" t="s">
        <v>75</v>
      </c>
      <c r="E15" s="17" t="s">
        <v>75</v>
      </c>
      <c r="F15" s="17" t="s">
        <v>138</v>
      </c>
      <c r="G15" s="17" t="s">
        <v>75</v>
      </c>
      <c r="H15" s="17" t="s">
        <v>139</v>
      </c>
      <c r="I15" s="19" t="s">
        <v>140</v>
      </c>
      <c r="J15" s="80" t="s">
        <v>478</v>
      </c>
      <c r="K15" s="17" t="s">
        <v>422</v>
      </c>
      <c r="L15" s="17" t="s">
        <v>75</v>
      </c>
      <c r="M15" s="10" t="s">
        <v>490</v>
      </c>
      <c r="N15" s="10" t="s">
        <v>423</v>
      </c>
      <c r="O15" s="10" t="s">
        <v>424</v>
      </c>
    </row>
    <row r="16" spans="1:15" ht="33" x14ac:dyDescent="0.2">
      <c r="A16" s="139"/>
      <c r="B16" s="4" t="s">
        <v>500</v>
      </c>
      <c r="C16" s="10" t="s">
        <v>75</v>
      </c>
      <c r="D16" s="9" t="s">
        <v>75</v>
      </c>
      <c r="E16" s="17" t="s">
        <v>75</v>
      </c>
      <c r="F16" s="17" t="s">
        <v>502</v>
      </c>
      <c r="G16" s="17" t="s">
        <v>75</v>
      </c>
      <c r="H16" s="17" t="s">
        <v>503</v>
      </c>
      <c r="I16" s="19" t="s">
        <v>75</v>
      </c>
      <c r="J16" s="17" t="s">
        <v>504</v>
      </c>
      <c r="K16" s="17" t="s">
        <v>75</v>
      </c>
      <c r="L16" s="17" t="s">
        <v>75</v>
      </c>
      <c r="M16" s="10" t="s">
        <v>75</v>
      </c>
      <c r="N16" s="64" t="s">
        <v>75</v>
      </c>
      <c r="O16" s="10" t="s">
        <v>75</v>
      </c>
    </row>
    <row r="17" spans="1:15" ht="44" x14ac:dyDescent="0.2">
      <c r="A17" s="140"/>
      <c r="B17" s="4" t="s">
        <v>143</v>
      </c>
      <c r="C17" s="17">
        <v>0.156</v>
      </c>
      <c r="D17" s="9" t="s">
        <v>75</v>
      </c>
      <c r="E17" s="17">
        <v>0.128</v>
      </c>
      <c r="F17" s="17">
        <v>0.13</v>
      </c>
      <c r="G17" s="17" t="s">
        <v>75</v>
      </c>
      <c r="H17" s="22">
        <v>8.8800000000000004E-2</v>
      </c>
      <c r="I17" s="19">
        <v>0.27100000000000002</v>
      </c>
      <c r="J17" s="17">
        <v>0.15</v>
      </c>
      <c r="K17" s="17">
        <v>0.18540000000000001</v>
      </c>
      <c r="L17" s="17" t="s">
        <v>425</v>
      </c>
      <c r="M17" s="22">
        <v>0.34599999999999997</v>
      </c>
      <c r="N17" s="63">
        <v>0.189</v>
      </c>
      <c r="O17" s="22">
        <v>0.1666</v>
      </c>
    </row>
    <row r="18" spans="1:15" ht="22" x14ac:dyDescent="0.2">
      <c r="A18" s="134" t="s">
        <v>144</v>
      </c>
      <c r="B18" s="4" t="s">
        <v>145</v>
      </c>
      <c r="C18" s="10" t="s">
        <v>147</v>
      </c>
      <c r="D18" s="9" t="s">
        <v>148</v>
      </c>
      <c r="E18" s="10" t="s">
        <v>149</v>
      </c>
      <c r="F18" s="10" t="s">
        <v>152</v>
      </c>
      <c r="G18" s="10" t="s">
        <v>75</v>
      </c>
      <c r="H18" s="10" t="s">
        <v>153</v>
      </c>
      <c r="I18" s="9" t="s">
        <v>154</v>
      </c>
      <c r="J18" s="12" t="s">
        <v>479</v>
      </c>
      <c r="K18" s="12" t="s">
        <v>426</v>
      </c>
      <c r="L18" s="12" t="s">
        <v>427</v>
      </c>
      <c r="M18" s="10" t="s">
        <v>491</v>
      </c>
      <c r="N18" s="61" t="s">
        <v>428</v>
      </c>
      <c r="O18" s="10" t="s">
        <v>429</v>
      </c>
    </row>
    <row r="19" spans="1:15" ht="22" x14ac:dyDescent="0.2">
      <c r="A19" s="139"/>
      <c r="B19" s="4" t="s">
        <v>157</v>
      </c>
      <c r="C19" s="10" t="s">
        <v>159</v>
      </c>
      <c r="D19" s="9" t="s">
        <v>75</v>
      </c>
      <c r="E19" s="10" t="s">
        <v>161</v>
      </c>
      <c r="F19" s="10" t="s">
        <v>164</v>
      </c>
      <c r="G19" s="10" t="s">
        <v>75</v>
      </c>
      <c r="H19" s="10" t="s">
        <v>165</v>
      </c>
      <c r="I19" s="9" t="s">
        <v>158</v>
      </c>
      <c r="J19" s="12" t="s">
        <v>158</v>
      </c>
      <c r="K19" s="12" t="s">
        <v>430</v>
      </c>
      <c r="L19" s="12" t="s">
        <v>431</v>
      </c>
      <c r="M19" s="10" t="s">
        <v>492</v>
      </c>
      <c r="N19" s="61" t="s">
        <v>432</v>
      </c>
      <c r="O19" s="10" t="s">
        <v>433</v>
      </c>
    </row>
    <row r="20" spans="1:15" x14ac:dyDescent="0.2">
      <c r="A20" s="139"/>
      <c r="B20" s="4" t="s">
        <v>170</v>
      </c>
      <c r="C20" s="10" t="s">
        <v>172</v>
      </c>
      <c r="D20" s="9" t="s">
        <v>75</v>
      </c>
      <c r="E20" s="10" t="s">
        <v>173</v>
      </c>
      <c r="F20" s="10" t="s">
        <v>175</v>
      </c>
      <c r="G20" s="10" t="s">
        <v>75</v>
      </c>
      <c r="H20" s="10" t="s">
        <v>176</v>
      </c>
      <c r="I20" s="9" t="s">
        <v>177</v>
      </c>
      <c r="J20" s="12" t="s">
        <v>480</v>
      </c>
      <c r="K20" s="12" t="s">
        <v>434</v>
      </c>
      <c r="L20" s="12" t="s">
        <v>75</v>
      </c>
      <c r="M20" s="10" t="s">
        <v>493</v>
      </c>
      <c r="N20" s="61" t="s">
        <v>435</v>
      </c>
      <c r="O20" s="10" t="s">
        <v>436</v>
      </c>
    </row>
    <row r="21" spans="1:15" ht="22" x14ac:dyDescent="0.2">
      <c r="A21" s="139"/>
      <c r="B21" s="4" t="s">
        <v>181</v>
      </c>
      <c r="C21" s="10" t="s">
        <v>183</v>
      </c>
      <c r="D21" s="9" t="s">
        <v>75</v>
      </c>
      <c r="E21" s="10" t="s">
        <v>184</v>
      </c>
      <c r="F21" s="10" t="s">
        <v>187</v>
      </c>
      <c r="G21" s="10" t="s">
        <v>75</v>
      </c>
      <c r="H21" s="10" t="s">
        <v>188</v>
      </c>
      <c r="I21" s="9" t="s">
        <v>189</v>
      </c>
      <c r="J21" s="13" t="s">
        <v>481</v>
      </c>
      <c r="K21" s="12" t="s">
        <v>437</v>
      </c>
      <c r="L21" s="12" t="s">
        <v>75</v>
      </c>
      <c r="M21" s="10" t="s">
        <v>494</v>
      </c>
      <c r="N21" s="61" t="s">
        <v>438</v>
      </c>
      <c r="O21" s="10" t="s">
        <v>439</v>
      </c>
    </row>
    <row r="22" spans="1:15" ht="22" x14ac:dyDescent="0.2">
      <c r="A22" s="139"/>
      <c r="B22" s="4" t="s">
        <v>193</v>
      </c>
      <c r="C22" s="10" t="s">
        <v>195</v>
      </c>
      <c r="D22" s="9" t="s">
        <v>75</v>
      </c>
      <c r="E22" s="10" t="s">
        <v>196</v>
      </c>
      <c r="F22" s="10" t="s">
        <v>194</v>
      </c>
      <c r="G22" s="10" t="s">
        <v>75</v>
      </c>
      <c r="H22" s="10" t="s">
        <v>198</v>
      </c>
      <c r="I22" s="9" t="s">
        <v>199</v>
      </c>
      <c r="J22" s="12" t="s">
        <v>482</v>
      </c>
      <c r="K22" s="12" t="s">
        <v>440</v>
      </c>
      <c r="L22" s="12" t="s">
        <v>441</v>
      </c>
      <c r="M22" s="10" t="s">
        <v>495</v>
      </c>
      <c r="N22" s="61" t="s">
        <v>442</v>
      </c>
      <c r="O22" s="10" t="s">
        <v>443</v>
      </c>
    </row>
    <row r="23" spans="1:15" x14ac:dyDescent="0.2">
      <c r="A23" s="140"/>
      <c r="B23" s="4" t="s">
        <v>201</v>
      </c>
      <c r="C23" s="17">
        <v>0.53600000000000003</v>
      </c>
      <c r="D23" s="9" t="s">
        <v>75</v>
      </c>
      <c r="E23" s="17">
        <v>0.63200000000000001</v>
      </c>
      <c r="F23" s="17">
        <v>0.498</v>
      </c>
      <c r="G23" s="17" t="s">
        <v>75</v>
      </c>
      <c r="H23" s="17">
        <v>0.47499999999999998</v>
      </c>
      <c r="I23" s="19">
        <v>0.58699999999999997</v>
      </c>
      <c r="J23" s="17">
        <v>0.5</v>
      </c>
      <c r="K23" s="17">
        <v>0.55900000000000005</v>
      </c>
      <c r="L23" s="17">
        <v>0.67</v>
      </c>
      <c r="M23" s="22">
        <v>0.4793</v>
      </c>
      <c r="N23" s="64">
        <v>0.40200000000000002</v>
      </c>
      <c r="O23" s="22">
        <v>0.47410000000000002</v>
      </c>
    </row>
    <row r="24" spans="1:15" ht="22" x14ac:dyDescent="0.2">
      <c r="A24" s="138" t="s">
        <v>202</v>
      </c>
      <c r="B24" s="4" t="s">
        <v>203</v>
      </c>
      <c r="C24" s="10" t="s">
        <v>204</v>
      </c>
      <c r="D24" s="9" t="s">
        <v>207</v>
      </c>
      <c r="E24" s="9" t="s">
        <v>208</v>
      </c>
      <c r="F24" s="25"/>
      <c r="G24" s="10" t="s">
        <v>444</v>
      </c>
      <c r="H24" s="25"/>
      <c r="I24" s="25"/>
      <c r="J24" s="26"/>
      <c r="K24" s="26"/>
      <c r="L24" s="76"/>
      <c r="M24" s="25"/>
      <c r="N24" s="25"/>
      <c r="O24" s="25"/>
    </row>
    <row r="25" spans="1:15" ht="33" x14ac:dyDescent="0.2">
      <c r="A25" s="139"/>
      <c r="B25" s="4" t="s">
        <v>217</v>
      </c>
      <c r="C25" s="10" t="s">
        <v>218</v>
      </c>
      <c r="D25" s="9" t="s">
        <v>221</v>
      </c>
      <c r="E25" s="9" t="s">
        <v>222</v>
      </c>
      <c r="F25" s="25"/>
      <c r="G25" s="10" t="s">
        <v>445</v>
      </c>
      <c r="H25" s="25"/>
      <c r="I25" s="25"/>
      <c r="J25" s="26"/>
      <c r="K25" s="26"/>
      <c r="L25" s="76"/>
      <c r="M25" s="25"/>
      <c r="N25" s="25"/>
      <c r="O25" s="25"/>
    </row>
    <row r="26" spans="1:15" x14ac:dyDescent="0.2">
      <c r="A26" s="139"/>
      <c r="B26" s="4" t="s">
        <v>231</v>
      </c>
      <c r="C26" s="10" t="s">
        <v>232</v>
      </c>
      <c r="D26" s="9" t="s">
        <v>235</v>
      </c>
      <c r="E26" s="9" t="s">
        <v>236</v>
      </c>
      <c r="F26" s="25"/>
      <c r="G26" s="10" t="s">
        <v>446</v>
      </c>
      <c r="H26" s="25"/>
      <c r="I26" s="25"/>
      <c r="J26" s="26"/>
      <c r="K26" s="26"/>
      <c r="L26" s="76"/>
      <c r="M26" s="25"/>
      <c r="N26" s="25"/>
      <c r="O26" s="25"/>
    </row>
    <row r="27" spans="1:15" x14ac:dyDescent="0.2">
      <c r="A27" s="139"/>
      <c r="B27" s="4" t="s">
        <v>243</v>
      </c>
      <c r="C27" s="10" t="s">
        <v>244</v>
      </c>
      <c r="D27" s="9" t="s">
        <v>247</v>
      </c>
      <c r="E27" s="10" t="s">
        <v>248</v>
      </c>
      <c r="F27" s="25"/>
      <c r="G27" s="54" t="s">
        <v>447</v>
      </c>
      <c r="H27" s="25"/>
      <c r="I27" s="77"/>
      <c r="J27" s="26"/>
      <c r="K27" s="26"/>
      <c r="L27" s="26"/>
      <c r="M27" s="72"/>
      <c r="N27" s="72"/>
      <c r="O27" s="72"/>
    </row>
    <row r="28" spans="1:15" ht="22" x14ac:dyDescent="0.2">
      <c r="A28" s="139"/>
      <c r="B28" s="4" t="s">
        <v>255</v>
      </c>
      <c r="C28" s="10" t="s">
        <v>256</v>
      </c>
      <c r="D28" s="9" t="s">
        <v>75</v>
      </c>
      <c r="E28" s="10" t="s">
        <v>258</v>
      </c>
      <c r="F28" s="25"/>
      <c r="G28" s="24" t="s">
        <v>448</v>
      </c>
      <c r="H28" s="25"/>
      <c r="I28" s="25"/>
      <c r="J28" s="26"/>
      <c r="K28" s="26"/>
      <c r="L28" s="26"/>
      <c r="M28" s="25"/>
      <c r="N28" s="25"/>
      <c r="O28" s="25"/>
    </row>
    <row r="29" spans="1:15" ht="33" x14ac:dyDescent="0.2">
      <c r="A29" s="139"/>
      <c r="B29" s="4" t="s">
        <v>264</v>
      </c>
      <c r="C29" s="10" t="s">
        <v>265</v>
      </c>
      <c r="D29" s="9" t="s">
        <v>268</v>
      </c>
      <c r="E29" s="10" t="s">
        <v>269</v>
      </c>
      <c r="F29" s="25"/>
      <c r="G29" s="10" t="s">
        <v>75</v>
      </c>
      <c r="H29" s="25"/>
      <c r="I29" s="25"/>
      <c r="J29" s="26"/>
      <c r="K29" s="26"/>
      <c r="L29" s="26"/>
      <c r="M29" s="25"/>
      <c r="N29" s="25"/>
      <c r="O29" s="25"/>
    </row>
    <row r="30" spans="1:15" ht="22" x14ac:dyDescent="0.2">
      <c r="A30" s="139"/>
      <c r="B30" s="4" t="s">
        <v>278</v>
      </c>
      <c r="C30" s="27" t="s">
        <v>75</v>
      </c>
      <c r="D30" s="9" t="s">
        <v>279</v>
      </c>
      <c r="E30" s="10" t="s">
        <v>280</v>
      </c>
      <c r="F30" s="72"/>
      <c r="G30" s="27" t="s">
        <v>449</v>
      </c>
      <c r="H30" s="72"/>
      <c r="I30" s="25"/>
      <c r="J30" s="26"/>
      <c r="K30" s="26"/>
      <c r="L30" s="26"/>
      <c r="M30" s="25"/>
      <c r="N30" s="25"/>
      <c r="O30" s="25"/>
    </row>
    <row r="31" spans="1:15" ht="22" x14ac:dyDescent="0.2">
      <c r="A31" s="139"/>
      <c r="B31" s="4" t="s">
        <v>285</v>
      </c>
      <c r="C31" s="27" t="s">
        <v>75</v>
      </c>
      <c r="D31" s="9" t="s">
        <v>288</v>
      </c>
      <c r="E31" s="30" t="s">
        <v>289</v>
      </c>
      <c r="F31" s="25"/>
      <c r="G31" s="10" t="s">
        <v>289</v>
      </c>
      <c r="H31" s="25"/>
      <c r="I31" s="25"/>
      <c r="J31" s="26"/>
      <c r="K31" s="26"/>
      <c r="L31" s="26"/>
      <c r="M31" s="25"/>
      <c r="N31" s="25"/>
      <c r="O31" s="25"/>
    </row>
    <row r="32" spans="1:15" ht="22" x14ac:dyDescent="0.2">
      <c r="A32" s="139"/>
      <c r="B32" s="4" t="s">
        <v>296</v>
      </c>
      <c r="C32" s="27" t="s">
        <v>75</v>
      </c>
      <c r="D32" s="9" t="s">
        <v>250</v>
      </c>
      <c r="E32" s="10" t="s">
        <v>297</v>
      </c>
      <c r="F32" s="25"/>
      <c r="G32" s="10" t="s">
        <v>546</v>
      </c>
      <c r="H32" s="25"/>
      <c r="I32" s="25"/>
      <c r="J32" s="26"/>
      <c r="K32" s="26"/>
      <c r="L32" s="26"/>
      <c r="M32" s="25"/>
      <c r="N32" s="25"/>
      <c r="O32" s="25"/>
    </row>
    <row r="33" spans="1:15" ht="22" x14ac:dyDescent="0.2">
      <c r="A33" s="139"/>
      <c r="B33" s="4" t="s">
        <v>302</v>
      </c>
      <c r="C33" s="27" t="s">
        <v>75</v>
      </c>
      <c r="D33" s="9" t="s">
        <v>75</v>
      </c>
      <c r="E33" s="10" t="s">
        <v>275</v>
      </c>
      <c r="F33" s="25"/>
      <c r="G33" s="10" t="s">
        <v>75</v>
      </c>
      <c r="H33" s="25"/>
      <c r="I33" s="25"/>
      <c r="J33" s="26"/>
      <c r="K33" s="26"/>
      <c r="L33" s="78"/>
      <c r="M33" s="79"/>
      <c r="N33" s="79"/>
      <c r="O33" s="79"/>
    </row>
    <row r="34" spans="1:15" ht="54.75" customHeight="1" x14ac:dyDescent="0.2">
      <c r="A34" s="139"/>
      <c r="B34" s="4" t="s">
        <v>309</v>
      </c>
      <c r="C34" s="27" t="s">
        <v>75</v>
      </c>
      <c r="D34" s="34">
        <v>513518</v>
      </c>
      <c r="E34" s="33">
        <v>486373</v>
      </c>
      <c r="F34" s="35"/>
      <c r="G34" s="55">
        <v>385958</v>
      </c>
      <c r="H34" s="35"/>
      <c r="I34" s="35"/>
      <c r="J34" s="35"/>
      <c r="K34" s="35"/>
      <c r="L34" s="35"/>
      <c r="M34" s="35"/>
      <c r="N34" s="35"/>
      <c r="O34" s="35"/>
    </row>
    <row r="35" spans="1:15" ht="22" x14ac:dyDescent="0.2">
      <c r="A35" s="139"/>
      <c r="B35" s="4" t="s">
        <v>313</v>
      </c>
      <c r="C35" s="27" t="s">
        <v>75</v>
      </c>
      <c r="D35" s="8" t="s">
        <v>314</v>
      </c>
      <c r="E35" s="10" t="s">
        <v>315</v>
      </c>
      <c r="F35" s="25"/>
      <c r="G35" s="10" t="s">
        <v>450</v>
      </c>
      <c r="H35" s="25"/>
      <c r="I35" s="25"/>
      <c r="J35" s="26"/>
      <c r="K35" s="26"/>
      <c r="L35" s="26"/>
      <c r="M35" s="40"/>
      <c r="N35" s="40"/>
      <c r="O35" s="40"/>
    </row>
    <row r="36" spans="1:15" ht="22" x14ac:dyDescent="0.2">
      <c r="A36" s="139"/>
      <c r="B36" s="4" t="s">
        <v>324</v>
      </c>
      <c r="C36" s="33" t="s">
        <v>75</v>
      </c>
      <c r="D36" s="34">
        <v>2546219</v>
      </c>
      <c r="E36" s="33" t="s">
        <v>75</v>
      </c>
      <c r="F36" s="35"/>
      <c r="G36" s="33">
        <v>2608194</v>
      </c>
      <c r="H36" s="35"/>
      <c r="I36" s="35"/>
      <c r="J36" s="35"/>
      <c r="K36" s="26"/>
      <c r="L36" s="26"/>
      <c r="M36" s="35"/>
      <c r="N36" s="40"/>
      <c r="O36" s="40"/>
    </row>
    <row r="37" spans="1:15" ht="33" x14ac:dyDescent="0.2">
      <c r="A37" s="140"/>
      <c r="B37" s="4" t="s">
        <v>325</v>
      </c>
      <c r="C37" s="27" t="s">
        <v>75</v>
      </c>
      <c r="D37" s="9" t="s">
        <v>75</v>
      </c>
      <c r="E37" s="10" t="s">
        <v>75</v>
      </c>
      <c r="F37" s="25"/>
      <c r="G37" s="10" t="s">
        <v>75</v>
      </c>
      <c r="H37" s="25"/>
      <c r="I37" s="25"/>
      <c r="J37" s="26"/>
      <c r="K37" s="26"/>
      <c r="L37" s="26"/>
      <c r="M37" s="40"/>
      <c r="N37" s="40"/>
      <c r="O37" s="40"/>
    </row>
    <row r="38" spans="1:15" ht="33" x14ac:dyDescent="0.2">
      <c r="A38" s="138" t="s">
        <v>326</v>
      </c>
      <c r="B38" s="4" t="s">
        <v>327</v>
      </c>
      <c r="C38" s="25"/>
      <c r="D38" s="25"/>
      <c r="E38" s="25"/>
      <c r="F38" s="10" t="s">
        <v>328</v>
      </c>
      <c r="G38" s="25"/>
      <c r="H38" s="10" t="s">
        <v>329</v>
      </c>
      <c r="I38" s="10" t="s">
        <v>328</v>
      </c>
      <c r="J38" s="10" t="s">
        <v>328</v>
      </c>
      <c r="K38" s="10" t="s">
        <v>328</v>
      </c>
      <c r="L38" s="12" t="s">
        <v>451</v>
      </c>
      <c r="M38" s="12" t="s">
        <v>451</v>
      </c>
      <c r="N38" s="10" t="s">
        <v>328</v>
      </c>
      <c r="O38" s="10" t="s">
        <v>328</v>
      </c>
    </row>
    <row r="39" spans="1:15" ht="22" x14ac:dyDescent="0.2">
      <c r="A39" s="139"/>
      <c r="B39" s="4" t="s">
        <v>330</v>
      </c>
      <c r="C39" s="25"/>
      <c r="D39" s="25"/>
      <c r="E39" s="25"/>
      <c r="F39" s="10" t="s">
        <v>531</v>
      </c>
      <c r="G39" s="25"/>
      <c r="H39" s="39" t="s">
        <v>331</v>
      </c>
      <c r="I39" s="41" t="s">
        <v>545</v>
      </c>
      <c r="J39" s="42" t="s">
        <v>486</v>
      </c>
      <c r="K39" s="12" t="s">
        <v>452</v>
      </c>
      <c r="L39" s="12" t="s">
        <v>544</v>
      </c>
      <c r="M39" s="65" t="s">
        <v>474</v>
      </c>
      <c r="N39" s="12" t="s">
        <v>453</v>
      </c>
      <c r="O39" s="18" t="s">
        <v>454</v>
      </c>
    </row>
    <row r="40" spans="1:15" ht="33" x14ac:dyDescent="0.2">
      <c r="A40" s="139"/>
      <c r="B40" s="4" t="s">
        <v>332</v>
      </c>
      <c r="C40" s="25"/>
      <c r="D40" s="25"/>
      <c r="E40" s="25"/>
      <c r="F40" s="10" t="s">
        <v>77</v>
      </c>
      <c r="G40" s="25"/>
      <c r="H40" s="39" t="s">
        <v>76</v>
      </c>
      <c r="I40" s="10" t="s">
        <v>77</v>
      </c>
      <c r="J40" s="42" t="s">
        <v>484</v>
      </c>
      <c r="K40" s="12" t="s">
        <v>77</v>
      </c>
      <c r="L40" s="12" t="s">
        <v>455</v>
      </c>
      <c r="M40" s="65" t="s">
        <v>77</v>
      </c>
      <c r="N40" s="12" t="s">
        <v>77</v>
      </c>
      <c r="O40" s="18" t="s">
        <v>77</v>
      </c>
    </row>
    <row r="41" spans="1:15" ht="33" x14ac:dyDescent="0.2">
      <c r="A41" s="140"/>
      <c r="B41" s="4" t="s">
        <v>333</v>
      </c>
      <c r="C41" s="25"/>
      <c r="D41" s="25"/>
      <c r="E41" s="25"/>
      <c r="F41" s="10" t="s">
        <v>530</v>
      </c>
      <c r="G41" s="25"/>
      <c r="H41" s="43">
        <v>1</v>
      </c>
      <c r="I41" s="22">
        <v>0.998</v>
      </c>
      <c r="J41" s="42" t="s">
        <v>485</v>
      </c>
      <c r="K41" s="12" t="s">
        <v>456</v>
      </c>
      <c r="L41" s="12" t="s">
        <v>457</v>
      </c>
      <c r="M41" s="66" t="s">
        <v>0</v>
      </c>
      <c r="N41" s="12" t="s">
        <v>458</v>
      </c>
      <c r="O41" s="18" t="s">
        <v>459</v>
      </c>
    </row>
    <row r="42" spans="1:15" ht="22" x14ac:dyDescent="0.2">
      <c r="A42" s="134" t="s">
        <v>334</v>
      </c>
      <c r="B42" s="4" t="s">
        <v>203</v>
      </c>
      <c r="C42" s="25"/>
      <c r="D42" s="25"/>
      <c r="E42" s="25"/>
      <c r="F42" s="25"/>
      <c r="G42" s="25"/>
      <c r="H42" s="25"/>
      <c r="I42" s="44" t="s">
        <v>335</v>
      </c>
      <c r="J42" s="26"/>
      <c r="K42" s="26"/>
      <c r="L42" s="26"/>
      <c r="M42" s="40"/>
      <c r="N42" s="40"/>
      <c r="O42" s="40"/>
    </row>
    <row r="43" spans="1:15" ht="34" x14ac:dyDescent="0.2">
      <c r="A43" s="139"/>
      <c r="B43" s="4" t="s">
        <v>217</v>
      </c>
      <c r="C43" s="25"/>
      <c r="D43" s="25"/>
      <c r="E43" s="25"/>
      <c r="F43" s="25"/>
      <c r="G43" s="25"/>
      <c r="H43" s="25"/>
      <c r="I43" s="44" t="s">
        <v>336</v>
      </c>
      <c r="J43" s="26"/>
      <c r="K43" s="26"/>
      <c r="L43" s="26"/>
      <c r="M43" s="40"/>
      <c r="N43" s="40"/>
      <c r="O43" s="40"/>
    </row>
    <row r="44" spans="1:15" x14ac:dyDescent="0.2">
      <c r="A44" s="139"/>
      <c r="B44" s="4" t="s">
        <v>231</v>
      </c>
      <c r="C44" s="25"/>
      <c r="D44" s="25"/>
      <c r="E44" s="25"/>
      <c r="F44" s="25"/>
      <c r="G44" s="25"/>
      <c r="H44" s="25"/>
      <c r="I44" s="44" t="s">
        <v>337</v>
      </c>
      <c r="J44" s="26"/>
      <c r="K44" s="26"/>
      <c r="L44" s="26"/>
      <c r="M44" s="40"/>
      <c r="N44" s="40"/>
      <c r="O44" s="40"/>
    </row>
    <row r="45" spans="1:15" x14ac:dyDescent="0.2">
      <c r="A45" s="139"/>
      <c r="B45" s="4" t="s">
        <v>243</v>
      </c>
      <c r="C45" s="25"/>
      <c r="D45" s="25"/>
      <c r="E45" s="25"/>
      <c r="F45" s="25"/>
      <c r="G45" s="25"/>
      <c r="H45" s="25"/>
      <c r="I45" s="45">
        <v>0.97499999999999998</v>
      </c>
      <c r="J45" s="26"/>
      <c r="K45" s="26"/>
      <c r="L45" s="26"/>
      <c r="M45" s="40"/>
      <c r="N45" s="40"/>
      <c r="O45" s="40"/>
    </row>
    <row r="46" spans="1:15" x14ac:dyDescent="0.2">
      <c r="A46" s="139"/>
      <c r="B46" s="4" t="s">
        <v>255</v>
      </c>
      <c r="C46" s="25"/>
      <c r="D46" s="25"/>
      <c r="E46" s="25"/>
      <c r="F46" s="25"/>
      <c r="G46" s="25"/>
      <c r="H46" s="25"/>
      <c r="I46" s="46" t="s">
        <v>338</v>
      </c>
      <c r="J46" s="26"/>
      <c r="K46" s="26"/>
      <c r="L46" s="26"/>
      <c r="M46" s="40"/>
      <c r="N46" s="40"/>
      <c r="O46" s="40"/>
    </row>
    <row r="47" spans="1:15" ht="22" x14ac:dyDescent="0.2">
      <c r="A47" s="139"/>
      <c r="B47" s="4" t="s">
        <v>264</v>
      </c>
      <c r="C47" s="25"/>
      <c r="D47" s="25"/>
      <c r="E47" s="25"/>
      <c r="F47" s="25"/>
      <c r="G47" s="25"/>
      <c r="H47" s="25"/>
      <c r="I47" s="46" t="s">
        <v>339</v>
      </c>
      <c r="J47" s="26"/>
      <c r="K47" s="26"/>
      <c r="L47" s="26"/>
      <c r="M47" s="40"/>
      <c r="N47" s="40"/>
      <c r="O47" s="40"/>
    </row>
    <row r="48" spans="1:15" ht="22" x14ac:dyDescent="0.2">
      <c r="A48" s="139"/>
      <c r="B48" s="4" t="s">
        <v>278</v>
      </c>
      <c r="C48" s="72"/>
      <c r="D48" s="25"/>
      <c r="E48" s="25"/>
      <c r="F48" s="25"/>
      <c r="G48" s="25"/>
      <c r="H48" s="25"/>
      <c r="I48" s="44" t="s">
        <v>279</v>
      </c>
      <c r="J48" s="26"/>
      <c r="K48" s="26"/>
      <c r="L48" s="26"/>
      <c r="M48" s="40"/>
      <c r="N48" s="40"/>
      <c r="O48" s="40"/>
    </row>
    <row r="49" spans="1:15" ht="22" x14ac:dyDescent="0.2">
      <c r="A49" s="139"/>
      <c r="B49" s="4" t="s">
        <v>285</v>
      </c>
      <c r="C49" s="72"/>
      <c r="D49" s="25"/>
      <c r="E49" s="73"/>
      <c r="F49" s="25"/>
      <c r="G49" s="25"/>
      <c r="H49" s="25"/>
      <c r="I49" s="44" t="s">
        <v>288</v>
      </c>
      <c r="J49" s="26"/>
      <c r="K49" s="26"/>
      <c r="L49" s="26"/>
      <c r="M49" s="40"/>
      <c r="N49" s="40"/>
      <c r="O49" s="40"/>
    </row>
    <row r="50" spans="1:15" ht="22" x14ac:dyDescent="0.2">
      <c r="A50" s="139"/>
      <c r="B50" s="4" t="s">
        <v>296</v>
      </c>
      <c r="C50" s="72"/>
      <c r="D50" s="25"/>
      <c r="E50" s="25"/>
      <c r="F50" s="25"/>
      <c r="G50" s="25"/>
      <c r="H50" s="25"/>
      <c r="I50" s="44" t="s">
        <v>487</v>
      </c>
      <c r="J50" s="26"/>
      <c r="K50" s="26"/>
      <c r="L50" s="26"/>
      <c r="M50" s="40"/>
      <c r="N50" s="40"/>
      <c r="O50" s="40"/>
    </row>
    <row r="51" spans="1:15" ht="22" x14ac:dyDescent="0.2">
      <c r="A51" s="139"/>
      <c r="B51" s="4" t="s">
        <v>302</v>
      </c>
      <c r="C51" s="72"/>
      <c r="D51" s="25"/>
      <c r="E51" s="25"/>
      <c r="F51" s="25"/>
      <c r="G51" s="25"/>
      <c r="H51" s="25"/>
      <c r="I51" s="44" t="s">
        <v>275</v>
      </c>
      <c r="J51" s="26"/>
      <c r="K51" s="26"/>
      <c r="L51" s="26"/>
      <c r="M51" s="40"/>
      <c r="N51" s="40"/>
      <c r="O51" s="40"/>
    </row>
    <row r="52" spans="1:15" x14ac:dyDescent="0.2">
      <c r="A52" s="139"/>
      <c r="B52" s="4" t="s">
        <v>309</v>
      </c>
      <c r="C52" s="72"/>
      <c r="D52" s="35"/>
      <c r="E52" s="35"/>
      <c r="F52" s="25"/>
      <c r="G52" s="25"/>
      <c r="H52" s="25"/>
      <c r="I52" s="47">
        <v>529843</v>
      </c>
      <c r="J52" s="26"/>
      <c r="K52" s="26"/>
      <c r="L52" s="26"/>
      <c r="M52" s="40"/>
      <c r="N52" s="40"/>
      <c r="O52" s="40"/>
    </row>
    <row r="53" spans="1:15" ht="22" x14ac:dyDescent="0.2">
      <c r="A53" s="140"/>
      <c r="B53" s="4" t="s">
        <v>313</v>
      </c>
      <c r="C53" s="72"/>
      <c r="D53" s="26"/>
      <c r="E53" s="25"/>
      <c r="F53" s="25"/>
      <c r="G53" s="25"/>
      <c r="H53" s="25"/>
      <c r="I53" s="44" t="s">
        <v>340</v>
      </c>
      <c r="J53" s="26"/>
      <c r="K53" s="26"/>
      <c r="L53" s="26"/>
      <c r="M53" s="40"/>
      <c r="N53" s="40"/>
      <c r="O53" s="40"/>
    </row>
    <row r="54" spans="1:15" ht="22" x14ac:dyDescent="0.2">
      <c r="A54" s="134" t="s">
        <v>532</v>
      </c>
      <c r="B54" s="4" t="s">
        <v>327</v>
      </c>
      <c r="C54" s="25"/>
      <c r="D54" s="25"/>
      <c r="E54" s="25"/>
      <c r="F54" s="10" t="s">
        <v>328</v>
      </c>
      <c r="G54" s="25"/>
      <c r="H54" s="25"/>
      <c r="I54" s="25"/>
      <c r="J54" s="10" t="s">
        <v>328</v>
      </c>
      <c r="K54" s="26"/>
      <c r="L54" s="26"/>
      <c r="M54" s="40"/>
      <c r="N54" s="40"/>
      <c r="O54" s="40"/>
    </row>
    <row r="55" spans="1:15" ht="22" x14ac:dyDescent="0.2">
      <c r="A55" s="139"/>
      <c r="B55" s="4" t="s">
        <v>330</v>
      </c>
      <c r="C55" s="25"/>
      <c r="D55" s="25"/>
      <c r="E55" s="25"/>
      <c r="F55" s="10" t="s">
        <v>533</v>
      </c>
      <c r="G55" s="25"/>
      <c r="H55" s="25"/>
      <c r="I55" s="25"/>
      <c r="J55" s="10" t="s">
        <v>535</v>
      </c>
      <c r="K55" s="26"/>
      <c r="L55" s="26"/>
      <c r="M55" s="40"/>
      <c r="N55" s="40"/>
      <c r="O55" s="40"/>
    </row>
    <row r="56" spans="1:15" ht="33" x14ac:dyDescent="0.2">
      <c r="A56" s="139"/>
      <c r="B56" s="4" t="s">
        <v>332</v>
      </c>
      <c r="C56" s="25"/>
      <c r="D56" s="25"/>
      <c r="E56" s="25"/>
      <c r="F56" s="10" t="s">
        <v>77</v>
      </c>
      <c r="G56" s="25"/>
      <c r="H56" s="25"/>
      <c r="I56" s="25"/>
      <c r="J56" s="12" t="s">
        <v>77</v>
      </c>
      <c r="K56" s="26"/>
      <c r="L56" s="26"/>
      <c r="M56" s="40"/>
      <c r="N56" s="40"/>
      <c r="O56" s="40"/>
    </row>
    <row r="57" spans="1:15" ht="22" x14ac:dyDescent="0.2">
      <c r="A57" s="140"/>
      <c r="B57" s="4" t="s">
        <v>333</v>
      </c>
      <c r="C57" s="25"/>
      <c r="D57" s="25"/>
      <c r="E57" s="25"/>
      <c r="F57" s="10" t="s">
        <v>534</v>
      </c>
      <c r="G57" s="25"/>
      <c r="H57" s="25"/>
      <c r="I57" s="25"/>
      <c r="J57" s="12" t="s">
        <v>536</v>
      </c>
      <c r="K57" s="26"/>
      <c r="L57" s="26"/>
      <c r="M57" s="25"/>
      <c r="N57" s="25"/>
      <c r="O57" s="25"/>
    </row>
    <row r="58" spans="1:15" x14ac:dyDescent="0.2">
      <c r="A58" s="4" t="s">
        <v>341</v>
      </c>
      <c r="B58" s="4" t="s">
        <v>342</v>
      </c>
      <c r="C58" s="10" t="s">
        <v>343</v>
      </c>
      <c r="D58" s="9" t="s">
        <v>344</v>
      </c>
      <c r="E58" s="10" t="s">
        <v>345</v>
      </c>
      <c r="F58" s="10" t="s">
        <v>483</v>
      </c>
      <c r="G58" s="10" t="s">
        <v>347</v>
      </c>
      <c r="H58" s="10" t="s">
        <v>347</v>
      </c>
      <c r="I58" s="9" t="s">
        <v>348</v>
      </c>
      <c r="J58" s="12" t="s">
        <v>483</v>
      </c>
      <c r="K58" s="12" t="s">
        <v>460</v>
      </c>
      <c r="L58" s="12" t="s">
        <v>461</v>
      </c>
      <c r="M58" s="9" t="s">
        <v>496</v>
      </c>
      <c r="N58" s="12" t="s">
        <v>460</v>
      </c>
      <c r="O58" s="9" t="s">
        <v>462</v>
      </c>
    </row>
    <row r="59" spans="1:15" ht="154" x14ac:dyDescent="0.2">
      <c r="A59" s="134" t="s">
        <v>353</v>
      </c>
      <c r="B59" s="4" t="s">
        <v>354</v>
      </c>
      <c r="C59" s="10" t="s">
        <v>355</v>
      </c>
      <c r="D59" s="9" t="s">
        <v>75</v>
      </c>
      <c r="E59" s="9" t="s">
        <v>357</v>
      </c>
      <c r="F59" s="9" t="s">
        <v>528</v>
      </c>
      <c r="G59" s="56" t="s">
        <v>463</v>
      </c>
      <c r="H59" s="10" t="s">
        <v>648</v>
      </c>
      <c r="I59" s="116" t="s">
        <v>650</v>
      </c>
      <c r="J59" s="20" t="s">
        <v>117</v>
      </c>
      <c r="K59" s="44" t="s">
        <v>464</v>
      </c>
      <c r="L59" s="62" t="s">
        <v>410</v>
      </c>
      <c r="M59" s="9" t="s">
        <v>475</v>
      </c>
      <c r="N59" s="67" t="s">
        <v>465</v>
      </c>
      <c r="O59" s="10" t="s">
        <v>466</v>
      </c>
    </row>
    <row r="60" spans="1:15" ht="77" x14ac:dyDescent="0.2">
      <c r="A60" s="139"/>
      <c r="B60" s="4" t="s">
        <v>362</v>
      </c>
      <c r="C60" s="10" t="s">
        <v>75</v>
      </c>
      <c r="D60" s="9" t="s">
        <v>75</v>
      </c>
      <c r="E60" s="9" t="s">
        <v>365</v>
      </c>
      <c r="F60" s="10" t="s">
        <v>75</v>
      </c>
      <c r="G60" s="9" t="s">
        <v>75</v>
      </c>
      <c r="H60" s="10" t="s">
        <v>75</v>
      </c>
      <c r="I60" s="10" t="s">
        <v>75</v>
      </c>
      <c r="J60" s="32" t="s">
        <v>75</v>
      </c>
      <c r="K60" s="10" t="s">
        <v>75</v>
      </c>
      <c r="L60" s="10" t="s">
        <v>75</v>
      </c>
      <c r="M60" s="12" t="s">
        <v>497</v>
      </c>
      <c r="N60" s="61" t="s">
        <v>75</v>
      </c>
      <c r="O60" s="10" t="s">
        <v>75</v>
      </c>
    </row>
    <row r="61" spans="1:15" ht="121" x14ac:dyDescent="0.2">
      <c r="A61" s="139"/>
      <c r="B61" s="4" t="s">
        <v>370</v>
      </c>
      <c r="C61" s="25"/>
      <c r="D61" s="25"/>
      <c r="E61" s="25"/>
      <c r="F61" s="10" t="s">
        <v>75</v>
      </c>
      <c r="G61" s="25"/>
      <c r="H61" s="25"/>
      <c r="I61" s="116" t="s">
        <v>651</v>
      </c>
      <c r="J61" s="68" t="s">
        <v>75</v>
      </c>
      <c r="K61" s="26"/>
      <c r="L61" s="26"/>
      <c r="M61" s="74"/>
      <c r="N61" s="75"/>
      <c r="O61" s="25"/>
    </row>
    <row r="62" spans="1:15" ht="22" x14ac:dyDescent="0.2">
      <c r="A62" s="140"/>
      <c r="B62" s="4" t="s">
        <v>372</v>
      </c>
      <c r="C62" s="10" t="s">
        <v>75</v>
      </c>
      <c r="D62" s="9" t="s">
        <v>75</v>
      </c>
      <c r="E62" s="50" t="s">
        <v>375</v>
      </c>
      <c r="F62" s="51" t="s">
        <v>529</v>
      </c>
      <c r="G62" s="24" t="s">
        <v>547</v>
      </c>
      <c r="H62" s="10" t="s">
        <v>75</v>
      </c>
      <c r="I62" s="52" t="s">
        <v>377</v>
      </c>
      <c r="J62" s="10" t="s">
        <v>378</v>
      </c>
      <c r="K62" s="9" t="s">
        <v>467</v>
      </c>
      <c r="L62" s="10" t="s">
        <v>75</v>
      </c>
      <c r="M62" s="24" t="s">
        <v>647</v>
      </c>
      <c r="N62" s="61" t="s">
        <v>468</v>
      </c>
      <c r="O62" s="10" t="s">
        <v>469</v>
      </c>
    </row>
  </sheetData>
  <mergeCells count="10">
    <mergeCell ref="A4:A9"/>
    <mergeCell ref="A38:A41"/>
    <mergeCell ref="A42:A53"/>
    <mergeCell ref="A54:A57"/>
    <mergeCell ref="A59:A62"/>
    <mergeCell ref="A10:A11"/>
    <mergeCell ref="A12:A13"/>
    <mergeCell ref="A18:A23"/>
    <mergeCell ref="A24:A37"/>
    <mergeCell ref="A14:A17"/>
  </mergeCell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6"/>
  <sheetViews>
    <sheetView zoomScale="117" workbookViewId="0">
      <pane xSplit="8" ySplit="2" topLeftCell="I3" activePane="bottomRight" state="frozen"/>
      <selection pane="topRight" activeCell="I1" sqref="I1"/>
      <selection pane="bottomLeft" activeCell="A3" sqref="A3"/>
      <selection pane="bottomRight"/>
    </sheetView>
  </sheetViews>
  <sheetFormatPr baseColWidth="10" defaultRowHeight="15" x14ac:dyDescent="0.2"/>
  <cols>
    <col min="1" max="2" width="10.83203125" style="89"/>
    <col min="3" max="3" width="6.33203125" style="89" customWidth="1"/>
    <col min="4" max="5" width="10.83203125" style="89"/>
    <col min="6" max="6" width="8.5" style="89" customWidth="1"/>
    <col min="7" max="11" width="10.83203125" style="89"/>
    <col min="12" max="12" width="13.33203125" style="89" customWidth="1"/>
    <col min="13" max="27" width="10.83203125" style="89"/>
    <col min="28" max="28" width="13.5" style="89" customWidth="1"/>
    <col min="29" max="16384" width="10.83203125" style="89"/>
  </cols>
  <sheetData>
    <row r="1" spans="1:93" x14ac:dyDescent="0.2">
      <c r="A1" s="107" t="s">
        <v>557</v>
      </c>
    </row>
    <row r="2" spans="1:93" x14ac:dyDescent="0.2">
      <c r="A2" s="90"/>
      <c r="B2" s="90"/>
      <c r="C2" s="91"/>
      <c r="D2" s="92"/>
      <c r="E2" s="93"/>
      <c r="F2" s="93"/>
      <c r="G2" s="93"/>
      <c r="H2" s="93"/>
      <c r="I2" s="142" t="s">
        <v>558</v>
      </c>
      <c r="J2" s="143"/>
      <c r="K2" s="143"/>
      <c r="L2" s="144"/>
      <c r="M2" s="142" t="s">
        <v>559</v>
      </c>
      <c r="N2" s="143"/>
      <c r="O2" s="143"/>
      <c r="P2" s="144"/>
      <c r="Q2" s="141" t="s">
        <v>614</v>
      </c>
      <c r="R2" s="141"/>
      <c r="S2" s="141"/>
      <c r="T2" s="93"/>
      <c r="U2" s="141" t="s">
        <v>560</v>
      </c>
      <c r="V2" s="141"/>
      <c r="W2" s="141"/>
      <c r="X2" s="93"/>
      <c r="Y2" s="141" t="s">
        <v>561</v>
      </c>
      <c r="Z2" s="141"/>
      <c r="AA2" s="141"/>
      <c r="AB2" s="141"/>
      <c r="AC2" s="141" t="s">
        <v>612</v>
      </c>
      <c r="AD2" s="141"/>
      <c r="AE2" s="141"/>
      <c r="AF2" s="141"/>
      <c r="AG2" s="141" t="s">
        <v>613</v>
      </c>
      <c r="AH2" s="141"/>
      <c r="AI2" s="141"/>
      <c r="AJ2" s="141"/>
      <c r="AK2" s="141" t="s">
        <v>562</v>
      </c>
      <c r="AL2" s="141"/>
      <c r="AM2" s="141"/>
      <c r="AN2" s="141"/>
      <c r="AO2" s="141" t="s">
        <v>563</v>
      </c>
      <c r="AP2" s="141"/>
      <c r="AQ2" s="141"/>
      <c r="AR2" s="141"/>
      <c r="AS2" s="141" t="s">
        <v>564</v>
      </c>
      <c r="AT2" s="141"/>
      <c r="AU2" s="141"/>
      <c r="AV2" s="141"/>
      <c r="AW2" s="141" t="s">
        <v>565</v>
      </c>
      <c r="AX2" s="141"/>
      <c r="AY2" s="141"/>
      <c r="AZ2" s="141"/>
      <c r="BA2" s="141" t="s">
        <v>566</v>
      </c>
      <c r="BB2" s="141"/>
      <c r="BC2" s="141"/>
      <c r="BD2" s="141"/>
      <c r="BE2" s="141" t="s">
        <v>567</v>
      </c>
      <c r="BF2" s="141"/>
      <c r="BG2" s="141"/>
      <c r="BH2" s="141"/>
      <c r="BI2" s="141" t="s">
        <v>568</v>
      </c>
      <c r="BJ2" s="141"/>
      <c r="BK2" s="141"/>
      <c r="BL2" s="141"/>
      <c r="BM2" s="141" t="s">
        <v>569</v>
      </c>
      <c r="BN2" s="141"/>
      <c r="BO2" s="141"/>
      <c r="BP2" s="141"/>
      <c r="BQ2" s="141" t="s">
        <v>570</v>
      </c>
      <c r="BR2" s="141"/>
      <c r="BS2" s="141"/>
      <c r="BT2" s="141"/>
      <c r="BU2" s="142" t="s">
        <v>571</v>
      </c>
      <c r="BV2" s="143"/>
      <c r="BW2" s="143"/>
      <c r="BX2" s="144"/>
      <c r="BY2" s="141" t="s">
        <v>572</v>
      </c>
      <c r="BZ2" s="141"/>
      <c r="CA2" s="141"/>
      <c r="CB2" s="141"/>
      <c r="CC2" s="141" t="s">
        <v>573</v>
      </c>
      <c r="CD2" s="141"/>
      <c r="CE2" s="141"/>
      <c r="CF2" s="141"/>
      <c r="CG2" s="141" t="s">
        <v>574</v>
      </c>
      <c r="CH2" s="141"/>
      <c r="CI2" s="141"/>
      <c r="CJ2" s="141"/>
      <c r="CK2" s="141" t="s">
        <v>657</v>
      </c>
      <c r="CL2" s="141"/>
      <c r="CM2" s="141"/>
      <c r="CN2" s="141"/>
      <c r="CO2" s="94"/>
    </row>
    <row r="3" spans="1:93" ht="45" x14ac:dyDescent="0.2">
      <c r="A3" s="104" t="s">
        <v>575</v>
      </c>
      <c r="B3" s="95" t="s">
        <v>576</v>
      </c>
      <c r="C3" s="91" t="s">
        <v>577</v>
      </c>
      <c r="D3" s="92" t="s">
        <v>578</v>
      </c>
      <c r="E3" s="95" t="s">
        <v>579</v>
      </c>
      <c r="F3" s="92" t="s">
        <v>580</v>
      </c>
      <c r="G3" s="95" t="s">
        <v>646</v>
      </c>
      <c r="H3" s="95" t="s">
        <v>611</v>
      </c>
      <c r="I3" s="96" t="s">
        <v>581</v>
      </c>
      <c r="J3" s="93" t="s">
        <v>582</v>
      </c>
      <c r="K3" s="97" t="s">
        <v>583</v>
      </c>
      <c r="L3" s="112" t="s">
        <v>615</v>
      </c>
      <c r="M3" s="96" t="s">
        <v>584</v>
      </c>
      <c r="N3" s="93" t="s">
        <v>582</v>
      </c>
      <c r="O3" s="97" t="s">
        <v>583</v>
      </c>
      <c r="P3" s="97" t="s">
        <v>77</v>
      </c>
      <c r="Q3" s="96" t="s">
        <v>584</v>
      </c>
      <c r="R3" s="93" t="s">
        <v>582</v>
      </c>
      <c r="S3" s="97" t="s">
        <v>583</v>
      </c>
      <c r="T3" s="97" t="s">
        <v>77</v>
      </c>
      <c r="U3" s="96" t="s">
        <v>584</v>
      </c>
      <c r="V3" s="93" t="s">
        <v>582</v>
      </c>
      <c r="W3" s="97" t="s">
        <v>583</v>
      </c>
      <c r="X3" s="97" t="s">
        <v>77</v>
      </c>
      <c r="Y3" s="96" t="s">
        <v>585</v>
      </c>
      <c r="Z3" s="93" t="s">
        <v>582</v>
      </c>
      <c r="AA3" s="97" t="s">
        <v>583</v>
      </c>
      <c r="AB3" s="112" t="s">
        <v>615</v>
      </c>
      <c r="AC3" s="96" t="s">
        <v>584</v>
      </c>
      <c r="AD3" s="93" t="s">
        <v>582</v>
      </c>
      <c r="AE3" s="97" t="s">
        <v>583</v>
      </c>
      <c r="AF3" s="97" t="s">
        <v>77</v>
      </c>
      <c r="AG3" s="96" t="s">
        <v>584</v>
      </c>
      <c r="AH3" s="93" t="s">
        <v>582</v>
      </c>
      <c r="AI3" s="97" t="s">
        <v>583</v>
      </c>
      <c r="AJ3" s="97" t="s">
        <v>77</v>
      </c>
      <c r="AK3" s="96" t="s">
        <v>584</v>
      </c>
      <c r="AL3" s="93" t="s">
        <v>582</v>
      </c>
      <c r="AM3" s="97" t="s">
        <v>583</v>
      </c>
      <c r="AN3" s="97" t="s">
        <v>77</v>
      </c>
      <c r="AO3" s="96" t="s">
        <v>584</v>
      </c>
      <c r="AP3" s="93" t="s">
        <v>582</v>
      </c>
      <c r="AQ3" s="97" t="s">
        <v>583</v>
      </c>
      <c r="AR3" s="97" t="s">
        <v>77</v>
      </c>
      <c r="AS3" s="96" t="s">
        <v>584</v>
      </c>
      <c r="AT3" s="93" t="s">
        <v>582</v>
      </c>
      <c r="AU3" s="97" t="s">
        <v>583</v>
      </c>
      <c r="AV3" s="97" t="s">
        <v>77</v>
      </c>
      <c r="AW3" s="96" t="s">
        <v>584</v>
      </c>
      <c r="AX3" s="93" t="s">
        <v>582</v>
      </c>
      <c r="AY3" s="97" t="s">
        <v>583</v>
      </c>
      <c r="AZ3" s="97" t="s">
        <v>77</v>
      </c>
      <c r="BA3" s="96" t="s">
        <v>584</v>
      </c>
      <c r="BB3" s="93" t="s">
        <v>582</v>
      </c>
      <c r="BC3" s="97" t="s">
        <v>583</v>
      </c>
      <c r="BD3" s="97" t="s">
        <v>77</v>
      </c>
      <c r="BE3" s="96" t="s">
        <v>584</v>
      </c>
      <c r="BF3" s="93" t="s">
        <v>582</v>
      </c>
      <c r="BG3" s="97" t="s">
        <v>583</v>
      </c>
      <c r="BH3" s="97" t="s">
        <v>77</v>
      </c>
      <c r="BI3" s="96" t="s">
        <v>584</v>
      </c>
      <c r="BJ3" s="93" t="s">
        <v>582</v>
      </c>
      <c r="BK3" s="97" t="s">
        <v>583</v>
      </c>
      <c r="BL3" s="97" t="s">
        <v>77</v>
      </c>
      <c r="BM3" s="96" t="s">
        <v>584</v>
      </c>
      <c r="BN3" s="93" t="s">
        <v>582</v>
      </c>
      <c r="BO3" s="97" t="s">
        <v>583</v>
      </c>
      <c r="BP3" s="97" t="s">
        <v>77</v>
      </c>
      <c r="BQ3" s="96" t="s">
        <v>584</v>
      </c>
      <c r="BR3" s="93" t="s">
        <v>582</v>
      </c>
      <c r="BS3" s="97" t="s">
        <v>583</v>
      </c>
      <c r="BT3" s="97" t="s">
        <v>77</v>
      </c>
      <c r="BU3" s="96" t="s">
        <v>584</v>
      </c>
      <c r="BV3" s="93" t="s">
        <v>582</v>
      </c>
      <c r="BW3" s="97" t="s">
        <v>583</v>
      </c>
      <c r="BX3" s="97" t="s">
        <v>77</v>
      </c>
      <c r="BY3" s="96" t="s">
        <v>584</v>
      </c>
      <c r="BZ3" s="93" t="s">
        <v>582</v>
      </c>
      <c r="CA3" s="97" t="s">
        <v>583</v>
      </c>
      <c r="CB3" s="97" t="s">
        <v>77</v>
      </c>
      <c r="CC3" s="96" t="s">
        <v>584</v>
      </c>
      <c r="CD3" s="93" t="s">
        <v>582</v>
      </c>
      <c r="CE3" s="97" t="s">
        <v>583</v>
      </c>
      <c r="CF3" s="97" t="s">
        <v>77</v>
      </c>
      <c r="CG3" s="96" t="s">
        <v>584</v>
      </c>
      <c r="CH3" s="93" t="s">
        <v>582</v>
      </c>
      <c r="CI3" s="97" t="s">
        <v>583</v>
      </c>
      <c r="CJ3" s="97" t="s">
        <v>77</v>
      </c>
      <c r="CK3" s="96" t="s">
        <v>584</v>
      </c>
      <c r="CL3" s="120" t="s">
        <v>582</v>
      </c>
      <c r="CM3" s="97" t="s">
        <v>583</v>
      </c>
      <c r="CN3" s="97" t="s">
        <v>77</v>
      </c>
      <c r="CO3" s="98"/>
    </row>
    <row r="4" spans="1:93" ht="16" x14ac:dyDescent="0.2">
      <c r="A4" s="105" t="s">
        <v>1</v>
      </c>
      <c r="B4" s="99" t="s">
        <v>5</v>
      </c>
      <c r="C4" s="99">
        <v>11</v>
      </c>
      <c r="D4" s="100">
        <v>92708710</v>
      </c>
      <c r="E4" s="101"/>
      <c r="F4" s="101"/>
      <c r="G4" s="99" t="s">
        <v>597</v>
      </c>
      <c r="H4" s="99" t="s">
        <v>589</v>
      </c>
      <c r="I4" s="101">
        <v>1.1100000000000001</v>
      </c>
      <c r="J4" s="103">
        <f>(1.16-I4)/1.96</f>
        <v>2.5510204081632563E-2</v>
      </c>
      <c r="K4" s="109">
        <v>7.3E-7</v>
      </c>
      <c r="L4" s="109" t="s">
        <v>616</v>
      </c>
      <c r="M4" s="108">
        <v>7.9000000000000001E-2</v>
      </c>
      <c r="N4" s="108">
        <v>3.7000000000000002E-3</v>
      </c>
      <c r="O4" s="109">
        <v>1.2630000000000001E-68</v>
      </c>
      <c r="P4" s="111">
        <v>76558</v>
      </c>
      <c r="Q4" s="108">
        <f>--0.0003</f>
        <v>2.9999999999999997E-4</v>
      </c>
      <c r="R4" s="108">
        <v>3.8999999999999998E-3</v>
      </c>
      <c r="S4" s="103">
        <v>0.94330000000000003</v>
      </c>
      <c r="T4" s="111">
        <v>76558</v>
      </c>
      <c r="U4" s="108">
        <f>--0.019</f>
        <v>1.9E-2</v>
      </c>
      <c r="V4" s="108">
        <v>8.8000000000000005E-3</v>
      </c>
      <c r="W4" s="103">
        <v>3.2469999999999999E-2</v>
      </c>
      <c r="X4" s="111">
        <v>10701</v>
      </c>
      <c r="Y4" s="108">
        <f>--0.0005478</f>
        <v>5.4779999999999998E-4</v>
      </c>
      <c r="Z4" s="108">
        <v>1.8098900000000001E-2</v>
      </c>
      <c r="AA4" s="103">
        <v>0.97585339999999998</v>
      </c>
      <c r="AB4" s="103" t="s">
        <v>622</v>
      </c>
      <c r="AC4" s="108">
        <v>3.3E-3</v>
      </c>
      <c r="AD4" s="108">
        <v>3.8999999999999998E-3</v>
      </c>
      <c r="AE4" s="103">
        <v>0.2029</v>
      </c>
      <c r="AF4" s="110">
        <v>186254.96</v>
      </c>
      <c r="AG4" s="108">
        <v>1.1000000000000001E-3</v>
      </c>
      <c r="AH4" s="108">
        <v>4.1999999999999997E-3</v>
      </c>
      <c r="AI4" s="103">
        <v>0.86040000000000005</v>
      </c>
      <c r="AJ4" s="110">
        <v>172236.98</v>
      </c>
      <c r="AK4" s="108">
        <v>8.0999999999999996E-3</v>
      </c>
      <c r="AL4" s="108">
        <v>4.1000000000000003E-3</v>
      </c>
      <c r="AM4" s="103">
        <v>5.2760000000000001E-2</v>
      </c>
      <c r="AN4" s="110">
        <v>186404.02</v>
      </c>
      <c r="AO4" s="108">
        <v>4.1999999999999997E-3</v>
      </c>
      <c r="AP4" s="108">
        <v>3.8999999999999998E-3</v>
      </c>
      <c r="AQ4" s="103">
        <v>0.19409999999999999</v>
      </c>
      <c r="AR4" s="110">
        <v>176983.02</v>
      </c>
      <c r="AS4" s="108">
        <f>--0.0043154</f>
        <v>4.3153999999999996E-3</v>
      </c>
      <c r="AT4" s="108">
        <v>4.2635199999999998E-3</v>
      </c>
      <c r="AU4" s="103">
        <v>0.31</v>
      </c>
      <c r="AV4" s="101">
        <f t="shared" ref="AV4:AV13" si="0">127969-1</f>
        <v>127968</v>
      </c>
      <c r="AW4" s="108">
        <v>-2.9124799999999998E-3</v>
      </c>
      <c r="AX4" s="108">
        <v>4.2662799999999999E-3</v>
      </c>
      <c r="AY4" s="103">
        <v>0.54</v>
      </c>
      <c r="AZ4" s="101">
        <f t="shared" ref="AZ4:AZ13" si="1">127777-1</f>
        <v>127776</v>
      </c>
      <c r="BA4" s="108">
        <f>--0.0022</f>
        <v>2.2000000000000001E-3</v>
      </c>
      <c r="BB4" s="108">
        <v>3.5999999999999999E-3</v>
      </c>
      <c r="BC4" s="103">
        <v>0.54</v>
      </c>
      <c r="BD4" s="101">
        <v>248739</v>
      </c>
      <c r="BE4" s="108">
        <v>6.1999999999999998E-3</v>
      </c>
      <c r="BF4" s="108">
        <v>3.5999999999999999E-3</v>
      </c>
      <c r="BG4" s="103">
        <v>8.7690000000000004E-2</v>
      </c>
      <c r="BH4" s="101">
        <v>318257</v>
      </c>
      <c r="BI4" s="108">
        <v>6.9999999999999999E-4</v>
      </c>
      <c r="BJ4" s="108">
        <v>4.0000000000000001E-3</v>
      </c>
      <c r="BK4" s="101">
        <v>0.86</v>
      </c>
      <c r="BL4" s="101">
        <v>207198</v>
      </c>
      <c r="BM4" s="108">
        <f>--0.0288</f>
        <v>2.8799999999999999E-2</v>
      </c>
      <c r="BN4" s="108">
        <v>1.04E-2</v>
      </c>
      <c r="BO4" s="109">
        <v>5.5360000000000001E-3</v>
      </c>
      <c r="BP4" s="110">
        <v>27102.9</v>
      </c>
      <c r="BQ4" s="108">
        <v>-2.8999999999999998E-3</v>
      </c>
      <c r="BR4" s="108">
        <v>1.7500000000000002E-2</v>
      </c>
      <c r="BS4" s="108">
        <v>0.86990000000000001</v>
      </c>
      <c r="BT4" s="110">
        <v>10655.3</v>
      </c>
      <c r="BU4" s="108">
        <f>--0.0365</f>
        <v>3.6499999999999998E-2</v>
      </c>
      <c r="BV4" s="108">
        <v>3.1600000000000003E-2</v>
      </c>
      <c r="BW4" s="103">
        <v>0.24790000000000001</v>
      </c>
      <c r="BX4" s="101" t="s">
        <v>637</v>
      </c>
      <c r="BY4" s="108">
        <f>--0.0144226008266271</f>
        <v>1.4422600826627101E-2</v>
      </c>
      <c r="BZ4" s="108">
        <v>1.45516839612041E-2</v>
      </c>
      <c r="CA4" s="103">
        <v>0.33260644140433598</v>
      </c>
      <c r="CB4" s="101">
        <v>13955</v>
      </c>
      <c r="CC4" s="108">
        <f>--0.0112794640383717</f>
        <v>1.1279464038371699E-2</v>
      </c>
      <c r="CD4" s="108">
        <v>1.5970635906787E-2</v>
      </c>
      <c r="CE4" s="103">
        <v>0.48605030545514999</v>
      </c>
      <c r="CF4" s="101">
        <v>10799</v>
      </c>
      <c r="CG4" s="108">
        <v>2.0482E-2</v>
      </c>
      <c r="CH4" s="108">
        <v>1.6122999999999998E-2</v>
      </c>
      <c r="CI4" s="103">
        <v>0.206981</v>
      </c>
      <c r="CJ4" s="101">
        <v>9914</v>
      </c>
      <c r="CK4" s="108">
        <v>1.83E-2</v>
      </c>
      <c r="CL4" s="108">
        <v>9.1000000000000004E-3</v>
      </c>
      <c r="CM4" s="103">
        <v>4.4690000000000001E-2</v>
      </c>
      <c r="CN4" s="110">
        <v>35581</v>
      </c>
    </row>
    <row r="5" spans="1:93" ht="16" x14ac:dyDescent="0.2">
      <c r="A5" s="105" t="s">
        <v>605</v>
      </c>
      <c r="B5" s="99" t="s">
        <v>606</v>
      </c>
      <c r="C5" s="99">
        <v>12</v>
      </c>
      <c r="D5" s="100">
        <v>66351826</v>
      </c>
      <c r="E5" s="101"/>
      <c r="F5" s="101"/>
      <c r="G5" s="99" t="s">
        <v>594</v>
      </c>
      <c r="H5" s="99" t="s">
        <v>589</v>
      </c>
      <c r="I5" s="101">
        <v>0.97</v>
      </c>
      <c r="J5" s="103">
        <f>(1.07-I5)/1.96</f>
        <v>5.1020408163265356E-2</v>
      </c>
      <c r="K5" s="101">
        <v>0.12</v>
      </c>
      <c r="L5" s="109" t="s">
        <v>616</v>
      </c>
      <c r="M5" s="108">
        <v>-4.1000000000000003E-3</v>
      </c>
      <c r="N5" s="108">
        <v>3.0999999999999999E-3</v>
      </c>
      <c r="O5" s="103">
        <v>0.18329999999999999</v>
      </c>
      <c r="P5" s="111">
        <v>76558</v>
      </c>
      <c r="Q5" s="108">
        <v>-2.0999999999999999E-3</v>
      </c>
      <c r="R5" s="108">
        <v>3.0999999999999999E-3</v>
      </c>
      <c r="S5" s="103">
        <v>0.4995</v>
      </c>
      <c r="T5" s="111">
        <v>76558</v>
      </c>
      <c r="U5" s="108">
        <v>0.01</v>
      </c>
      <c r="V5" s="108">
        <v>6.8999999999999999E-3</v>
      </c>
      <c r="W5" s="103">
        <v>0.1444</v>
      </c>
      <c r="X5" s="111">
        <v>10701</v>
      </c>
      <c r="Y5" s="108">
        <v>-1.5528200000000001E-2</v>
      </c>
      <c r="Z5" s="108">
        <v>1.39522E-2</v>
      </c>
      <c r="AA5" s="103">
        <v>0.26572459999999998</v>
      </c>
      <c r="AB5" s="103" t="s">
        <v>622</v>
      </c>
      <c r="AC5" s="108">
        <v>-2.2000000000000001E-3</v>
      </c>
      <c r="AD5" s="108">
        <v>3.3999999999999998E-3</v>
      </c>
      <c r="AE5" s="103">
        <v>0.50109999999999999</v>
      </c>
      <c r="AF5" s="110">
        <v>187091.1</v>
      </c>
      <c r="AG5" s="108">
        <v>1E-4</v>
      </c>
      <c r="AH5" s="108">
        <v>3.5999999999999999E-3</v>
      </c>
      <c r="AI5" s="103">
        <v>0.90310000000000001</v>
      </c>
      <c r="AJ5" s="110">
        <v>173013.9</v>
      </c>
      <c r="AK5" s="108">
        <v>-5.8999999999999999E-3</v>
      </c>
      <c r="AL5" s="108">
        <v>3.5000000000000001E-3</v>
      </c>
      <c r="AM5" s="103">
        <v>0.18010000000000001</v>
      </c>
      <c r="AN5" s="110">
        <v>187283</v>
      </c>
      <c r="AO5" s="108">
        <v>-5.0000000000000001E-3</v>
      </c>
      <c r="AP5" s="108">
        <v>3.3E-3</v>
      </c>
      <c r="AQ5" s="103">
        <v>0.19700000000000001</v>
      </c>
      <c r="AR5" s="110">
        <v>177783</v>
      </c>
      <c r="AS5" s="108">
        <v>-1.78421E-2</v>
      </c>
      <c r="AT5" s="108">
        <v>3.8173700000000001E-3</v>
      </c>
      <c r="AU5" s="109">
        <v>3.9999999999999998E-6</v>
      </c>
      <c r="AV5" s="101">
        <f t="shared" si="0"/>
        <v>127968</v>
      </c>
      <c r="AW5" s="108">
        <v>-7.70311E-3</v>
      </c>
      <c r="AX5" s="108">
        <v>3.8181000000000001E-3</v>
      </c>
      <c r="AY5" s="103">
        <v>4.5999999999999999E-2</v>
      </c>
      <c r="AZ5" s="101">
        <f t="shared" si="1"/>
        <v>127776</v>
      </c>
      <c r="BA5" s="108">
        <v>5.8000000000000003E-2</v>
      </c>
      <c r="BB5" s="108">
        <v>2.8999999999999998E-3</v>
      </c>
      <c r="BC5" s="109">
        <v>8.5000000000000001E-87</v>
      </c>
      <c r="BD5" s="101">
        <v>251546</v>
      </c>
      <c r="BE5" s="108">
        <v>8.9999999999999993E-3</v>
      </c>
      <c r="BF5" s="108">
        <v>3.0999999999999999E-3</v>
      </c>
      <c r="BG5" s="109">
        <v>3.2209999999999999E-3</v>
      </c>
      <c r="BH5" s="101">
        <v>320466</v>
      </c>
      <c r="BI5" s="108">
        <v>1E-4</v>
      </c>
      <c r="BJ5" s="108">
        <v>3.3999999999999998E-3</v>
      </c>
      <c r="BK5" s="101">
        <v>0.97</v>
      </c>
      <c r="BL5" s="101">
        <v>208526</v>
      </c>
      <c r="BM5" s="108">
        <v>4.3799999999999999E-2</v>
      </c>
      <c r="BN5" s="108">
        <v>8.8000000000000005E-3</v>
      </c>
      <c r="BO5" s="109">
        <v>6.9770000000000001E-7</v>
      </c>
      <c r="BP5" s="110">
        <v>27574</v>
      </c>
      <c r="BQ5" s="108">
        <v>6.3600000000000004E-2</v>
      </c>
      <c r="BR5" s="108">
        <v>1.43E-2</v>
      </c>
      <c r="BS5" s="109">
        <v>8.7010000000000002E-6</v>
      </c>
      <c r="BT5" s="110">
        <v>10755.8</v>
      </c>
      <c r="BU5" s="108">
        <v>5.5E-2</v>
      </c>
      <c r="BV5" s="108">
        <v>2.6499999999999999E-2</v>
      </c>
      <c r="BW5" s="103">
        <v>3.8300000000000001E-2</v>
      </c>
      <c r="BX5" s="101" t="s">
        <v>637</v>
      </c>
      <c r="BY5" s="108">
        <f>--0.0534778202913322</f>
        <v>5.3477820291332197E-2</v>
      </c>
      <c r="BZ5" s="108">
        <v>1.2185396490240301E-2</v>
      </c>
      <c r="CA5" s="109">
        <v>1.7963399239426201E-5</v>
      </c>
      <c r="CB5" s="101">
        <v>13960</v>
      </c>
      <c r="CC5" s="108">
        <f>--0.0242196858507333</f>
        <v>2.4219685850733301E-2</v>
      </c>
      <c r="CD5" s="108">
        <v>1.33987343877331E-2</v>
      </c>
      <c r="CE5" s="103">
        <v>7.4622157401755707E-2</v>
      </c>
      <c r="CF5" s="101">
        <v>10799</v>
      </c>
      <c r="CG5" s="108">
        <v>1.0978999999999999E-2</v>
      </c>
      <c r="CH5" s="108">
        <v>1.3464E-2</v>
      </c>
      <c r="CI5" s="103">
        <v>0.41796100000000003</v>
      </c>
      <c r="CJ5" s="101">
        <v>9915</v>
      </c>
      <c r="CK5" s="108">
        <v>2.5499999999999998E-2</v>
      </c>
      <c r="CL5" s="108">
        <v>7.7999999999999996E-3</v>
      </c>
      <c r="CM5" s="108">
        <v>1.114E-3</v>
      </c>
      <c r="CN5" s="110">
        <v>34906</v>
      </c>
    </row>
    <row r="6" spans="1:93" ht="16" x14ac:dyDescent="0.2">
      <c r="A6" s="106" t="s">
        <v>607</v>
      </c>
      <c r="B6" s="99" t="s">
        <v>608</v>
      </c>
      <c r="C6" s="99">
        <v>12</v>
      </c>
      <c r="D6" s="100">
        <v>111884608</v>
      </c>
      <c r="E6" s="101"/>
      <c r="F6" s="101"/>
      <c r="G6" s="102" t="s">
        <v>589</v>
      </c>
      <c r="H6" s="102" t="s">
        <v>594</v>
      </c>
      <c r="I6" s="101">
        <v>0.99</v>
      </c>
      <c r="J6" s="103">
        <f>(1.05-I6)/1.96</f>
        <v>3.0612244897959211E-2</v>
      </c>
      <c r="K6" s="101">
        <v>0.63</v>
      </c>
      <c r="L6" s="109" t="s">
        <v>616</v>
      </c>
      <c r="M6" s="108">
        <v>1.9E-3</v>
      </c>
      <c r="N6" s="108">
        <v>3.2000000000000002E-3</v>
      </c>
      <c r="O6" s="103">
        <v>0.54469999999999996</v>
      </c>
      <c r="P6" s="111">
        <v>76558</v>
      </c>
      <c r="Q6" s="108">
        <f>--0.0001</f>
        <v>1E-4</v>
      </c>
      <c r="R6" s="108">
        <v>3.2000000000000002E-3</v>
      </c>
      <c r="S6" s="103">
        <v>0.98260000000000003</v>
      </c>
      <c r="T6" s="111">
        <v>76558</v>
      </c>
      <c r="U6" s="108">
        <f>--0.011</f>
        <v>1.0999999999999999E-2</v>
      </c>
      <c r="V6" s="108">
        <v>7.1000000000000004E-3</v>
      </c>
      <c r="W6" s="103">
        <v>0.1118</v>
      </c>
      <c r="X6" s="111">
        <v>10701</v>
      </c>
      <c r="Y6" s="108">
        <v>-7.0445199999999999E-2</v>
      </c>
      <c r="Z6" s="108">
        <v>1.5604700000000001E-2</v>
      </c>
      <c r="AA6" s="109">
        <v>6.3500000000000002E-6</v>
      </c>
      <c r="AB6" s="103" t="s">
        <v>622</v>
      </c>
      <c r="AC6" s="108">
        <v>2.58E-2</v>
      </c>
      <c r="AD6" s="108">
        <v>3.5999999999999999E-3</v>
      </c>
      <c r="AE6" s="109">
        <v>4.097E-12</v>
      </c>
      <c r="AF6" s="110">
        <v>177709.9</v>
      </c>
      <c r="AG6" s="108">
        <v>2.6800000000000001E-2</v>
      </c>
      <c r="AH6" s="108">
        <v>3.8E-3</v>
      </c>
      <c r="AI6" s="109">
        <v>4.2029999999999998E-12</v>
      </c>
      <c r="AJ6" s="110">
        <v>164996</v>
      </c>
      <c r="AK6" s="108">
        <v>3.1800000000000002E-2</v>
      </c>
      <c r="AL6" s="108">
        <v>3.7000000000000002E-3</v>
      </c>
      <c r="AM6" s="109">
        <v>1.6230000000000001E-17</v>
      </c>
      <c r="AN6" s="110">
        <v>177714</v>
      </c>
      <c r="AO6" s="108">
        <v>-9.9000000000000008E-3</v>
      </c>
      <c r="AP6" s="108">
        <v>3.5000000000000001E-3</v>
      </c>
      <c r="AQ6" s="103">
        <v>2.9319999999999999E-2</v>
      </c>
      <c r="AR6" s="110">
        <v>169487.9</v>
      </c>
      <c r="AS6" s="108">
        <v>-3.4021099999999999E-2</v>
      </c>
      <c r="AT6" s="108">
        <v>3.8123599999999999E-3</v>
      </c>
      <c r="AU6" s="109">
        <v>7.1999999999999995E-20</v>
      </c>
      <c r="AV6" s="101">
        <f t="shared" si="0"/>
        <v>127968</v>
      </c>
      <c r="AW6" s="108">
        <v>-4.9290800000000003E-2</v>
      </c>
      <c r="AX6" s="108">
        <v>3.8123599999999999E-3</v>
      </c>
      <c r="AY6" s="109">
        <v>3.7000000000000001E-39</v>
      </c>
      <c r="AZ6" s="101">
        <f t="shared" si="1"/>
        <v>127776</v>
      </c>
      <c r="BA6" s="108">
        <f>--0.0021</f>
        <v>2.0999999999999999E-3</v>
      </c>
      <c r="BB6" s="108">
        <v>3.0000000000000001E-3</v>
      </c>
      <c r="BC6" s="103">
        <v>0.48</v>
      </c>
      <c r="BD6" s="101">
        <v>252970</v>
      </c>
      <c r="BE6" s="108">
        <v>1.3899999999999999E-2</v>
      </c>
      <c r="BF6" s="108">
        <v>3.0999999999999999E-3</v>
      </c>
      <c r="BG6" s="109">
        <v>9.3489999999999998E-6</v>
      </c>
      <c r="BH6" s="101">
        <v>319031</v>
      </c>
      <c r="BI6" s="108">
        <v>-3.8999999999999998E-3</v>
      </c>
      <c r="BJ6" s="108">
        <v>3.5000000000000001E-3</v>
      </c>
      <c r="BK6" s="101">
        <v>0.25</v>
      </c>
      <c r="BL6" s="101">
        <v>207510</v>
      </c>
      <c r="BM6" s="108">
        <v>-6.9999999999999999E-4</v>
      </c>
      <c r="BN6" s="108">
        <v>8.5000000000000006E-3</v>
      </c>
      <c r="BO6" s="103">
        <v>0.93130000000000002</v>
      </c>
      <c r="BP6" s="110">
        <v>28274</v>
      </c>
      <c r="BQ6" s="108">
        <v>-1.15E-2</v>
      </c>
      <c r="BR6" s="108">
        <v>1.43E-2</v>
      </c>
      <c r="BS6" s="108">
        <v>0.42170000000000002</v>
      </c>
      <c r="BT6" s="110">
        <v>10664.5</v>
      </c>
      <c r="BU6" s="108">
        <v>-4.0000000000000001E-3</v>
      </c>
      <c r="BV6" s="108">
        <v>2.63E-2</v>
      </c>
      <c r="BW6" s="103">
        <v>0.87929999999999997</v>
      </c>
      <c r="BX6" s="101" t="s">
        <v>637</v>
      </c>
      <c r="BY6" s="108">
        <v>1.34283656944169E-3</v>
      </c>
      <c r="BZ6" s="108">
        <v>1.2155437509054999E-2</v>
      </c>
      <c r="CA6" s="103">
        <v>0.91400073584361896</v>
      </c>
      <c r="CB6" s="101">
        <v>13925</v>
      </c>
      <c r="CC6" s="108">
        <v>-1.20480096356252E-2</v>
      </c>
      <c r="CD6" s="108">
        <v>1.3382089276826501E-2</v>
      </c>
      <c r="CE6" s="103">
        <v>0.37454588970679098</v>
      </c>
      <c r="CF6" s="101">
        <v>10743</v>
      </c>
      <c r="CG6" s="108">
        <v>-2.5010000000000002E-3</v>
      </c>
      <c r="CH6" s="108">
        <v>1.3305000000000001E-2</v>
      </c>
      <c r="CI6" s="103">
        <v>0.85184400000000005</v>
      </c>
      <c r="CJ6" s="101">
        <v>9915</v>
      </c>
      <c r="CK6" s="108">
        <v>-1.6000000000000001E-3</v>
      </c>
      <c r="CL6" s="108">
        <v>7.7000000000000002E-3</v>
      </c>
      <c r="CM6" s="103">
        <v>0.83230000000000004</v>
      </c>
      <c r="CN6" s="110">
        <v>35622.199999999997</v>
      </c>
    </row>
    <row r="7" spans="1:93" ht="16" x14ac:dyDescent="0.2">
      <c r="A7" s="105" t="s">
        <v>586</v>
      </c>
      <c r="B7" s="99" t="s">
        <v>587</v>
      </c>
      <c r="C7" s="99">
        <v>3</v>
      </c>
      <c r="D7" s="100">
        <v>155829938</v>
      </c>
      <c r="E7" s="113" t="s">
        <v>588</v>
      </c>
      <c r="F7" s="103">
        <v>0.99106000000000005</v>
      </c>
      <c r="G7" s="99" t="s">
        <v>589</v>
      </c>
      <c r="H7" s="99" t="s">
        <v>590</v>
      </c>
      <c r="I7" s="101">
        <v>1.01</v>
      </c>
      <c r="J7" s="103">
        <f>0.02/1.96</f>
        <v>1.0204081632653062E-2</v>
      </c>
      <c r="K7" s="103">
        <v>0.56000000000000005</v>
      </c>
      <c r="L7" s="109" t="s">
        <v>616</v>
      </c>
      <c r="M7" s="108">
        <f>--0.0048</f>
        <v>4.7999999999999996E-3</v>
      </c>
      <c r="N7" s="108">
        <v>3.7000000000000002E-3</v>
      </c>
      <c r="O7" s="103">
        <v>0.1953</v>
      </c>
      <c r="P7" s="111">
        <v>76558</v>
      </c>
      <c r="Q7" s="108">
        <f>--0.0047</f>
        <v>4.7000000000000002E-3</v>
      </c>
      <c r="R7" s="108">
        <v>3.8999999999999998E-3</v>
      </c>
      <c r="S7" s="103">
        <v>0.22900000000000001</v>
      </c>
      <c r="T7" s="111">
        <v>76558</v>
      </c>
      <c r="U7" s="108">
        <f>--0.0046</f>
        <v>4.5999999999999999E-3</v>
      </c>
      <c r="V7" s="108">
        <v>7.3000000000000001E-3</v>
      </c>
      <c r="W7" s="103">
        <v>0.52149999999999996</v>
      </c>
      <c r="X7" s="111">
        <v>10701</v>
      </c>
      <c r="Y7" s="108">
        <v>-5.1933999999999999E-3</v>
      </c>
      <c r="Z7" s="108">
        <v>1.4232099999999999E-2</v>
      </c>
      <c r="AA7" s="103">
        <v>0.71518150000000003</v>
      </c>
      <c r="AB7" s="103" t="s">
        <v>622</v>
      </c>
      <c r="AC7" s="108">
        <v>2.5000000000000001E-3</v>
      </c>
      <c r="AD7" s="108">
        <v>4.8999999999999998E-3</v>
      </c>
      <c r="AE7" s="103">
        <v>0.85099999999999998</v>
      </c>
      <c r="AF7" s="110">
        <v>94311</v>
      </c>
      <c r="AG7" s="108">
        <v>-1.8100000000000002E-2</v>
      </c>
      <c r="AH7" s="108">
        <v>5.3E-3</v>
      </c>
      <c r="AI7" s="109">
        <v>4.2589999999999998E-3</v>
      </c>
      <c r="AJ7" s="110">
        <v>89888</v>
      </c>
      <c r="AK7" s="108">
        <v>-1.52E-2</v>
      </c>
      <c r="AL7" s="108">
        <v>5.1999999999999998E-3</v>
      </c>
      <c r="AM7" s="103">
        <v>2.5069999999999999E-2</v>
      </c>
      <c r="AN7" s="110">
        <v>94595</v>
      </c>
      <c r="AO7" s="108">
        <v>-3.0000000000000001E-3</v>
      </c>
      <c r="AP7" s="108">
        <v>4.7999999999999996E-3</v>
      </c>
      <c r="AQ7" s="103">
        <v>0.68089999999999995</v>
      </c>
      <c r="AR7" s="110">
        <v>91013</v>
      </c>
      <c r="AS7" s="108">
        <v>2.1490900000000002E-3</v>
      </c>
      <c r="AT7" s="108">
        <v>3.8821099999999998E-3</v>
      </c>
      <c r="AU7" s="103">
        <v>0.48</v>
      </c>
      <c r="AV7" s="101">
        <f t="shared" si="0"/>
        <v>127968</v>
      </c>
      <c r="AW7" s="108">
        <f>--0.00292499</f>
        <v>2.9249900000000001E-3</v>
      </c>
      <c r="AX7" s="108">
        <v>3.8817399999999998E-3</v>
      </c>
      <c r="AY7" s="103">
        <v>0.35</v>
      </c>
      <c r="AZ7" s="101">
        <f t="shared" si="1"/>
        <v>127776</v>
      </c>
      <c r="BA7" s="108">
        <f>--0.0098</f>
        <v>9.7999999999999997E-3</v>
      </c>
      <c r="BB7" s="108">
        <v>3.0000000000000001E-3</v>
      </c>
      <c r="BC7" s="109">
        <v>1.2999999999999999E-3</v>
      </c>
      <c r="BD7" s="101">
        <v>250038</v>
      </c>
      <c r="BE7" s="108">
        <f>--0.0052</f>
        <v>5.1999999999999998E-3</v>
      </c>
      <c r="BF7" s="108">
        <v>3.8E-3</v>
      </c>
      <c r="BG7" s="103">
        <v>0.17119999999999999</v>
      </c>
      <c r="BH7" s="101">
        <v>230794</v>
      </c>
      <c r="BI7" s="108">
        <v>-2.7000000000000001E-3</v>
      </c>
      <c r="BJ7" s="108">
        <v>4.4000000000000003E-3</v>
      </c>
      <c r="BK7" s="101">
        <v>0.54</v>
      </c>
      <c r="BL7" s="101">
        <v>142435</v>
      </c>
      <c r="BM7" s="108">
        <f>--0.0348</f>
        <v>3.4799999999999998E-2</v>
      </c>
      <c r="BN7" s="108">
        <v>1.03E-2</v>
      </c>
      <c r="BO7" s="109">
        <v>7.2579999999999997E-4</v>
      </c>
      <c r="BP7" s="110">
        <v>22237</v>
      </c>
      <c r="BQ7" s="108">
        <v>2.0199999999999999E-2</v>
      </c>
      <c r="BR7" s="108">
        <v>1.49E-2</v>
      </c>
      <c r="BS7" s="108">
        <v>0.17330000000000001</v>
      </c>
      <c r="BT7" s="110">
        <f>10751.1</f>
        <v>10751.1</v>
      </c>
      <c r="BU7" s="108">
        <f>--0.0147</f>
        <v>1.47E-2</v>
      </c>
      <c r="BV7" s="108">
        <v>2.7199999999999998E-2</v>
      </c>
      <c r="BW7" s="103">
        <v>0.58840000000000003</v>
      </c>
      <c r="BX7" s="101" t="s">
        <v>637</v>
      </c>
      <c r="BY7" s="108">
        <v>4.76616302709423E-3</v>
      </c>
      <c r="BZ7" s="108">
        <v>1.2519518924767501E-2</v>
      </c>
      <c r="CA7" s="103">
        <v>0.70977614103462106</v>
      </c>
      <c r="CB7" s="101">
        <v>13960</v>
      </c>
      <c r="CC7" s="108">
        <v>-2.2230374343081501E-2</v>
      </c>
      <c r="CD7" s="108">
        <v>1.3861434237481899E-2</v>
      </c>
      <c r="CE7" s="103">
        <v>0.11370620519001499</v>
      </c>
      <c r="CF7" s="101">
        <v>10799</v>
      </c>
      <c r="CG7" s="108">
        <v>-3.8409999999999998E-3</v>
      </c>
      <c r="CH7" s="108">
        <v>1.3521E-2</v>
      </c>
      <c r="CI7" s="103">
        <v>0.77779500000000001</v>
      </c>
      <c r="CJ7" s="101">
        <v>9914</v>
      </c>
      <c r="CK7" s="108">
        <v>1.1299999999999999E-2</v>
      </c>
      <c r="CL7" s="108">
        <v>8.5000000000000006E-3</v>
      </c>
      <c r="CM7" s="103">
        <v>0.18479999999999999</v>
      </c>
      <c r="CN7" s="110">
        <v>30117.9</v>
      </c>
    </row>
    <row r="8" spans="1:93" ht="16" x14ac:dyDescent="0.2">
      <c r="A8" s="105" t="s">
        <v>595</v>
      </c>
      <c r="B8" s="99" t="s">
        <v>596</v>
      </c>
      <c r="C8" s="99">
        <v>6</v>
      </c>
      <c r="D8" s="100">
        <v>130356608</v>
      </c>
      <c r="E8" s="113"/>
      <c r="F8" s="101"/>
      <c r="G8" s="99" t="s">
        <v>597</v>
      </c>
      <c r="H8" s="99" t="s">
        <v>590</v>
      </c>
      <c r="I8" s="101">
        <v>0.94</v>
      </c>
      <c r="J8" s="103">
        <f>(1.1-I8)/1.96</f>
        <v>8.1632653061224567E-2</v>
      </c>
      <c r="K8" s="109">
        <v>1.2999999999999999E-3</v>
      </c>
      <c r="L8" s="109" t="s">
        <v>616</v>
      </c>
      <c r="M8" s="108">
        <v>1.6999999999999999E-3</v>
      </c>
      <c r="N8" s="108">
        <v>3.3999999999999998E-3</v>
      </c>
      <c r="O8" s="103">
        <v>0.60660000000000003</v>
      </c>
      <c r="P8" s="111">
        <v>76558</v>
      </c>
      <c r="Q8" s="108">
        <v>-1.8E-3</v>
      </c>
      <c r="R8" s="108">
        <v>3.5000000000000001E-3</v>
      </c>
      <c r="S8" s="103">
        <v>0.60270000000000001</v>
      </c>
      <c r="T8" s="111">
        <v>76558</v>
      </c>
      <c r="U8" s="108">
        <v>-1.2999999999999999E-2</v>
      </c>
      <c r="V8" s="108">
        <v>7.7999999999999996E-3</v>
      </c>
      <c r="W8" s="103">
        <v>0.1004</v>
      </c>
      <c r="X8" s="111">
        <v>10701</v>
      </c>
      <c r="Y8" s="108">
        <v>-2.1800699999999999E-2</v>
      </c>
      <c r="Z8" s="108">
        <v>1.5129200000000001E-2</v>
      </c>
      <c r="AA8" s="103">
        <v>0.1495956</v>
      </c>
      <c r="AB8" s="103" t="s">
        <v>622</v>
      </c>
      <c r="AC8" s="108">
        <v>1.4999999999999999E-2</v>
      </c>
      <c r="AD8" s="108">
        <v>5.3E-3</v>
      </c>
      <c r="AE8" s="109">
        <v>7.4390000000000003E-3</v>
      </c>
      <c r="AF8" s="110">
        <v>94272</v>
      </c>
      <c r="AG8" s="108">
        <v>-1.3299999999999999E-2</v>
      </c>
      <c r="AH8" s="108">
        <v>5.7000000000000002E-3</v>
      </c>
      <c r="AI8" s="103">
        <v>5.7029999999999997E-2</v>
      </c>
      <c r="AJ8" s="110">
        <v>89850</v>
      </c>
      <c r="AK8" s="108">
        <v>-1.4500000000000001E-2</v>
      </c>
      <c r="AL8" s="108">
        <v>5.5999999999999999E-3</v>
      </c>
      <c r="AM8" s="103">
        <v>2.8400000000000002E-2</v>
      </c>
      <c r="AN8" s="110">
        <v>94556</v>
      </c>
      <c r="AO8" s="108">
        <v>-2.0500000000000001E-2</v>
      </c>
      <c r="AP8" s="108">
        <v>5.1000000000000004E-3</v>
      </c>
      <c r="AQ8" s="109">
        <v>3.6300000000000001E-5</v>
      </c>
      <c r="AR8" s="110">
        <v>90974</v>
      </c>
      <c r="AS8" s="108">
        <v>1.059E-3</v>
      </c>
      <c r="AT8" s="108">
        <v>4.1483900000000001E-3</v>
      </c>
      <c r="AU8" s="103">
        <v>0.86</v>
      </c>
      <c r="AV8" s="101">
        <f t="shared" si="0"/>
        <v>127968</v>
      </c>
      <c r="AW8" s="108">
        <v>2.0272699999999999E-3</v>
      </c>
      <c r="AX8" s="108">
        <v>4.1477199999999997E-3</v>
      </c>
      <c r="AY8" s="103">
        <v>0.64</v>
      </c>
      <c r="AZ8" s="101">
        <f t="shared" si="1"/>
        <v>127776</v>
      </c>
      <c r="BA8" s="108">
        <f>--0.04</f>
        <v>0.04</v>
      </c>
      <c r="BB8" s="108">
        <v>3.2000000000000002E-3</v>
      </c>
      <c r="BC8" s="109">
        <v>2E-35</v>
      </c>
      <c r="BD8" s="101">
        <v>253175</v>
      </c>
      <c r="BE8" s="108">
        <f>--0.013</f>
        <v>1.2999999999999999E-2</v>
      </c>
      <c r="BF8" s="108">
        <v>4.1000000000000003E-3</v>
      </c>
      <c r="BG8" s="109">
        <v>1.521E-3</v>
      </c>
      <c r="BH8" s="101">
        <v>233973</v>
      </c>
      <c r="BI8" s="108">
        <v>-1.7999999999999999E-2</v>
      </c>
      <c r="BJ8" s="108">
        <v>4.5999999999999999E-3</v>
      </c>
      <c r="BK8" s="109">
        <v>1.3999999999999999E-4</v>
      </c>
      <c r="BL8" s="101">
        <v>142738</v>
      </c>
      <c r="BM8" s="108">
        <f>--0.0258</f>
        <v>2.58E-2</v>
      </c>
      <c r="BN8" s="108">
        <v>1.0999999999999999E-2</v>
      </c>
      <c r="BO8" s="103">
        <v>1.9089999999999999E-2</v>
      </c>
      <c r="BP8" s="110">
        <v>22261</v>
      </c>
      <c r="BQ8" s="108">
        <v>3.8199999999999998E-2</v>
      </c>
      <c r="BR8" s="108">
        <v>1.5599999999999999E-2</v>
      </c>
      <c r="BS8" s="108">
        <v>1.464E-2</v>
      </c>
      <c r="BT8" s="110">
        <v>10767</v>
      </c>
      <c r="BU8" s="108">
        <v>-4.4999999999999997E-3</v>
      </c>
      <c r="BV8" s="108">
        <v>2.9000000000000001E-2</v>
      </c>
      <c r="BW8" s="103">
        <v>0.87680000000000002</v>
      </c>
      <c r="BX8" s="101" t="s">
        <v>637</v>
      </c>
      <c r="BY8" s="108">
        <v>2.2159765424071099E-2</v>
      </c>
      <c r="BZ8" s="108">
        <v>1.3410419676397301E-2</v>
      </c>
      <c r="CA8" s="103">
        <v>0.10624974167868299</v>
      </c>
      <c r="CB8" s="101">
        <v>13960</v>
      </c>
      <c r="CC8" s="108">
        <v>2.0584611245910701E-2</v>
      </c>
      <c r="CD8" s="108">
        <v>1.48482875314243E-2</v>
      </c>
      <c r="CE8" s="103">
        <v>0.171522788366716</v>
      </c>
      <c r="CF8" s="101">
        <v>10799</v>
      </c>
      <c r="CG8" s="108">
        <v>1.2194E-2</v>
      </c>
      <c r="CH8" s="108">
        <v>1.4546E-2</v>
      </c>
      <c r="CI8" s="103">
        <v>0.40500999999999998</v>
      </c>
      <c r="CJ8" s="101">
        <v>9916</v>
      </c>
      <c r="CK8" s="108">
        <v>-1.5E-3</v>
      </c>
      <c r="CL8" s="108">
        <v>8.9999999999999993E-3</v>
      </c>
      <c r="CM8" s="103">
        <v>0.86629999999999996</v>
      </c>
      <c r="CN8" s="110">
        <v>30112</v>
      </c>
    </row>
    <row r="9" spans="1:93" ht="16" x14ac:dyDescent="0.2">
      <c r="A9" s="105" t="s">
        <v>2</v>
      </c>
      <c r="B9" s="99" t="s">
        <v>598</v>
      </c>
      <c r="C9" s="99">
        <v>7</v>
      </c>
      <c r="D9" s="100">
        <v>44231778</v>
      </c>
      <c r="E9" s="113"/>
      <c r="F9" s="101"/>
      <c r="G9" s="99" t="s">
        <v>594</v>
      </c>
      <c r="H9" s="99" t="s">
        <v>589</v>
      </c>
      <c r="I9" s="101">
        <v>1.04</v>
      </c>
      <c r="J9" s="103">
        <f>(1.09-I9)/1.96</f>
        <v>2.5510204081632678E-2</v>
      </c>
      <c r="K9" s="101">
        <v>0.13</v>
      </c>
      <c r="L9" s="109" t="s">
        <v>616</v>
      </c>
      <c r="M9" s="108">
        <v>6.0999999999999999E-2</v>
      </c>
      <c r="N9" s="108">
        <v>4.1000000000000003E-3</v>
      </c>
      <c r="O9" s="109">
        <v>2.612E-36</v>
      </c>
      <c r="P9" s="111">
        <v>76558</v>
      </c>
      <c r="Q9" s="108">
        <v>5.1000000000000004E-3</v>
      </c>
      <c r="R9" s="108">
        <v>4.1999999999999997E-3</v>
      </c>
      <c r="S9" s="103">
        <v>0.22500000000000001</v>
      </c>
      <c r="T9" s="111">
        <v>76558</v>
      </c>
      <c r="U9" s="108">
        <v>-1.2E-2</v>
      </c>
      <c r="V9" s="108">
        <v>9.1999999999999998E-3</v>
      </c>
      <c r="W9" s="103">
        <v>0.19769999999999999</v>
      </c>
      <c r="X9" s="111">
        <v>10701</v>
      </c>
      <c r="Y9" s="108">
        <v>-9.0781999999999998E-3</v>
      </c>
      <c r="Z9" s="108">
        <v>1.8667799999999998E-2</v>
      </c>
      <c r="AA9" s="103">
        <v>0.62675069999999999</v>
      </c>
      <c r="AB9" s="103" t="s">
        <v>622</v>
      </c>
      <c r="AC9" s="108">
        <v>-4.0000000000000002E-4</v>
      </c>
      <c r="AD9" s="108">
        <v>4.4000000000000003E-3</v>
      </c>
      <c r="AE9" s="103">
        <v>0.81979999999999997</v>
      </c>
      <c r="AF9" s="110">
        <v>186354.99</v>
      </c>
      <c r="AG9" s="108">
        <v>-6.0000000000000001E-3</v>
      </c>
      <c r="AH9" s="108">
        <v>4.7000000000000002E-3</v>
      </c>
      <c r="AI9" s="103">
        <v>0.376</v>
      </c>
      <c r="AJ9" s="110">
        <v>172286</v>
      </c>
      <c r="AK9" s="108">
        <v>-4.1999999999999997E-3</v>
      </c>
      <c r="AL9" s="108">
        <v>4.4999999999999997E-3</v>
      </c>
      <c r="AM9" s="103">
        <v>0.66620000000000001</v>
      </c>
      <c r="AN9" s="110">
        <v>186551.14</v>
      </c>
      <c r="AO9" s="108">
        <v>6.1000000000000004E-3</v>
      </c>
      <c r="AP9" s="108">
        <v>4.3E-3</v>
      </c>
      <c r="AQ9" s="103">
        <v>9.6019999999999994E-2</v>
      </c>
      <c r="AR9" s="110">
        <v>177058.06</v>
      </c>
      <c r="AS9" s="108">
        <f>--0.0117924</f>
        <v>1.17924E-2</v>
      </c>
      <c r="AT9" s="108">
        <v>4.6296000000000002E-3</v>
      </c>
      <c r="AU9" s="109">
        <v>9.9000000000000008E-3</v>
      </c>
      <c r="AV9" s="101">
        <f t="shared" si="0"/>
        <v>127968</v>
      </c>
      <c r="AW9" s="108">
        <v>-1.05383E-3</v>
      </c>
      <c r="AX9" s="108">
        <v>4.6317499999999996E-3</v>
      </c>
      <c r="AY9" s="103">
        <v>0.82</v>
      </c>
      <c r="AZ9" s="101">
        <f t="shared" si="1"/>
        <v>127776</v>
      </c>
      <c r="BA9" s="108">
        <v>-2.3E-3</v>
      </c>
      <c r="BB9" s="108">
        <v>3.8999999999999998E-3</v>
      </c>
      <c r="BC9" s="103">
        <v>0.56000000000000005</v>
      </c>
      <c r="BD9" s="101">
        <v>237544</v>
      </c>
      <c r="BE9" s="108">
        <f>--0.0032</f>
        <v>3.2000000000000002E-3</v>
      </c>
      <c r="BF9" s="108">
        <v>4.0000000000000001E-3</v>
      </c>
      <c r="BG9" s="103">
        <v>0.42249999999999999</v>
      </c>
      <c r="BH9" s="101">
        <v>309230</v>
      </c>
      <c r="BI9" s="108">
        <f>--0.0004</f>
        <v>4.0000000000000002E-4</v>
      </c>
      <c r="BJ9" s="108">
        <v>4.4999999999999997E-3</v>
      </c>
      <c r="BK9" s="101">
        <v>0.93</v>
      </c>
      <c r="BL9" s="101">
        <v>197137</v>
      </c>
      <c r="BM9" s="108">
        <v>-3.2000000000000002E-3</v>
      </c>
      <c r="BN9" s="108">
        <v>1.29E-2</v>
      </c>
      <c r="BO9" s="103">
        <v>0.80640000000000001</v>
      </c>
      <c r="BP9" s="110">
        <v>22335</v>
      </c>
      <c r="BQ9" s="108">
        <v>-3.56E-2</v>
      </c>
      <c r="BR9" s="108">
        <v>1.8599999999999998E-2</v>
      </c>
      <c r="BS9" s="108">
        <v>5.6370000000000003E-2</v>
      </c>
      <c r="BT9" s="110">
        <v>10729.3</v>
      </c>
      <c r="BU9" s="108">
        <v>5.1799999999999999E-2</v>
      </c>
      <c r="BV9" s="108">
        <v>3.4000000000000002E-2</v>
      </c>
      <c r="BW9" s="103">
        <v>0.12720000000000001</v>
      </c>
      <c r="BX9" s="101" t="s">
        <v>637</v>
      </c>
      <c r="BY9" s="108">
        <v>-7.3695145276072398E-3</v>
      </c>
      <c r="BZ9" s="108">
        <v>1.6181074926276601E-2</v>
      </c>
      <c r="CA9" s="103">
        <v>0.65616000753602299</v>
      </c>
      <c r="CB9" s="101">
        <v>13960</v>
      </c>
      <c r="CC9" s="108">
        <v>-8.7660199882196293E-3</v>
      </c>
      <c r="CD9" s="108">
        <v>1.8177544961802499E-2</v>
      </c>
      <c r="CE9" s="103">
        <v>0.63432188544277102</v>
      </c>
      <c r="CF9" s="101">
        <v>10799</v>
      </c>
      <c r="CG9" s="108">
        <v>-2.6350000000000002E-3</v>
      </c>
      <c r="CH9" s="108">
        <v>1.6386999999999999E-2</v>
      </c>
      <c r="CI9" s="103">
        <v>0.87307199999999996</v>
      </c>
      <c r="CJ9" s="101">
        <v>9914</v>
      </c>
      <c r="CK9" s="108">
        <v>4.4000000000000003E-3</v>
      </c>
      <c r="CL9" s="108">
        <v>1.0699999999999999E-2</v>
      </c>
      <c r="CM9" s="103">
        <v>0.6774</v>
      </c>
      <c r="CN9" s="110">
        <v>30336.400000000001</v>
      </c>
    </row>
    <row r="10" spans="1:93" ht="16" x14ac:dyDescent="0.2">
      <c r="A10" s="105" t="s">
        <v>591</v>
      </c>
      <c r="B10" s="99" t="s">
        <v>592</v>
      </c>
      <c r="C10" s="99">
        <v>5</v>
      </c>
      <c r="D10" s="100">
        <v>157894747</v>
      </c>
      <c r="E10" s="113" t="s">
        <v>593</v>
      </c>
      <c r="F10" s="103">
        <v>1</v>
      </c>
      <c r="G10" s="99" t="s">
        <v>594</v>
      </c>
      <c r="H10" s="99" t="s">
        <v>589</v>
      </c>
      <c r="I10" s="101">
        <v>0.98</v>
      </c>
      <c r="J10" s="103">
        <f>(1.06-I10)/1.96</f>
        <v>4.0816326530612283E-2</v>
      </c>
      <c r="K10" s="101">
        <v>0.41</v>
      </c>
      <c r="L10" s="109" t="s">
        <v>616</v>
      </c>
      <c r="M10" s="108">
        <v>-5.3E-3</v>
      </c>
      <c r="N10" s="108">
        <v>3.5000000000000001E-3</v>
      </c>
      <c r="O10" s="103">
        <v>0.1298</v>
      </c>
      <c r="P10" s="111">
        <v>76558</v>
      </c>
      <c r="Q10" s="108">
        <v>-7.4000000000000003E-3</v>
      </c>
      <c r="R10" s="108">
        <v>3.5999999999999999E-3</v>
      </c>
      <c r="S10" s="103">
        <v>4.1660000000000003E-2</v>
      </c>
      <c r="T10" s="111">
        <v>76558</v>
      </c>
      <c r="U10" s="108">
        <v>-5.7999999999999996E-3</v>
      </c>
      <c r="V10" s="108">
        <v>7.9000000000000008E-3</v>
      </c>
      <c r="W10" s="103">
        <v>0.46139999999999998</v>
      </c>
      <c r="X10" s="111">
        <v>10701</v>
      </c>
      <c r="Y10" s="108">
        <v>-3.1814999999999999E-3</v>
      </c>
      <c r="Z10" s="108">
        <v>1.59212E-2</v>
      </c>
      <c r="AA10" s="103">
        <v>0.84161459999999999</v>
      </c>
      <c r="AB10" s="103" t="s">
        <v>622</v>
      </c>
      <c r="AC10" s="108">
        <v>1.4E-2</v>
      </c>
      <c r="AD10" s="108">
        <v>5.4000000000000003E-3</v>
      </c>
      <c r="AE10" s="103">
        <v>1.6080000000000001E-2</v>
      </c>
      <c r="AF10" s="110">
        <v>94311</v>
      </c>
      <c r="AG10" s="108">
        <v>-9.2999999999999992E-3</v>
      </c>
      <c r="AH10" s="108">
        <v>5.8999999999999999E-3</v>
      </c>
      <c r="AI10" s="103">
        <v>0.21820000000000001</v>
      </c>
      <c r="AJ10" s="110">
        <v>89888</v>
      </c>
      <c r="AK10" s="108">
        <v>-8.6999999999999994E-3</v>
      </c>
      <c r="AL10" s="108">
        <v>5.7999999999999996E-3</v>
      </c>
      <c r="AM10" s="103">
        <v>0.17349999999999999</v>
      </c>
      <c r="AN10" s="110">
        <v>94595</v>
      </c>
      <c r="AO10" s="108">
        <v>-5.5999999999999999E-3</v>
      </c>
      <c r="AP10" s="108">
        <v>5.3E-3</v>
      </c>
      <c r="AQ10" s="103">
        <v>7.0940000000000003E-2</v>
      </c>
      <c r="AR10" s="110">
        <v>91013</v>
      </c>
      <c r="AS10" s="108">
        <v>-1.8105599999999999E-2</v>
      </c>
      <c r="AT10" s="108">
        <v>4.3147799999999998E-3</v>
      </c>
      <c r="AU10" s="109">
        <v>1.2999999999999999E-5</v>
      </c>
      <c r="AV10" s="101">
        <f t="shared" si="0"/>
        <v>127968</v>
      </c>
      <c r="AW10" s="108">
        <v>-1.34885E-2</v>
      </c>
      <c r="AX10" s="108">
        <v>4.3174099999999998E-3</v>
      </c>
      <c r="AY10" s="109">
        <v>2.0999999999999999E-3</v>
      </c>
      <c r="AZ10" s="101">
        <f t="shared" si="1"/>
        <v>127776</v>
      </c>
      <c r="BA10" s="108">
        <v>5.3E-3</v>
      </c>
      <c r="BB10" s="108">
        <v>3.3E-3</v>
      </c>
      <c r="BC10" s="103">
        <v>0.11</v>
      </c>
      <c r="BD10" s="101">
        <v>253199</v>
      </c>
      <c r="BE10" s="108">
        <f>--0.0019</f>
        <v>1.9E-3</v>
      </c>
      <c r="BF10" s="108">
        <v>4.3E-3</v>
      </c>
      <c r="BG10" s="103">
        <v>0.65859999999999996</v>
      </c>
      <c r="BH10" s="101">
        <v>233987</v>
      </c>
      <c r="BI10" s="108">
        <v>-8.2000000000000007E-3</v>
      </c>
      <c r="BJ10" s="108">
        <v>4.7999999999999996E-3</v>
      </c>
      <c r="BK10" s="103">
        <v>8.7999999999999995E-2</v>
      </c>
      <c r="BL10" s="101">
        <v>142690</v>
      </c>
      <c r="BM10" s="108">
        <v>-1.1000000000000001E-3</v>
      </c>
      <c r="BN10" s="108">
        <v>1.17E-2</v>
      </c>
      <c r="BO10" s="103">
        <v>0.92379999999999995</v>
      </c>
      <c r="BP10" s="110">
        <v>22211</v>
      </c>
      <c r="BQ10" s="108">
        <v>5.1999999999999998E-3</v>
      </c>
      <c r="BR10" s="108">
        <v>1.6500000000000001E-2</v>
      </c>
      <c r="BS10" s="108">
        <v>0.75080000000000002</v>
      </c>
      <c r="BT10" s="110">
        <v>10767.8</v>
      </c>
      <c r="BU10" s="108">
        <v>1.0999999999999999E-2</v>
      </c>
      <c r="BV10" s="108">
        <v>0.03</v>
      </c>
      <c r="BW10" s="103">
        <v>0.71430000000000005</v>
      </c>
      <c r="BX10" s="101" t="s">
        <v>637</v>
      </c>
      <c r="BY10" s="108">
        <v>-1.5244426527963E-4</v>
      </c>
      <c r="BZ10" s="108">
        <v>1.3980946593723301E-2</v>
      </c>
      <c r="CA10" s="103">
        <v>0.99149543542991003</v>
      </c>
      <c r="CB10" s="101">
        <v>13958</v>
      </c>
      <c r="CC10" s="108">
        <f>--0.0167699734299218</f>
        <v>1.67699734299218E-2</v>
      </c>
      <c r="CD10" s="108">
        <v>1.5644099780717301E-2</v>
      </c>
      <c r="CE10" s="103">
        <v>0.29037773924148103</v>
      </c>
      <c r="CF10" s="101">
        <v>10799</v>
      </c>
      <c r="CG10" s="108">
        <v>1.1464999999999999E-2</v>
      </c>
      <c r="CH10" s="108">
        <v>1.5158E-2</v>
      </c>
      <c r="CI10" s="103">
        <v>0.45249899999999998</v>
      </c>
      <c r="CJ10" s="101">
        <v>9916</v>
      </c>
      <c r="CK10" s="108">
        <v>-8.3999999999999995E-3</v>
      </c>
      <c r="CL10" s="108">
        <v>9.5999999999999992E-3</v>
      </c>
      <c r="CM10" s="103">
        <v>0.38019999999999998</v>
      </c>
      <c r="CN10" s="110">
        <v>30117</v>
      </c>
    </row>
    <row r="11" spans="1:93" ht="16" x14ac:dyDescent="0.2">
      <c r="A11" s="105" t="s">
        <v>603</v>
      </c>
      <c r="B11" s="99" t="s">
        <v>604</v>
      </c>
      <c r="C11" s="99">
        <v>10</v>
      </c>
      <c r="D11" s="100">
        <v>114758349</v>
      </c>
      <c r="E11" s="113"/>
      <c r="F11" s="101"/>
      <c r="G11" s="99" t="s">
        <v>594</v>
      </c>
      <c r="H11" s="99" t="s">
        <v>589</v>
      </c>
      <c r="I11" s="101">
        <v>1.4</v>
      </c>
      <c r="J11" s="103">
        <f>(1.46-I11)/1.96</f>
        <v>3.0612244897959211E-2</v>
      </c>
      <c r="K11" s="109">
        <v>7.8000000000000003E-75</v>
      </c>
      <c r="L11" s="109" t="s">
        <v>616</v>
      </c>
      <c r="M11" s="108">
        <v>2.1000000000000001E-2</v>
      </c>
      <c r="N11" s="108">
        <v>3.5000000000000001E-3</v>
      </c>
      <c r="O11" s="109">
        <v>1.14E-9</v>
      </c>
      <c r="P11" s="111">
        <v>76558</v>
      </c>
      <c r="Q11" s="108">
        <v>-1.7999999999999999E-2</v>
      </c>
      <c r="R11" s="108">
        <v>3.5999999999999999E-3</v>
      </c>
      <c r="S11" s="109">
        <v>2.7570000000000001E-7</v>
      </c>
      <c r="T11" s="111">
        <v>76558</v>
      </c>
      <c r="U11" s="108">
        <v>6.7000000000000004E-2</v>
      </c>
      <c r="V11" s="108">
        <v>7.7000000000000002E-3</v>
      </c>
      <c r="W11" s="109">
        <v>3.4840000000000001E-18</v>
      </c>
      <c r="X11" s="111">
        <v>10701</v>
      </c>
      <c r="Y11" s="108">
        <f>--0.0192779</f>
        <v>1.9277900000000001E-2</v>
      </c>
      <c r="Z11" s="108">
        <v>1.5158100000000001E-2</v>
      </c>
      <c r="AA11" s="103">
        <v>0.20344670000000001</v>
      </c>
      <c r="AB11" s="103" t="s">
        <v>622</v>
      </c>
      <c r="AC11" s="108">
        <v>4.1000000000000003E-3</v>
      </c>
      <c r="AD11" s="108">
        <v>3.8E-3</v>
      </c>
      <c r="AE11" s="103">
        <v>0.30520000000000003</v>
      </c>
      <c r="AF11" s="110">
        <v>187095</v>
      </c>
      <c r="AG11" s="108">
        <v>5.4999999999999997E-3</v>
      </c>
      <c r="AH11" s="108">
        <v>4.1000000000000003E-3</v>
      </c>
      <c r="AI11" s="103">
        <v>0.1643</v>
      </c>
      <c r="AJ11" s="110">
        <v>173022</v>
      </c>
      <c r="AK11" s="108">
        <v>8.8000000000000005E-3</v>
      </c>
      <c r="AL11" s="108">
        <v>3.8999999999999998E-3</v>
      </c>
      <c r="AM11" s="103">
        <v>2.2589999999999999E-2</v>
      </c>
      <c r="AN11" s="110">
        <v>187281.1</v>
      </c>
      <c r="AO11" s="108">
        <v>5.9999999999999995E-4</v>
      </c>
      <c r="AP11" s="108">
        <v>3.7000000000000002E-3</v>
      </c>
      <c r="AQ11" s="103">
        <v>0.64319999999999999</v>
      </c>
      <c r="AR11" s="110">
        <v>177788</v>
      </c>
      <c r="AS11" s="108">
        <f>--0.0082087</f>
        <v>8.2086999999999993E-3</v>
      </c>
      <c r="AT11" s="108">
        <v>4.2037999999999997E-3</v>
      </c>
      <c r="AU11" s="103">
        <v>3.2000000000000001E-2</v>
      </c>
      <c r="AV11" s="101">
        <f t="shared" si="0"/>
        <v>127968</v>
      </c>
      <c r="AW11" s="108">
        <f>--0.00017283</f>
        <v>1.7283000000000001E-4</v>
      </c>
      <c r="AX11" s="108">
        <v>4.2047300000000003E-3</v>
      </c>
      <c r="AY11" s="103">
        <v>0.9</v>
      </c>
      <c r="AZ11" s="101">
        <f t="shared" si="1"/>
        <v>127776</v>
      </c>
      <c r="BA11" s="108">
        <v>1.9E-3</v>
      </c>
      <c r="BB11" s="108">
        <v>3.2000000000000002E-3</v>
      </c>
      <c r="BC11" s="103">
        <v>0.56999999999999995</v>
      </c>
      <c r="BD11" s="101">
        <v>253171</v>
      </c>
      <c r="BE11" s="108">
        <v>-2.3400000000000001E-2</v>
      </c>
      <c r="BF11" s="108">
        <v>3.3999999999999998E-3</v>
      </c>
      <c r="BG11" s="109">
        <v>1.1119999999999999E-11</v>
      </c>
      <c r="BH11" s="101">
        <v>322130</v>
      </c>
      <c r="BI11" s="108">
        <v>9.7999999999999997E-3</v>
      </c>
      <c r="BJ11" s="108">
        <v>3.8E-3</v>
      </c>
      <c r="BK11" s="103">
        <v>9.5999999999999992E-3</v>
      </c>
      <c r="BL11" s="101">
        <v>209979</v>
      </c>
      <c r="BM11" s="108">
        <v>9.9000000000000008E-3</v>
      </c>
      <c r="BN11" s="108">
        <v>9.7000000000000003E-3</v>
      </c>
      <c r="BO11" s="103">
        <v>0.30499999999999999</v>
      </c>
      <c r="BP11" s="110">
        <v>28336</v>
      </c>
      <c r="BQ11" s="108">
        <v>-3.3E-3</v>
      </c>
      <c r="BR11" s="108">
        <v>1.6E-2</v>
      </c>
      <c r="BS11" s="108">
        <v>0.83850000000000002</v>
      </c>
      <c r="BT11" s="110">
        <v>10758</v>
      </c>
      <c r="BU11" s="108">
        <v>-5.6599999999999998E-2</v>
      </c>
      <c r="BV11" s="108">
        <v>2.92E-2</v>
      </c>
      <c r="BW11" s="103">
        <v>5.2780000000000001E-2</v>
      </c>
      <c r="BX11" s="101" t="s">
        <v>637</v>
      </c>
      <c r="BY11" s="108">
        <f>--0.00285873814337271</f>
        <v>2.85873814337271E-3</v>
      </c>
      <c r="BZ11" s="108">
        <v>1.39011349307381E-2</v>
      </c>
      <c r="CA11" s="103">
        <v>0.84067198287474298</v>
      </c>
      <c r="CB11" s="101">
        <v>13950</v>
      </c>
      <c r="CC11" s="108">
        <v>-3.6072451705535701E-4</v>
      </c>
      <c r="CD11" s="108">
        <v>1.56732711275803E-2</v>
      </c>
      <c r="CE11" s="103">
        <v>0.98188894729571696</v>
      </c>
      <c r="CF11" s="101">
        <v>10788</v>
      </c>
      <c r="CG11" s="108">
        <v>-9.3980000000000001E-3</v>
      </c>
      <c r="CH11" s="108">
        <v>1.4633999999999999E-2</v>
      </c>
      <c r="CI11" s="103">
        <v>0.523563</v>
      </c>
      <c r="CJ11" s="101">
        <v>9912</v>
      </c>
      <c r="CK11" s="108">
        <v>-1.77E-2</v>
      </c>
      <c r="CL11" s="108">
        <v>8.6999999999999994E-3</v>
      </c>
      <c r="CM11" s="103">
        <v>4.2700000000000002E-2</v>
      </c>
      <c r="CN11" s="110">
        <v>35658</v>
      </c>
    </row>
    <row r="12" spans="1:93" ht="16" x14ac:dyDescent="0.2">
      <c r="A12" s="105" t="s">
        <v>609</v>
      </c>
      <c r="B12" s="99" t="s">
        <v>610</v>
      </c>
      <c r="C12" s="99">
        <v>19</v>
      </c>
      <c r="D12" s="100">
        <v>8787273</v>
      </c>
      <c r="E12" s="113"/>
      <c r="F12" s="101"/>
      <c r="G12" s="102" t="s">
        <v>589</v>
      </c>
      <c r="H12" s="102" t="s">
        <v>594</v>
      </c>
      <c r="I12" s="101">
        <v>1.02</v>
      </c>
      <c r="J12" s="103">
        <f>(1.08-I12)/1.96</f>
        <v>3.0612244897959211E-2</v>
      </c>
      <c r="K12" s="101">
        <v>0.51</v>
      </c>
      <c r="L12" s="109" t="s">
        <v>616</v>
      </c>
      <c r="M12" s="108">
        <v>-4.1000000000000003E-3</v>
      </c>
      <c r="N12" s="108">
        <v>4.1999999999999997E-3</v>
      </c>
      <c r="O12" s="103">
        <v>0.33019999999999999</v>
      </c>
      <c r="P12" s="111">
        <v>76558</v>
      </c>
      <c r="Q12" s="108">
        <v>-6.1999999999999998E-3</v>
      </c>
      <c r="R12" s="108">
        <v>4.1999999999999997E-3</v>
      </c>
      <c r="S12" s="103">
        <v>0.1341</v>
      </c>
      <c r="T12" s="111">
        <v>76558</v>
      </c>
      <c r="U12" s="108">
        <v>-5.7999999999999996E-3</v>
      </c>
      <c r="V12" s="108">
        <v>9.9000000000000008E-3</v>
      </c>
      <c r="W12" s="103">
        <v>0.55700000000000005</v>
      </c>
      <c r="X12" s="111">
        <v>10701</v>
      </c>
      <c r="Y12" s="108">
        <v>-1.5821700000000001E-2</v>
      </c>
      <c r="Z12" s="108">
        <v>2.1802800000000001E-2</v>
      </c>
      <c r="AA12" s="103">
        <v>0.46804030000000002</v>
      </c>
      <c r="AB12" s="103" t="s">
        <v>622</v>
      </c>
      <c r="AC12" s="108">
        <v>6.9999999999999999E-4</v>
      </c>
      <c r="AD12" s="108">
        <v>6.8999999999999999E-3</v>
      </c>
      <c r="AE12" s="103">
        <v>0.95009999999999994</v>
      </c>
      <c r="AF12" s="110">
        <v>90441</v>
      </c>
      <c r="AG12" s="108">
        <v>-4.0000000000000002E-4</v>
      </c>
      <c r="AH12" s="108">
        <v>7.3000000000000001E-3</v>
      </c>
      <c r="AI12" s="103">
        <v>0.93189999999999995</v>
      </c>
      <c r="AJ12" s="110">
        <v>86082</v>
      </c>
      <c r="AK12" s="108">
        <v>-2.8999999999999998E-3</v>
      </c>
      <c r="AL12" s="108">
        <v>7.1999999999999998E-3</v>
      </c>
      <c r="AM12" s="103">
        <v>0.60599999999999998</v>
      </c>
      <c r="AN12" s="110">
        <v>90681</v>
      </c>
      <c r="AO12" s="108">
        <v>-7.7000000000000002E-3</v>
      </c>
      <c r="AP12" s="108">
        <v>6.6E-3</v>
      </c>
      <c r="AQ12" s="103">
        <v>9.0120000000000006E-2</v>
      </c>
      <c r="AR12" s="110">
        <v>87099</v>
      </c>
      <c r="AS12" s="108">
        <v>3.1115599999999999E-4</v>
      </c>
      <c r="AT12" s="108">
        <v>5.2980099999999997E-3</v>
      </c>
      <c r="AU12" s="103">
        <v>0.93</v>
      </c>
      <c r="AV12" s="101">
        <f t="shared" si="0"/>
        <v>127968</v>
      </c>
      <c r="AW12" s="108">
        <v>-4.1803099999999996E-3</v>
      </c>
      <c r="AX12" s="108">
        <v>5.2994799999999996E-3</v>
      </c>
      <c r="AY12" s="103">
        <v>0.36</v>
      </c>
      <c r="AZ12" s="101">
        <f t="shared" si="1"/>
        <v>127776</v>
      </c>
      <c r="BA12" s="108">
        <f>--0.016</f>
        <v>1.6E-2</v>
      </c>
      <c r="BB12" s="108">
        <v>4.1999999999999997E-3</v>
      </c>
      <c r="BC12" s="109">
        <v>1.2999999999999999E-4</v>
      </c>
      <c r="BD12" s="101">
        <v>234228</v>
      </c>
      <c r="BE12" s="108">
        <v>-5.8999999999999999E-3</v>
      </c>
      <c r="BF12" s="108">
        <v>5.3E-3</v>
      </c>
      <c r="BG12" s="103">
        <v>0.2656</v>
      </c>
      <c r="BH12" s="101">
        <v>222075</v>
      </c>
      <c r="BI12" s="108">
        <v>-4.8999999999999998E-3</v>
      </c>
      <c r="BJ12" s="108">
        <v>6.0000000000000001E-3</v>
      </c>
      <c r="BK12" s="101">
        <v>0.41</v>
      </c>
      <c r="BL12" s="101">
        <v>133070</v>
      </c>
      <c r="BM12" s="108">
        <f>--0.0299</f>
        <v>2.9899999999999999E-2</v>
      </c>
      <c r="BN12" s="108">
        <v>1.37E-2</v>
      </c>
      <c r="BO12" s="103">
        <v>2.8670000000000001E-2</v>
      </c>
      <c r="BP12" s="110">
        <v>21382</v>
      </c>
      <c r="BQ12" s="108">
        <v>-8.8999999999999999E-3</v>
      </c>
      <c r="BR12" s="108">
        <v>1.9199999999999998E-2</v>
      </c>
      <c r="BS12" s="108">
        <v>0.64259999999999995</v>
      </c>
      <c r="BT12" s="110">
        <v>10410.9</v>
      </c>
      <c r="BU12" s="108">
        <f>--0.0045</f>
        <v>4.4999999999999997E-3</v>
      </c>
      <c r="BV12" s="108">
        <v>3.6200000000000003E-2</v>
      </c>
      <c r="BW12" s="103">
        <v>0.90110000000000001</v>
      </c>
      <c r="BX12" s="101" t="s">
        <v>637</v>
      </c>
      <c r="BY12" s="108">
        <v>-2.3974148235716301E-2</v>
      </c>
      <c r="BZ12" s="108">
        <v>1.5765298378868298E-2</v>
      </c>
      <c r="CA12" s="103">
        <v>0.13714273523842099</v>
      </c>
      <c r="CB12" s="101">
        <v>13960</v>
      </c>
      <c r="CC12" s="108">
        <v>2.7319934256742E-2</v>
      </c>
      <c r="CD12" s="108">
        <v>1.69047471111144E-2</v>
      </c>
      <c r="CE12" s="103">
        <v>0.110950799310605</v>
      </c>
      <c r="CF12" s="101">
        <v>10799</v>
      </c>
      <c r="CG12" s="108">
        <v>-1.2827E-2</v>
      </c>
      <c r="CH12" s="108">
        <v>1.8106000000000001E-2</v>
      </c>
      <c r="CI12" s="103">
        <v>0.48162500000000003</v>
      </c>
      <c r="CJ12" s="101">
        <v>9915</v>
      </c>
      <c r="CK12" s="108">
        <v>-1.9900000000000001E-2</v>
      </c>
      <c r="CL12" s="108">
        <v>1.0999999999999999E-2</v>
      </c>
      <c r="CM12" s="103">
        <v>7.0809999999999998E-2</v>
      </c>
      <c r="CN12" s="110">
        <v>29991</v>
      </c>
    </row>
    <row r="13" spans="1:93" ht="16" x14ac:dyDescent="0.2">
      <c r="A13" s="105" t="s">
        <v>645</v>
      </c>
      <c r="B13" s="99" t="s">
        <v>599</v>
      </c>
      <c r="C13" s="99">
        <v>7</v>
      </c>
      <c r="D13" s="100">
        <v>99332948</v>
      </c>
      <c r="E13" s="113" t="s">
        <v>600</v>
      </c>
      <c r="F13" s="103">
        <v>0.41399999999999998</v>
      </c>
      <c r="G13" s="99" t="s">
        <v>601</v>
      </c>
      <c r="H13" s="99" t="s">
        <v>602</v>
      </c>
      <c r="I13" s="101">
        <v>0.98</v>
      </c>
      <c r="J13" s="103">
        <f>(1.1-1.02)/1.96</f>
        <v>4.0816326530612283E-2</v>
      </c>
      <c r="K13" s="103">
        <v>0.64</v>
      </c>
      <c r="L13" s="109" t="s">
        <v>616</v>
      </c>
      <c r="M13" s="108">
        <v>-3.0999999999999999E-3</v>
      </c>
      <c r="N13" s="108">
        <v>8.2000000000000007E-3</v>
      </c>
      <c r="O13" s="103">
        <v>0.71120000000000005</v>
      </c>
      <c r="P13" s="111">
        <v>76558</v>
      </c>
      <c r="Q13" s="108">
        <v>8.0000000000000004E-4</v>
      </c>
      <c r="R13" s="108">
        <v>8.6E-3</v>
      </c>
      <c r="S13" s="103">
        <v>0.92830000000000001</v>
      </c>
      <c r="T13" s="111">
        <v>76558</v>
      </c>
      <c r="U13" s="108">
        <v>3.7000000000000002E-3</v>
      </c>
      <c r="V13" s="108">
        <v>1.7000000000000001E-2</v>
      </c>
      <c r="W13" s="103">
        <v>0.82279999999999998</v>
      </c>
      <c r="X13" s="111">
        <v>10701</v>
      </c>
      <c r="Y13" s="108">
        <v>-2.7607799999999998E-2</v>
      </c>
      <c r="Z13" s="108">
        <v>3.0791200000000001E-2</v>
      </c>
      <c r="AA13" s="103">
        <v>0.36992540000000002</v>
      </c>
      <c r="AB13" s="103" t="s">
        <v>622</v>
      </c>
      <c r="AC13" s="108">
        <v>6.8999999999999999E-3</v>
      </c>
      <c r="AD13" s="108">
        <v>1.15E-2</v>
      </c>
      <c r="AE13" s="103">
        <v>0.49859999999999999</v>
      </c>
      <c r="AF13" s="110">
        <v>93590</v>
      </c>
      <c r="AG13" s="108">
        <v>-5.0000000000000001E-3</v>
      </c>
      <c r="AH13" s="108">
        <v>1.2699999999999999E-2</v>
      </c>
      <c r="AI13" s="103">
        <v>0.8</v>
      </c>
      <c r="AJ13" s="110">
        <v>89203</v>
      </c>
      <c r="AK13" s="108">
        <v>-1.5299999999999999E-2</v>
      </c>
      <c r="AL13" s="108">
        <v>1.24E-2</v>
      </c>
      <c r="AM13" s="103">
        <v>0.3271</v>
      </c>
      <c r="AN13" s="110">
        <v>93874</v>
      </c>
      <c r="AO13" s="108">
        <v>-2.5000000000000001E-3</v>
      </c>
      <c r="AP13" s="108">
        <v>1.11E-2</v>
      </c>
      <c r="AQ13" s="103">
        <v>0.95199999999999996</v>
      </c>
      <c r="AR13" s="110">
        <v>90292</v>
      </c>
      <c r="AS13" s="108">
        <v>-3.19184E-2</v>
      </c>
      <c r="AT13" s="108">
        <v>9.4936599999999993E-3</v>
      </c>
      <c r="AU13" s="109">
        <v>6.7000000000000002E-4</v>
      </c>
      <c r="AV13" s="101">
        <f t="shared" si="0"/>
        <v>127968</v>
      </c>
      <c r="AW13" s="108">
        <v>-2.46013E-2</v>
      </c>
      <c r="AX13" s="108">
        <v>9.4989400000000009E-3</v>
      </c>
      <c r="AY13" s="109">
        <v>6.6E-3</v>
      </c>
      <c r="AZ13" s="101">
        <f t="shared" si="1"/>
        <v>127776</v>
      </c>
      <c r="BA13" s="108">
        <v>3.2000000000000001E-2</v>
      </c>
      <c r="BB13" s="108">
        <v>6.7000000000000002E-3</v>
      </c>
      <c r="BC13" s="109">
        <v>1.9E-6</v>
      </c>
      <c r="BD13" s="101">
        <v>251199</v>
      </c>
      <c r="BE13" s="108">
        <v>-1.23E-2</v>
      </c>
      <c r="BF13" s="108">
        <v>8.6E-3</v>
      </c>
      <c r="BG13" s="103">
        <v>0.1527</v>
      </c>
      <c r="BH13" s="101">
        <v>232003</v>
      </c>
      <c r="BI13" s="108">
        <v>-5.4999999999999997E-3</v>
      </c>
      <c r="BJ13" s="108">
        <v>9.7000000000000003E-3</v>
      </c>
      <c r="BK13" s="101">
        <v>0.56999999999999995</v>
      </c>
      <c r="BL13" s="101">
        <v>141820</v>
      </c>
      <c r="BM13" s="108">
        <v>-1.7100000000000001E-2</v>
      </c>
      <c r="BN13" s="108">
        <v>2.0799999999999999E-2</v>
      </c>
      <c r="BO13" s="103">
        <v>0.41120000000000001</v>
      </c>
      <c r="BP13" s="110">
        <v>20940</v>
      </c>
      <c r="BQ13" s="108">
        <v>7.3000000000000001E-3</v>
      </c>
      <c r="BR13" s="108">
        <v>3.1300000000000001E-2</v>
      </c>
      <c r="BS13" s="108">
        <v>0.8165</v>
      </c>
      <c r="BT13" s="110">
        <f>10754.4</f>
        <v>10754.4</v>
      </c>
      <c r="BU13" s="108">
        <v>-4.36E-2</v>
      </c>
      <c r="BV13" s="108">
        <v>5.7299999999999997E-2</v>
      </c>
      <c r="BW13" s="103">
        <v>0.44690000000000002</v>
      </c>
      <c r="BX13" s="101" t="s">
        <v>637</v>
      </c>
      <c r="BY13" s="108">
        <v>-2.70332371390875E-2</v>
      </c>
      <c r="BZ13" s="108">
        <v>2.42204173110767E-2</v>
      </c>
      <c r="CA13" s="103">
        <v>0.27524176373766701</v>
      </c>
      <c r="CB13" s="101">
        <v>13958</v>
      </c>
      <c r="CC13" s="108">
        <v>1.5881624229206401E-2</v>
      </c>
      <c r="CD13" s="108">
        <v>2.54251425363737E-2</v>
      </c>
      <c r="CE13" s="103">
        <v>0.53782718562638898</v>
      </c>
      <c r="CF13" s="101">
        <v>10799</v>
      </c>
      <c r="CG13" s="108">
        <v>2.6740000000000002E-3</v>
      </c>
      <c r="CH13" s="108">
        <v>2.7751999999999999E-2</v>
      </c>
      <c r="CI13" s="103">
        <v>0.92374000000000001</v>
      </c>
      <c r="CJ13" s="101">
        <v>9914</v>
      </c>
      <c r="CK13" s="108">
        <v>5.7000000000000002E-3</v>
      </c>
      <c r="CL13" s="108">
        <v>1.7000000000000001E-2</v>
      </c>
      <c r="CM13" s="103">
        <v>0.73750000000000004</v>
      </c>
      <c r="CN13" s="110">
        <v>28306.9</v>
      </c>
    </row>
    <row r="14" spans="1:93" s="117" customFormat="1" ht="16" x14ac:dyDescent="0.2">
      <c r="A14" s="117" t="s">
        <v>642</v>
      </c>
      <c r="E14" s="118"/>
      <c r="I14" s="119" t="s">
        <v>621</v>
      </c>
      <c r="M14" s="119" t="s">
        <v>620</v>
      </c>
      <c r="Q14" s="117" t="s">
        <v>620</v>
      </c>
      <c r="U14" s="117" t="s">
        <v>619</v>
      </c>
      <c r="Y14" s="119" t="s">
        <v>623</v>
      </c>
      <c r="AC14" s="119" t="s">
        <v>626</v>
      </c>
      <c r="AG14" s="119" t="s">
        <v>628</v>
      </c>
      <c r="AK14" s="119" t="s">
        <v>628</v>
      </c>
      <c r="AO14" s="119" t="s">
        <v>628</v>
      </c>
      <c r="AS14" s="117" t="s">
        <v>640</v>
      </c>
      <c r="AW14" s="117" t="s">
        <v>641</v>
      </c>
      <c r="BA14" s="119" t="s">
        <v>630</v>
      </c>
      <c r="BE14" s="119" t="s">
        <v>631</v>
      </c>
      <c r="BI14" s="119" t="s">
        <v>632</v>
      </c>
      <c r="BM14" s="119" t="s">
        <v>634</v>
      </c>
      <c r="BQ14" s="119" t="s">
        <v>635</v>
      </c>
      <c r="BU14" s="119" t="s">
        <v>636</v>
      </c>
      <c r="BY14" s="119" t="s">
        <v>638</v>
      </c>
      <c r="CC14" s="119" t="s">
        <v>638</v>
      </c>
      <c r="CG14" s="119" t="s">
        <v>639</v>
      </c>
      <c r="CK14" t="s">
        <v>659</v>
      </c>
    </row>
    <row r="15" spans="1:93" s="117" customFormat="1" ht="16" x14ac:dyDescent="0.2">
      <c r="A15" s="117" t="s">
        <v>643</v>
      </c>
      <c r="E15" s="118"/>
      <c r="I15" s="117" t="s">
        <v>617</v>
      </c>
      <c r="M15" s="117" t="s">
        <v>618</v>
      </c>
      <c r="Q15" s="117" t="s">
        <v>618</v>
      </c>
      <c r="U15" s="117" t="s">
        <v>618</v>
      </c>
      <c r="Y15" s="117" t="s">
        <v>624</v>
      </c>
      <c r="AC15" s="117" t="s">
        <v>625</v>
      </c>
      <c r="AG15" s="117" t="s">
        <v>627</v>
      </c>
      <c r="AK15" s="117" t="s">
        <v>627</v>
      </c>
      <c r="AO15" s="117" t="s">
        <v>627</v>
      </c>
      <c r="BA15" s="117" t="s">
        <v>629</v>
      </c>
      <c r="BE15" s="117" t="s">
        <v>629</v>
      </c>
      <c r="BI15" s="117" t="s">
        <v>629</v>
      </c>
      <c r="BM15" s="117" t="s">
        <v>633</v>
      </c>
      <c r="BQ15" s="117" t="s">
        <v>633</v>
      </c>
      <c r="BU15" s="117" t="s">
        <v>633</v>
      </c>
      <c r="BY15" s="117" t="s">
        <v>633</v>
      </c>
      <c r="CC15" s="117" t="s">
        <v>633</v>
      </c>
      <c r="CG15" s="117" t="s">
        <v>633</v>
      </c>
      <c r="CK15" s="117" t="s">
        <v>658</v>
      </c>
    </row>
    <row r="16" spans="1:93" ht="16" x14ac:dyDescent="0.2">
      <c r="E16" s="114"/>
    </row>
  </sheetData>
  <mergeCells count="21">
    <mergeCell ref="I2:L2"/>
    <mergeCell ref="M2:P2"/>
    <mergeCell ref="BU2:BX2"/>
    <mergeCell ref="BQ2:BT2"/>
    <mergeCell ref="BY2:CB2"/>
    <mergeCell ref="AW2:AZ2"/>
    <mergeCell ref="Q2:S2"/>
    <mergeCell ref="U2:W2"/>
    <mergeCell ref="Y2:AB2"/>
    <mergeCell ref="AC2:AF2"/>
    <mergeCell ref="AG2:AJ2"/>
    <mergeCell ref="AK2:AN2"/>
    <mergeCell ref="AO2:AR2"/>
    <mergeCell ref="AS2:AV2"/>
    <mergeCell ref="CK2:CN2"/>
    <mergeCell ref="CG2:CJ2"/>
    <mergeCell ref="BA2:BD2"/>
    <mergeCell ref="BE2:BH2"/>
    <mergeCell ref="BI2:BL2"/>
    <mergeCell ref="BM2:BP2"/>
    <mergeCell ref="CC2:CF2"/>
  </mergeCells>
  <pageMargins left="0.7" right="0.7" top="0.75" bottom="0.75" header="0.3" footer="0.3"/>
  <pageSetup paperSize="9"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Table descriptions</vt:lpstr>
      <vt:lpstr>Supplementary Table 1</vt:lpstr>
      <vt:lpstr>Supplementary Table 2</vt:lpstr>
      <vt:lpstr>Supplementary Table 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Freathy, Rachel</dc:creator>
  <cp:lastModifiedBy>Rachel Freathy</cp:lastModifiedBy>
  <dcterms:created xsi:type="dcterms:W3CDTF">2014-06-26T17:37:16Z</dcterms:created>
  <dcterms:modified xsi:type="dcterms:W3CDTF">2017-09-21T09:46:11Z</dcterms:modified>
</cp:coreProperties>
</file>