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7470" windowHeight="4470" tabRatio="801"/>
  </bookViews>
  <sheets>
    <sheet name="Expt overview" sheetId="28" r:id="rId1"/>
    <sheet name="Table 6" sheetId="27" r:id="rId2"/>
    <sheet name="Expt. 1.1" sheetId="3" r:id="rId3"/>
    <sheet name="Expt. 1.2" sheetId="5" r:id="rId4"/>
    <sheet name="Expt. 2.1" sheetId="12" r:id="rId5"/>
    <sheet name="Expt. 2.2" sheetId="13" r:id="rId6"/>
    <sheet name="Expt. 3.1" sheetId="14" r:id="rId7"/>
    <sheet name="Expt. 3.2" sheetId="15" r:id="rId8"/>
    <sheet name="Expt. 4.1" sheetId="16" r:id="rId9"/>
    <sheet name="Expt. 4.2" sheetId="17" r:id="rId10"/>
    <sheet name="Expt. 5.1" sheetId="18" r:id="rId11"/>
    <sheet name="Expt. 5.2" sheetId="21" r:id="rId12"/>
    <sheet name="Expt. 6.1" sheetId="19" r:id="rId13"/>
    <sheet name="Expt. 6.2" sheetId="20" r:id="rId14"/>
    <sheet name="Table 3" sheetId="2" r:id="rId15"/>
    <sheet name=" HBu Transfer" sheetId="26" r:id="rId16"/>
    <sheet name="Constants" sheetId="4" r:id="rId17"/>
  </sheets>
  <calcPr calcId="145621"/>
</workbook>
</file>

<file path=xl/calcChain.xml><?xml version="1.0" encoding="utf-8"?>
<calcChain xmlns="http://schemas.openxmlformats.org/spreadsheetml/2006/main">
  <c r="L17" i="5" l="1"/>
  <c r="X10" i="21"/>
  <c r="K22" i="28" l="1"/>
  <c r="X5" i="15"/>
  <c r="Y5" i="15"/>
  <c r="Z5" i="15"/>
  <c r="AA5" i="15"/>
  <c r="AB5" i="15"/>
  <c r="AC5" i="15"/>
  <c r="M5" i="15"/>
  <c r="S5" i="15"/>
  <c r="T5" i="15"/>
  <c r="U5" i="15"/>
  <c r="V5" i="15"/>
  <c r="W5" i="15"/>
  <c r="N5" i="15"/>
  <c r="O5" i="15"/>
  <c r="P5" i="15"/>
  <c r="Q5" i="15"/>
  <c r="R5" i="15"/>
  <c r="L19" i="13"/>
  <c r="M19" i="13"/>
  <c r="N19" i="13"/>
  <c r="O19" i="13"/>
  <c r="P19" i="13"/>
  <c r="Q19" i="13"/>
  <c r="R19" i="13"/>
  <c r="L10" i="13"/>
  <c r="M10" i="13"/>
  <c r="N10" i="13"/>
  <c r="O10" i="13"/>
  <c r="P10" i="13"/>
  <c r="Q10" i="13"/>
  <c r="R10" i="13"/>
  <c r="L7" i="13"/>
  <c r="M7" i="13"/>
  <c r="N7" i="13"/>
  <c r="O7" i="13"/>
  <c r="P7" i="13"/>
  <c r="Q7" i="13"/>
  <c r="R7" i="13"/>
  <c r="L18" i="12"/>
  <c r="M18" i="12"/>
  <c r="N18" i="12"/>
  <c r="O18" i="12"/>
  <c r="P18" i="12"/>
  <c r="Q18" i="12"/>
  <c r="R18" i="12"/>
  <c r="T3" i="19"/>
  <c r="T7" i="18"/>
  <c r="T6" i="18"/>
  <c r="H10" i="17"/>
  <c r="O10" i="3"/>
  <c r="O3" i="3"/>
  <c r="T8" i="21" l="1"/>
  <c r="U8" i="21"/>
  <c r="V8" i="21"/>
  <c r="W8" i="21"/>
  <c r="X8" i="21"/>
  <c r="Y8" i="21"/>
  <c r="AA8" i="21"/>
  <c r="T9" i="21"/>
  <c r="U9" i="21"/>
  <c r="V9" i="21"/>
  <c r="W9" i="21"/>
  <c r="X9" i="21"/>
  <c r="Z9" i="21"/>
  <c r="AA9" i="21"/>
  <c r="T10" i="21"/>
  <c r="U10" i="21"/>
  <c r="V10" i="21"/>
  <c r="W10" i="21"/>
  <c r="AA10" i="21"/>
  <c r="U11" i="21"/>
  <c r="V11" i="21"/>
  <c r="W11" i="21"/>
  <c r="AA11" i="21"/>
  <c r="U12" i="21"/>
  <c r="V12" i="21"/>
  <c r="W12" i="21"/>
  <c r="AA12" i="21"/>
  <c r="U13" i="21"/>
  <c r="V13" i="21"/>
  <c r="W13" i="21"/>
  <c r="AA13" i="21"/>
  <c r="U14" i="21"/>
  <c r="V14" i="21"/>
  <c r="W14" i="21"/>
  <c r="X14" i="21"/>
  <c r="Z14" i="21"/>
  <c r="AA14" i="21"/>
  <c r="T14" i="19"/>
  <c r="T8" i="19"/>
  <c r="U8" i="19"/>
  <c r="V8" i="19"/>
  <c r="W8" i="19"/>
  <c r="X8" i="19"/>
  <c r="Y8" i="19"/>
  <c r="Z8" i="19"/>
  <c r="AA8" i="19"/>
  <c r="T9" i="19"/>
  <c r="U9" i="19"/>
  <c r="V9" i="19"/>
  <c r="W9" i="19"/>
  <c r="X9" i="19"/>
  <c r="Y9" i="19"/>
  <c r="Z9" i="19"/>
  <c r="AA9" i="19"/>
  <c r="T10" i="19"/>
  <c r="U10" i="19"/>
  <c r="V10" i="19"/>
  <c r="W10" i="19"/>
  <c r="X10" i="19"/>
  <c r="Y10" i="19"/>
  <c r="Z10" i="19"/>
  <c r="AA10" i="19"/>
  <c r="T11" i="19"/>
  <c r="U11" i="19"/>
  <c r="V11" i="19"/>
  <c r="W11" i="19"/>
  <c r="X11" i="19"/>
  <c r="Y11" i="19"/>
  <c r="Z11" i="19"/>
  <c r="AA11" i="19"/>
  <c r="T12" i="19"/>
  <c r="U12" i="19"/>
  <c r="V12" i="19"/>
  <c r="W12" i="19"/>
  <c r="X12" i="19"/>
  <c r="Y12" i="19"/>
  <c r="Z12" i="19"/>
  <c r="AA12" i="19"/>
  <c r="T13" i="19"/>
  <c r="U13" i="19"/>
  <c r="V13" i="19"/>
  <c r="W13" i="19"/>
  <c r="X13" i="19"/>
  <c r="Y13" i="19"/>
  <c r="Z13" i="19"/>
  <c r="AA13" i="19"/>
  <c r="U14" i="19"/>
  <c r="V14" i="19"/>
  <c r="W14" i="19"/>
  <c r="X14" i="19"/>
  <c r="Y14" i="19"/>
  <c r="Z14" i="19"/>
  <c r="AA14" i="19"/>
  <c r="P10" i="12" l="1"/>
  <c r="Q10" i="5"/>
  <c r="Q9" i="3"/>
  <c r="P7" i="3"/>
  <c r="V6" i="20" l="1"/>
  <c r="T7" i="20" l="1"/>
  <c r="U7" i="20"/>
  <c r="V7" i="20"/>
  <c r="W7" i="20"/>
  <c r="X7" i="20"/>
  <c r="Y7" i="20"/>
  <c r="Z7" i="20"/>
  <c r="AA7" i="20"/>
  <c r="T8" i="20"/>
  <c r="U8" i="20"/>
  <c r="V8" i="20"/>
  <c r="W8" i="20"/>
  <c r="X8" i="20"/>
  <c r="Y8" i="20"/>
  <c r="Z8" i="20"/>
  <c r="AA8" i="20"/>
  <c r="T9" i="20"/>
  <c r="U9" i="20"/>
  <c r="V9" i="20"/>
  <c r="W9" i="20"/>
  <c r="X9" i="20"/>
  <c r="Y9" i="20"/>
  <c r="Z9" i="20"/>
  <c r="AA9" i="20"/>
  <c r="T10" i="20"/>
  <c r="U10" i="20"/>
  <c r="V10" i="20"/>
  <c r="W10" i="20"/>
  <c r="X10" i="20"/>
  <c r="Y10" i="20"/>
  <c r="Z10" i="20"/>
  <c r="AA10" i="20"/>
  <c r="T11" i="20"/>
  <c r="U11" i="20"/>
  <c r="V11" i="20"/>
  <c r="W11" i="20"/>
  <c r="X11" i="20"/>
  <c r="Y11" i="20"/>
  <c r="Z11" i="20"/>
  <c r="AA11" i="20"/>
  <c r="T12" i="20"/>
  <c r="U12" i="20"/>
  <c r="V12" i="20"/>
  <c r="W12" i="20"/>
  <c r="X12" i="20"/>
  <c r="Y12" i="20"/>
  <c r="Z12" i="20"/>
  <c r="AA12" i="20"/>
  <c r="T13" i="20"/>
  <c r="U13" i="20"/>
  <c r="V13" i="20"/>
  <c r="W13" i="20"/>
  <c r="X13" i="20"/>
  <c r="Y13" i="20"/>
  <c r="Z13" i="20"/>
  <c r="AA13" i="20"/>
  <c r="T14" i="20"/>
  <c r="U14" i="20"/>
  <c r="V14" i="20"/>
  <c r="W14" i="20"/>
  <c r="X14" i="20"/>
  <c r="Y14" i="20"/>
  <c r="Z14" i="20"/>
  <c r="AA14" i="20"/>
  <c r="AA6" i="20"/>
  <c r="Z6" i="20"/>
  <c r="Y6" i="20"/>
  <c r="X6" i="20"/>
  <c r="W6" i="20"/>
  <c r="U6" i="20"/>
  <c r="T6" i="20"/>
  <c r="AA5" i="20"/>
  <c r="Z5" i="20"/>
  <c r="Y5" i="20"/>
  <c r="X5" i="20"/>
  <c r="W5" i="20"/>
  <c r="V5" i="20"/>
  <c r="U5" i="20"/>
  <c r="T5" i="20"/>
  <c r="AA4" i="20"/>
  <c r="Z4" i="20"/>
  <c r="Y4" i="20"/>
  <c r="X4" i="20"/>
  <c r="W4" i="20"/>
  <c r="V4" i="20"/>
  <c r="U4" i="20"/>
  <c r="T4" i="20"/>
  <c r="AA3" i="20"/>
  <c r="Z3" i="20"/>
  <c r="Y3" i="20"/>
  <c r="X3" i="20"/>
  <c r="W3" i="20"/>
  <c r="V3" i="20"/>
  <c r="U3" i="20"/>
  <c r="T3" i="20"/>
  <c r="T4" i="19"/>
  <c r="T17" i="19"/>
  <c r="T18" i="19"/>
  <c r="AA7" i="19"/>
  <c r="Z7" i="19"/>
  <c r="Y7" i="19"/>
  <c r="X7" i="19"/>
  <c r="W7" i="19"/>
  <c r="V7" i="19"/>
  <c r="U7" i="19"/>
  <c r="T7" i="19"/>
  <c r="AA6" i="19"/>
  <c r="Z6" i="19"/>
  <c r="Y6" i="19"/>
  <c r="X6" i="19"/>
  <c r="W6" i="19"/>
  <c r="V6" i="19"/>
  <c r="U6" i="19"/>
  <c r="T6" i="19"/>
  <c r="AA5" i="19"/>
  <c r="Z5" i="19"/>
  <c r="Y5" i="19"/>
  <c r="X5" i="19"/>
  <c r="W5" i="19"/>
  <c r="V5" i="19"/>
  <c r="U5" i="19"/>
  <c r="T5" i="19"/>
  <c r="AA4" i="19"/>
  <c r="Z4" i="19"/>
  <c r="Y4" i="19"/>
  <c r="X4" i="19"/>
  <c r="W4" i="19"/>
  <c r="V4" i="19"/>
  <c r="U4" i="19"/>
  <c r="AA3" i="19"/>
  <c r="AA18" i="19" s="1"/>
  <c r="Z3" i="19"/>
  <c r="Z18" i="19" s="1"/>
  <c r="Y3" i="19"/>
  <c r="Y18" i="19" s="1"/>
  <c r="X3" i="19"/>
  <c r="X18" i="19" s="1"/>
  <c r="W3" i="19"/>
  <c r="W18" i="19" s="1"/>
  <c r="V3" i="19"/>
  <c r="V17" i="19" s="1"/>
  <c r="U3" i="19"/>
  <c r="U17" i="19" s="1"/>
  <c r="F34" i="28"/>
  <c r="T5" i="21"/>
  <c r="T3" i="21"/>
  <c r="AA7" i="21"/>
  <c r="Z7" i="21"/>
  <c r="Y7" i="21"/>
  <c r="X7" i="21"/>
  <c r="W7" i="21"/>
  <c r="V7" i="21"/>
  <c r="U7" i="21"/>
  <c r="T7" i="21"/>
  <c r="AA6" i="21"/>
  <c r="Z6" i="21"/>
  <c r="Y6" i="21"/>
  <c r="X6" i="21"/>
  <c r="W6" i="21"/>
  <c r="V6" i="21"/>
  <c r="U6" i="21"/>
  <c r="T6" i="21"/>
  <c r="AA5" i="21"/>
  <c r="Z5" i="21"/>
  <c r="Y5" i="21"/>
  <c r="X5" i="21"/>
  <c r="W5" i="21"/>
  <c r="V5" i="21"/>
  <c r="U5" i="21"/>
  <c r="AA4" i="21"/>
  <c r="Z4" i="21"/>
  <c r="Y4" i="21"/>
  <c r="X4" i="21"/>
  <c r="W4" i="21"/>
  <c r="V4" i="21"/>
  <c r="U4" i="21"/>
  <c r="T4" i="21"/>
  <c r="AA3" i="21"/>
  <c r="Z3" i="21"/>
  <c r="Y3" i="21"/>
  <c r="X3" i="21"/>
  <c r="W3" i="21"/>
  <c r="V3" i="21"/>
  <c r="U3" i="21"/>
  <c r="T4" i="18"/>
  <c r="U4" i="18"/>
  <c r="V4" i="18"/>
  <c r="W4" i="18"/>
  <c r="X4" i="18"/>
  <c r="Y4" i="18"/>
  <c r="Z4" i="18"/>
  <c r="AA4" i="18"/>
  <c r="T5" i="18"/>
  <c r="U5" i="18"/>
  <c r="V5" i="18"/>
  <c r="W5" i="18"/>
  <c r="X5" i="18"/>
  <c r="Y5" i="18"/>
  <c r="Z5" i="18"/>
  <c r="AA5" i="18"/>
  <c r="U6" i="18"/>
  <c r="V6" i="18"/>
  <c r="W6" i="18"/>
  <c r="X6" i="18"/>
  <c r="Y6" i="18"/>
  <c r="Z6" i="18"/>
  <c r="AA6" i="18"/>
  <c r="U7" i="18"/>
  <c r="V7" i="18"/>
  <c r="W7" i="18"/>
  <c r="X7" i="18"/>
  <c r="Y7" i="18"/>
  <c r="Z7" i="18"/>
  <c r="AA7" i="18"/>
  <c r="T8" i="18"/>
  <c r="U8" i="18"/>
  <c r="V8" i="18"/>
  <c r="W8" i="18"/>
  <c r="X8" i="18"/>
  <c r="Y8" i="18"/>
  <c r="AA8" i="18"/>
  <c r="T9" i="18"/>
  <c r="U9" i="18"/>
  <c r="V9" i="18"/>
  <c r="W9" i="18"/>
  <c r="X9" i="18"/>
  <c r="AA9" i="18"/>
  <c r="T10" i="18"/>
  <c r="U10" i="18"/>
  <c r="V10" i="18"/>
  <c r="W10" i="18"/>
  <c r="X10" i="18"/>
  <c r="AA10" i="18"/>
  <c r="T11" i="18"/>
  <c r="U11" i="18"/>
  <c r="V11" i="18"/>
  <c r="W11" i="18"/>
  <c r="X11" i="18"/>
  <c r="AA11" i="18"/>
  <c r="T12" i="18"/>
  <c r="U12" i="18"/>
  <c r="V12" i="18"/>
  <c r="W12" i="18"/>
  <c r="X12" i="18"/>
  <c r="Y12" i="18"/>
  <c r="AA12" i="18"/>
  <c r="T13" i="18"/>
  <c r="U13" i="18"/>
  <c r="V13" i="18"/>
  <c r="W13" i="18"/>
  <c r="X13" i="18"/>
  <c r="AA13" i="18"/>
  <c r="U3" i="18"/>
  <c r="V3" i="18"/>
  <c r="W3" i="18"/>
  <c r="X3" i="18"/>
  <c r="Y3" i="18"/>
  <c r="Z3" i="18"/>
  <c r="AA3" i="18"/>
  <c r="T3" i="18"/>
  <c r="O13" i="17"/>
  <c r="N13" i="17"/>
  <c r="M13" i="17"/>
  <c r="L13" i="17"/>
  <c r="O11" i="17"/>
  <c r="N11" i="17"/>
  <c r="M11" i="17"/>
  <c r="L11" i="17"/>
  <c r="O10" i="17"/>
  <c r="N10" i="17"/>
  <c r="M10" i="17"/>
  <c r="L10" i="17"/>
  <c r="O9" i="17"/>
  <c r="N9" i="17"/>
  <c r="M9" i="17"/>
  <c r="L9" i="17"/>
  <c r="O8" i="17"/>
  <c r="N8" i="17"/>
  <c r="M8" i="17"/>
  <c r="L8" i="17"/>
  <c r="O7" i="17"/>
  <c r="N7" i="17"/>
  <c r="M7" i="17"/>
  <c r="L7" i="17"/>
  <c r="O6" i="17"/>
  <c r="N6" i="17"/>
  <c r="M6" i="17"/>
  <c r="L6" i="17"/>
  <c r="O5" i="17"/>
  <c r="N5" i="17"/>
  <c r="M5" i="17"/>
  <c r="L5" i="17"/>
  <c r="O4" i="17"/>
  <c r="N4" i="17"/>
  <c r="M4" i="17"/>
  <c r="L4" i="17"/>
  <c r="O3" i="17"/>
  <c r="O17" i="17" s="1"/>
  <c r="N3" i="17"/>
  <c r="N17" i="17" s="1"/>
  <c r="M3" i="17"/>
  <c r="M16" i="17" s="1"/>
  <c r="L3" i="17"/>
  <c r="L17" i="17" s="1"/>
  <c r="L4" i="16"/>
  <c r="M4" i="16"/>
  <c r="N4" i="16"/>
  <c r="O4" i="16"/>
  <c r="L5" i="16"/>
  <c r="M5" i="16"/>
  <c r="N5" i="16"/>
  <c r="O5" i="16"/>
  <c r="L6" i="16"/>
  <c r="M6" i="16"/>
  <c r="N6" i="16"/>
  <c r="O6" i="16"/>
  <c r="L7" i="16"/>
  <c r="M7" i="16"/>
  <c r="N7" i="16"/>
  <c r="O7" i="16"/>
  <c r="L8" i="16"/>
  <c r="M8" i="16"/>
  <c r="N8" i="16"/>
  <c r="O8" i="16"/>
  <c r="L9" i="16"/>
  <c r="M9" i="16"/>
  <c r="N9" i="16"/>
  <c r="O9" i="16"/>
  <c r="L10" i="16"/>
  <c r="M10" i="16"/>
  <c r="N10" i="16"/>
  <c r="O10" i="16"/>
  <c r="L11" i="16"/>
  <c r="M11" i="16"/>
  <c r="N11" i="16"/>
  <c r="O11" i="16"/>
  <c r="L12" i="16"/>
  <c r="M12" i="16"/>
  <c r="N12" i="16"/>
  <c r="O12" i="16"/>
  <c r="M3" i="16"/>
  <c r="N3" i="16"/>
  <c r="O3" i="16"/>
  <c r="L3" i="16"/>
  <c r="M35" i="28"/>
  <c r="L35" i="28"/>
  <c r="K35" i="28"/>
  <c r="J25" i="28"/>
  <c r="I35" i="28"/>
  <c r="H35" i="28"/>
  <c r="G35" i="28"/>
  <c r="F35" i="28"/>
  <c r="R8" i="5"/>
  <c r="Q11" i="5"/>
  <c r="O4" i="5"/>
  <c r="P4" i="5"/>
  <c r="Q4" i="5"/>
  <c r="R4" i="5"/>
  <c r="O5" i="5"/>
  <c r="P5" i="5"/>
  <c r="Q5" i="5"/>
  <c r="R5" i="5"/>
  <c r="O6" i="5"/>
  <c r="P6" i="5"/>
  <c r="Q6" i="5"/>
  <c r="R6" i="5"/>
  <c r="O7" i="5"/>
  <c r="P7" i="5"/>
  <c r="Q7" i="5"/>
  <c r="R7" i="5"/>
  <c r="O8" i="5"/>
  <c r="P8" i="5"/>
  <c r="Q8" i="5"/>
  <c r="O9" i="5"/>
  <c r="P9" i="5"/>
  <c r="Q9" i="5"/>
  <c r="R9" i="5"/>
  <c r="O10" i="5"/>
  <c r="P10" i="5"/>
  <c r="R10" i="5"/>
  <c r="O11" i="5"/>
  <c r="P11" i="5"/>
  <c r="R11" i="5"/>
  <c r="O12" i="5"/>
  <c r="P12" i="5"/>
  <c r="Q12" i="5"/>
  <c r="R12" i="5"/>
  <c r="O13" i="5"/>
  <c r="P13" i="5"/>
  <c r="Q13" i="5"/>
  <c r="R13" i="5"/>
  <c r="O14" i="5"/>
  <c r="P14" i="5"/>
  <c r="Q14" i="5"/>
  <c r="R14" i="5"/>
  <c r="O15" i="5"/>
  <c r="P15" i="5"/>
  <c r="Q15" i="5"/>
  <c r="R15" i="5"/>
  <c r="O16" i="5"/>
  <c r="P16" i="5"/>
  <c r="Q16" i="5"/>
  <c r="R16" i="5"/>
  <c r="P3" i="5"/>
  <c r="Q3" i="5"/>
  <c r="R3" i="5"/>
  <c r="O3" i="5"/>
  <c r="O4" i="3"/>
  <c r="P4" i="3"/>
  <c r="Q4" i="3"/>
  <c r="O5" i="3"/>
  <c r="P5" i="3"/>
  <c r="Q5" i="3"/>
  <c r="O6" i="3"/>
  <c r="P6" i="3"/>
  <c r="Q6" i="3"/>
  <c r="O7" i="3"/>
  <c r="Q7" i="3"/>
  <c r="O8" i="3"/>
  <c r="P8" i="3"/>
  <c r="Q8" i="3"/>
  <c r="O9" i="3"/>
  <c r="P9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P3" i="3"/>
  <c r="Q3" i="3"/>
  <c r="H5" i="16"/>
  <c r="H6" i="16" s="1"/>
  <c r="H7" i="16" s="1"/>
  <c r="H8" i="16" s="1"/>
  <c r="H9" i="16" s="1"/>
  <c r="H10" i="16" s="1"/>
  <c r="H12" i="16" s="1"/>
  <c r="H13" i="16" s="1"/>
  <c r="H4" i="17"/>
  <c r="N16" i="16" l="1"/>
  <c r="Q19" i="3"/>
  <c r="O19" i="3"/>
  <c r="O21" i="3" s="1"/>
  <c r="X17" i="19"/>
  <c r="U18" i="19"/>
  <c r="X17" i="21"/>
  <c r="U18" i="21"/>
  <c r="Y18" i="21"/>
  <c r="AA18" i="18"/>
  <c r="T17" i="18"/>
  <c r="O15" i="16"/>
  <c r="N15" i="16"/>
  <c r="O16" i="16"/>
  <c r="P19" i="5"/>
  <c r="O19" i="5"/>
  <c r="R19" i="5"/>
  <c r="R20" i="5"/>
  <c r="P20" i="5"/>
  <c r="P20" i="3"/>
  <c r="P19" i="3"/>
  <c r="W18" i="18"/>
  <c r="H5" i="17"/>
  <c r="H6" i="17" s="1"/>
  <c r="H7" i="17" s="1"/>
  <c r="H8" i="17" s="1"/>
  <c r="H9" i="17" s="1"/>
  <c r="X18" i="21"/>
  <c r="T17" i="21"/>
  <c r="Q20" i="3"/>
  <c r="M15" i="16"/>
  <c r="M16" i="16"/>
  <c r="L15" i="16"/>
  <c r="L16" i="16"/>
  <c r="T18" i="21"/>
  <c r="Z18" i="18"/>
  <c r="O20" i="3"/>
  <c r="O20" i="5"/>
  <c r="X17" i="18"/>
  <c r="Y17" i="19"/>
  <c r="V18" i="18"/>
  <c r="Q20" i="5"/>
  <c r="V18" i="19"/>
  <c r="Z17" i="19"/>
  <c r="W17" i="19"/>
  <c r="AA17" i="19"/>
  <c r="V18" i="21"/>
  <c r="Z18" i="21"/>
  <c r="W18" i="21"/>
  <c r="AA18" i="21"/>
  <c r="U17" i="21"/>
  <c r="Y17" i="21"/>
  <c r="V17" i="21"/>
  <c r="Z17" i="21"/>
  <c r="W17" i="21"/>
  <c r="AA17" i="21"/>
  <c r="Y18" i="18"/>
  <c r="U18" i="18"/>
  <c r="T18" i="18"/>
  <c r="X18" i="18"/>
  <c r="U17" i="18"/>
  <c r="Y17" i="18"/>
  <c r="V17" i="18"/>
  <c r="Z17" i="18"/>
  <c r="W17" i="18"/>
  <c r="AA17" i="18"/>
  <c r="L16" i="17"/>
  <c r="M17" i="17"/>
  <c r="N16" i="17"/>
  <c r="O16" i="17"/>
  <c r="J35" i="28"/>
  <c r="G25" i="28"/>
  <c r="K25" i="28"/>
  <c r="F25" i="28"/>
  <c r="H25" i="28"/>
  <c r="L25" i="28"/>
  <c r="F24" i="28"/>
  <c r="I25" i="28"/>
  <c r="M25" i="28"/>
  <c r="Q19" i="5"/>
  <c r="H11" i="17" l="1"/>
  <c r="H12" i="17" s="1"/>
  <c r="H13" i="17" s="1"/>
  <c r="H14" i="17" s="1"/>
  <c r="H36" i="27" l="1"/>
  <c r="J35" i="27" s="1"/>
  <c r="M35" i="27" s="1"/>
  <c r="H33" i="27"/>
  <c r="D32" i="27"/>
  <c r="D33" i="27" s="1"/>
  <c r="D34" i="27" s="1"/>
  <c r="D37" i="27" s="1"/>
  <c r="I5" i="27" s="1"/>
  <c r="C22" i="27"/>
  <c r="C21" i="27"/>
  <c r="D21" i="27" s="1"/>
  <c r="G20" i="27"/>
  <c r="C20" i="27"/>
  <c r="D20" i="27" s="1"/>
  <c r="C19" i="27"/>
  <c r="D19" i="27" s="1"/>
  <c r="G18" i="27"/>
  <c r="C18" i="27"/>
  <c r="D18" i="27" s="1"/>
  <c r="C17" i="27"/>
  <c r="D17" i="27" s="1"/>
  <c r="G16" i="27"/>
  <c r="C16" i="27"/>
  <c r="D16" i="27" s="1"/>
  <c r="C15" i="27"/>
  <c r="D15" i="27" s="1"/>
  <c r="H13" i="27"/>
  <c r="C12" i="27" s="1"/>
  <c r="C13" i="27" s="1"/>
  <c r="G13" i="27"/>
  <c r="C6" i="27"/>
  <c r="C5" i="27"/>
  <c r="K4" i="27"/>
  <c r="J4" i="27"/>
  <c r="I4" i="27"/>
  <c r="C39" i="26"/>
  <c r="I36" i="26"/>
  <c r="G36" i="26"/>
  <c r="H36" i="26" s="1"/>
  <c r="I34" i="26"/>
  <c r="H34" i="26"/>
  <c r="J34" i="26" s="1"/>
  <c r="I33" i="26"/>
  <c r="H33" i="26"/>
  <c r="I32" i="26"/>
  <c r="H32" i="26"/>
  <c r="I31" i="26"/>
  <c r="H31" i="26"/>
  <c r="I30" i="26"/>
  <c r="H30" i="26"/>
  <c r="I29" i="26"/>
  <c r="H29" i="26"/>
  <c r="I28" i="26"/>
  <c r="H28" i="26"/>
  <c r="C15" i="26"/>
  <c r="I12" i="26"/>
  <c r="G12" i="26"/>
  <c r="H12" i="26" s="1"/>
  <c r="J10" i="26"/>
  <c r="I10" i="26"/>
  <c r="H10" i="26"/>
  <c r="I9" i="26"/>
  <c r="J9" i="26" s="1"/>
  <c r="H9" i="26"/>
  <c r="I8" i="26"/>
  <c r="J8" i="26" s="1"/>
  <c r="H8" i="26"/>
  <c r="I7" i="26"/>
  <c r="H7" i="26"/>
  <c r="J7" i="26" s="1"/>
  <c r="J6" i="26"/>
  <c r="I6" i="26"/>
  <c r="H6" i="26"/>
  <c r="I5" i="26"/>
  <c r="J5" i="26" s="1"/>
  <c r="H5" i="26"/>
  <c r="I4" i="26"/>
  <c r="J4" i="26" s="1"/>
  <c r="H4" i="26"/>
  <c r="J32" i="26" l="1"/>
  <c r="G15" i="27"/>
  <c r="G17" i="27"/>
  <c r="G19" i="27"/>
  <c r="G21" i="27"/>
  <c r="J28" i="26"/>
  <c r="J30" i="26"/>
  <c r="K30" i="26" s="1"/>
  <c r="J29" i="26"/>
  <c r="J31" i="26"/>
  <c r="J33" i="26"/>
  <c r="E16" i="27"/>
  <c r="E18" i="27"/>
  <c r="E20" i="27"/>
  <c r="J32" i="27"/>
  <c r="M32" i="27" s="1"/>
  <c r="M36" i="27"/>
  <c r="I6" i="27" s="1"/>
  <c r="E15" i="27"/>
  <c r="D22" i="27"/>
  <c r="E17" i="27"/>
  <c r="E19" i="27"/>
  <c r="E21" i="27"/>
  <c r="D4" i="27"/>
  <c r="D5" i="27"/>
  <c r="D6" i="27"/>
  <c r="E6" i="27" s="1"/>
  <c r="J12" i="26"/>
  <c r="K5" i="26" s="1"/>
  <c r="J36" i="26"/>
  <c r="K9" i="26"/>
  <c r="K6" i="26"/>
  <c r="K8" i="26" l="1"/>
  <c r="K29" i="26"/>
  <c r="K28" i="26"/>
  <c r="K4" i="26"/>
  <c r="K16" i="26" s="1"/>
  <c r="G22" i="27"/>
  <c r="C27" i="27" s="1"/>
  <c r="C28" i="27" s="1"/>
  <c r="K7" i="26"/>
  <c r="K34" i="26"/>
  <c r="K33" i="26"/>
  <c r="K10" i="26"/>
  <c r="K32" i="26"/>
  <c r="K31" i="26"/>
  <c r="K40" i="26" s="1"/>
  <c r="F5" i="27"/>
  <c r="G5" i="27" s="1"/>
  <c r="F6" i="27"/>
  <c r="G6" i="27" s="1"/>
  <c r="E22" i="27"/>
  <c r="E5" i="27"/>
  <c r="K15" i="26"/>
  <c r="K18" i="26" s="1"/>
  <c r="K19" i="26" s="1"/>
  <c r="K39" i="26" l="1"/>
  <c r="K42" i="26" s="1"/>
  <c r="K43" i="26" s="1"/>
  <c r="K46" i="26" s="1"/>
  <c r="D40" i="27"/>
  <c r="D41" i="27" s="1"/>
  <c r="J5" i="27" s="1"/>
  <c r="K5" i="27" s="1"/>
  <c r="H41" i="27"/>
  <c r="H42" i="27" s="1"/>
  <c r="H43" i="27" s="1"/>
  <c r="K47" i="26"/>
  <c r="K41" i="27" l="1"/>
  <c r="H45" i="27"/>
  <c r="H44" i="27"/>
  <c r="H46" i="27" l="1"/>
  <c r="H48" i="27" s="1"/>
  <c r="J6" i="27" s="1"/>
  <c r="K6" i="27" s="1"/>
  <c r="K42" i="27"/>
  <c r="K43" i="27" s="1"/>
  <c r="H49" i="27"/>
  <c r="X4" i="14"/>
  <c r="Y4" i="14"/>
  <c r="Z4" i="14"/>
  <c r="AA4" i="14"/>
  <c r="AB4" i="14"/>
  <c r="X5" i="14"/>
  <c r="Y5" i="14"/>
  <c r="Z5" i="14"/>
  <c r="AA5" i="14"/>
  <c r="AB5" i="14"/>
  <c r="X6" i="14"/>
  <c r="Y6" i="14"/>
  <c r="Z6" i="14"/>
  <c r="AA6" i="14"/>
  <c r="AB6" i="14"/>
  <c r="X7" i="14"/>
  <c r="Y7" i="14"/>
  <c r="Z7" i="14"/>
  <c r="AA7" i="14"/>
  <c r="AB7" i="14"/>
  <c r="X8" i="14"/>
  <c r="Y8" i="14"/>
  <c r="Z8" i="14"/>
  <c r="AA8" i="14"/>
  <c r="AB8" i="14"/>
  <c r="X9" i="14"/>
  <c r="Y9" i="14"/>
  <c r="Z9" i="14"/>
  <c r="AA9" i="14"/>
  <c r="AB9" i="14"/>
  <c r="X10" i="14"/>
  <c r="Y10" i="14"/>
  <c r="Z10" i="14"/>
  <c r="AA10" i="14"/>
  <c r="X11" i="14"/>
  <c r="Y11" i="14"/>
  <c r="Z11" i="14"/>
  <c r="AA11" i="14"/>
  <c r="AB11" i="14"/>
  <c r="X12" i="14"/>
  <c r="Y12" i="14"/>
  <c r="Z12" i="14"/>
  <c r="AA12" i="14"/>
  <c r="X13" i="14"/>
  <c r="Y13" i="14"/>
  <c r="Z13" i="14"/>
  <c r="AA13" i="14"/>
  <c r="X14" i="14"/>
  <c r="Y14" i="14"/>
  <c r="Z14" i="14"/>
  <c r="AA14" i="14"/>
  <c r="X15" i="14"/>
  <c r="Y15" i="14"/>
  <c r="Z15" i="14"/>
  <c r="AA15" i="14"/>
  <c r="X16" i="14"/>
  <c r="Y16" i="14"/>
  <c r="Z16" i="14"/>
  <c r="AA16" i="14"/>
  <c r="Y3" i="14"/>
  <c r="Z3" i="14"/>
  <c r="AA3" i="14"/>
  <c r="AB3" i="14"/>
  <c r="X3" i="14"/>
  <c r="O3" i="12" l="1"/>
  <c r="P3" i="12"/>
  <c r="Q3" i="12"/>
  <c r="R3" i="12"/>
  <c r="O4" i="12"/>
  <c r="P4" i="12"/>
  <c r="Q4" i="12"/>
  <c r="R4" i="12"/>
  <c r="O5" i="12"/>
  <c r="P5" i="12"/>
  <c r="Q5" i="12"/>
  <c r="R5" i="12"/>
  <c r="O6" i="12"/>
  <c r="P6" i="12"/>
  <c r="Q6" i="12"/>
  <c r="R6" i="12"/>
  <c r="J17" i="21" l="1"/>
  <c r="I17" i="21"/>
  <c r="H17" i="21"/>
  <c r="G17" i="21"/>
  <c r="F17" i="21"/>
  <c r="E17" i="21"/>
  <c r="D17" i="21"/>
  <c r="C17" i="21"/>
  <c r="S15" i="21"/>
  <c r="R15" i="21"/>
  <c r="Q15" i="21"/>
  <c r="P15" i="21"/>
  <c r="O15" i="21"/>
  <c r="N15" i="21"/>
  <c r="M15" i="21"/>
  <c r="S14" i="21"/>
  <c r="R14" i="21"/>
  <c r="Q14" i="21"/>
  <c r="P14" i="21"/>
  <c r="O14" i="21"/>
  <c r="N14" i="21"/>
  <c r="M14" i="21"/>
  <c r="S13" i="21"/>
  <c r="R13" i="21"/>
  <c r="Q13" i="21"/>
  <c r="P13" i="21"/>
  <c r="O13" i="21"/>
  <c r="N13" i="21"/>
  <c r="M13" i="21"/>
  <c r="S12" i="21"/>
  <c r="R12" i="21"/>
  <c r="Q12" i="21"/>
  <c r="P12" i="21"/>
  <c r="O12" i="21"/>
  <c r="N12" i="21"/>
  <c r="M12" i="21"/>
  <c r="S11" i="21"/>
  <c r="R11" i="21"/>
  <c r="Q11" i="21"/>
  <c r="P11" i="21"/>
  <c r="O11" i="21"/>
  <c r="N11" i="21"/>
  <c r="M11" i="21"/>
  <c r="S10" i="21"/>
  <c r="R10" i="21"/>
  <c r="Q10" i="21"/>
  <c r="P10" i="21"/>
  <c r="O10" i="21"/>
  <c r="N10" i="21"/>
  <c r="M10" i="21"/>
  <c r="S9" i="21"/>
  <c r="R9" i="21"/>
  <c r="Q9" i="21"/>
  <c r="P9" i="21"/>
  <c r="O9" i="21"/>
  <c r="N9" i="21"/>
  <c r="M9" i="21"/>
  <c r="S8" i="21"/>
  <c r="R8" i="21"/>
  <c r="Q8" i="21"/>
  <c r="P8" i="21"/>
  <c r="O8" i="21"/>
  <c r="N8" i="21"/>
  <c r="M8" i="21"/>
  <c r="S7" i="21"/>
  <c r="R7" i="21"/>
  <c r="Q7" i="21"/>
  <c r="P7" i="21"/>
  <c r="O7" i="21"/>
  <c r="N7" i="21"/>
  <c r="M7" i="21"/>
  <c r="S6" i="21"/>
  <c r="R6" i="21"/>
  <c r="Q6" i="21"/>
  <c r="P6" i="21"/>
  <c r="O6" i="21"/>
  <c r="N6" i="21"/>
  <c r="M6" i="21"/>
  <c r="S5" i="21"/>
  <c r="R5" i="21"/>
  <c r="Q5" i="21"/>
  <c r="P5" i="21"/>
  <c r="O5" i="21"/>
  <c r="N5" i="21"/>
  <c r="M5" i="21"/>
  <c r="S4" i="21"/>
  <c r="R4" i="21"/>
  <c r="Q4" i="21"/>
  <c r="P4" i="21"/>
  <c r="O4" i="21"/>
  <c r="N4" i="21"/>
  <c r="M4" i="21"/>
  <c r="S3" i="21"/>
  <c r="R3" i="21"/>
  <c r="Q3" i="21"/>
  <c r="P3" i="21"/>
  <c r="O3" i="21"/>
  <c r="N3" i="21"/>
  <c r="M3" i="21"/>
  <c r="J17" i="20"/>
  <c r="I17" i="20"/>
  <c r="H17" i="20"/>
  <c r="G17" i="20"/>
  <c r="F17" i="20"/>
  <c r="E17" i="20"/>
  <c r="D17" i="20"/>
  <c r="C17" i="20"/>
  <c r="S15" i="20"/>
  <c r="R15" i="20"/>
  <c r="Q15" i="20"/>
  <c r="P15" i="20"/>
  <c r="O15" i="20"/>
  <c r="N15" i="20"/>
  <c r="M15" i="20"/>
  <c r="S14" i="20"/>
  <c r="R14" i="20"/>
  <c r="Q14" i="20"/>
  <c r="P14" i="20"/>
  <c r="O14" i="20"/>
  <c r="N14" i="20"/>
  <c r="M14" i="20"/>
  <c r="S13" i="20"/>
  <c r="R13" i="20"/>
  <c r="Q13" i="20"/>
  <c r="P13" i="20"/>
  <c r="O13" i="20"/>
  <c r="N13" i="20"/>
  <c r="M13" i="20"/>
  <c r="S12" i="20"/>
  <c r="R12" i="20"/>
  <c r="Q12" i="20"/>
  <c r="P12" i="20"/>
  <c r="O12" i="20"/>
  <c r="N12" i="20"/>
  <c r="M12" i="20"/>
  <c r="S11" i="20"/>
  <c r="R11" i="20"/>
  <c r="Q11" i="20"/>
  <c r="P11" i="20"/>
  <c r="O11" i="20"/>
  <c r="N11" i="20"/>
  <c r="M11" i="20"/>
  <c r="S10" i="20"/>
  <c r="R10" i="20"/>
  <c r="Q10" i="20"/>
  <c r="P10" i="20"/>
  <c r="O10" i="20"/>
  <c r="N10" i="20"/>
  <c r="M10" i="20"/>
  <c r="S9" i="20"/>
  <c r="R9" i="20"/>
  <c r="Q9" i="20"/>
  <c r="P9" i="20"/>
  <c r="O9" i="20"/>
  <c r="N9" i="20"/>
  <c r="M9" i="20"/>
  <c r="S8" i="20"/>
  <c r="R8" i="20"/>
  <c r="Q8" i="20"/>
  <c r="P8" i="20"/>
  <c r="O8" i="20"/>
  <c r="N8" i="20"/>
  <c r="M8" i="20"/>
  <c r="S7" i="20"/>
  <c r="R7" i="20"/>
  <c r="Q7" i="20"/>
  <c r="P7" i="20"/>
  <c r="O7" i="20"/>
  <c r="N7" i="20"/>
  <c r="M7" i="20"/>
  <c r="S6" i="20"/>
  <c r="R6" i="20"/>
  <c r="Q6" i="20"/>
  <c r="P6" i="20"/>
  <c r="O6" i="20"/>
  <c r="N6" i="20"/>
  <c r="M6" i="20"/>
  <c r="S5" i="20"/>
  <c r="R5" i="20"/>
  <c r="Q5" i="20"/>
  <c r="P5" i="20"/>
  <c r="O5" i="20"/>
  <c r="N5" i="20"/>
  <c r="M5" i="20"/>
  <c r="S4" i="20"/>
  <c r="R4" i="20"/>
  <c r="Q4" i="20"/>
  <c r="P4" i="20"/>
  <c r="O4" i="20"/>
  <c r="N4" i="20"/>
  <c r="M4" i="20"/>
  <c r="S3" i="20"/>
  <c r="R3" i="20"/>
  <c r="Q3" i="20"/>
  <c r="P3" i="20"/>
  <c r="O3" i="20"/>
  <c r="N3" i="20"/>
  <c r="M3" i="20"/>
  <c r="J17" i="19"/>
  <c r="I17" i="19"/>
  <c r="H17" i="19"/>
  <c r="G17" i="19"/>
  <c r="F17" i="19"/>
  <c r="E17" i="19"/>
  <c r="D17" i="19"/>
  <c r="C17" i="19"/>
  <c r="S15" i="19"/>
  <c r="R15" i="19"/>
  <c r="Q15" i="19"/>
  <c r="P15" i="19"/>
  <c r="O15" i="19"/>
  <c r="N15" i="19"/>
  <c r="M15" i="19"/>
  <c r="S14" i="19"/>
  <c r="R14" i="19"/>
  <c r="Q14" i="19"/>
  <c r="P14" i="19"/>
  <c r="O14" i="19"/>
  <c r="N14" i="19"/>
  <c r="M14" i="19"/>
  <c r="S13" i="19"/>
  <c r="R13" i="19"/>
  <c r="Q13" i="19"/>
  <c r="P13" i="19"/>
  <c r="O13" i="19"/>
  <c r="N13" i="19"/>
  <c r="M13" i="19"/>
  <c r="S12" i="19"/>
  <c r="R12" i="19"/>
  <c r="Q12" i="19"/>
  <c r="P12" i="19"/>
  <c r="O12" i="19"/>
  <c r="N12" i="19"/>
  <c r="M12" i="19"/>
  <c r="S11" i="19"/>
  <c r="R11" i="19"/>
  <c r="Q11" i="19"/>
  <c r="P11" i="19"/>
  <c r="O11" i="19"/>
  <c r="N11" i="19"/>
  <c r="M11" i="19"/>
  <c r="S10" i="19"/>
  <c r="R10" i="19"/>
  <c r="Q10" i="19"/>
  <c r="P10" i="19"/>
  <c r="O10" i="19"/>
  <c r="N10" i="19"/>
  <c r="M10" i="19"/>
  <c r="S9" i="19"/>
  <c r="R9" i="19"/>
  <c r="Q9" i="19"/>
  <c r="P9" i="19"/>
  <c r="O9" i="19"/>
  <c r="N9" i="19"/>
  <c r="M9" i="19"/>
  <c r="S8" i="19"/>
  <c r="R8" i="19"/>
  <c r="Q8" i="19"/>
  <c r="P8" i="19"/>
  <c r="O8" i="19"/>
  <c r="N8" i="19"/>
  <c r="M8" i="19"/>
  <c r="S7" i="19"/>
  <c r="R7" i="19"/>
  <c r="Q7" i="19"/>
  <c r="P7" i="19"/>
  <c r="O7" i="19"/>
  <c r="N7" i="19"/>
  <c r="M7" i="19"/>
  <c r="S6" i="19"/>
  <c r="R6" i="19"/>
  <c r="Q6" i="19"/>
  <c r="P6" i="19"/>
  <c r="O6" i="19"/>
  <c r="N6" i="19"/>
  <c r="M6" i="19"/>
  <c r="S5" i="19"/>
  <c r="R5" i="19"/>
  <c r="Q5" i="19"/>
  <c r="P5" i="19"/>
  <c r="O5" i="19"/>
  <c r="N5" i="19"/>
  <c r="M5" i="19"/>
  <c r="S4" i="19"/>
  <c r="R4" i="19"/>
  <c r="Q4" i="19"/>
  <c r="P4" i="19"/>
  <c r="O4" i="19"/>
  <c r="N4" i="19"/>
  <c r="M4" i="19"/>
  <c r="S3" i="19"/>
  <c r="R3" i="19"/>
  <c r="Q3" i="19"/>
  <c r="P3" i="19"/>
  <c r="O3" i="19"/>
  <c r="N3" i="19"/>
  <c r="M3" i="19"/>
  <c r="M4" i="18"/>
  <c r="N4" i="18"/>
  <c r="O4" i="18"/>
  <c r="P4" i="18"/>
  <c r="Q4" i="18"/>
  <c r="R4" i="18"/>
  <c r="S4" i="18"/>
  <c r="M5" i="18"/>
  <c r="N5" i="18"/>
  <c r="O5" i="18"/>
  <c r="P5" i="18"/>
  <c r="Q5" i="18"/>
  <c r="R5" i="18"/>
  <c r="S5" i="18"/>
  <c r="M6" i="18"/>
  <c r="N6" i="18"/>
  <c r="O6" i="18"/>
  <c r="P6" i="18"/>
  <c r="Q6" i="18"/>
  <c r="R6" i="18"/>
  <c r="S6" i="18"/>
  <c r="M7" i="18"/>
  <c r="N7" i="18"/>
  <c r="O7" i="18"/>
  <c r="P7" i="18"/>
  <c r="Q7" i="18"/>
  <c r="R7" i="18"/>
  <c r="S7" i="18"/>
  <c r="M8" i="18"/>
  <c r="N8" i="18"/>
  <c r="O8" i="18"/>
  <c r="P8" i="18"/>
  <c r="Q8" i="18"/>
  <c r="R8" i="18"/>
  <c r="S8" i="18"/>
  <c r="M9" i="18"/>
  <c r="N9" i="18"/>
  <c r="O9" i="18"/>
  <c r="P9" i="18"/>
  <c r="Q9" i="18"/>
  <c r="R9" i="18"/>
  <c r="S9" i="18"/>
  <c r="M10" i="18"/>
  <c r="N10" i="18"/>
  <c r="O10" i="18"/>
  <c r="P10" i="18"/>
  <c r="Q10" i="18"/>
  <c r="R10" i="18"/>
  <c r="S10" i="18"/>
  <c r="M11" i="18"/>
  <c r="N11" i="18"/>
  <c r="O11" i="18"/>
  <c r="P11" i="18"/>
  <c r="Q11" i="18"/>
  <c r="R11" i="18"/>
  <c r="S11" i="18"/>
  <c r="M12" i="18"/>
  <c r="N12" i="18"/>
  <c r="O12" i="18"/>
  <c r="P12" i="18"/>
  <c r="Q12" i="18"/>
  <c r="R12" i="18"/>
  <c r="S12" i="18"/>
  <c r="M13" i="18"/>
  <c r="N13" i="18"/>
  <c r="O13" i="18"/>
  <c r="P13" i="18"/>
  <c r="Q13" i="18"/>
  <c r="R13" i="18"/>
  <c r="S13" i="18"/>
  <c r="M14" i="18"/>
  <c r="N14" i="18"/>
  <c r="O14" i="18"/>
  <c r="P14" i="18"/>
  <c r="Q14" i="18"/>
  <c r="R14" i="18"/>
  <c r="S14" i="18"/>
  <c r="M15" i="18"/>
  <c r="N15" i="18"/>
  <c r="O15" i="18"/>
  <c r="P15" i="18"/>
  <c r="Q15" i="18"/>
  <c r="R15" i="18"/>
  <c r="S15" i="18"/>
  <c r="N3" i="18"/>
  <c r="O3" i="18"/>
  <c r="P3" i="18"/>
  <c r="Q3" i="18"/>
  <c r="R3" i="18"/>
  <c r="S3" i="18"/>
  <c r="D17" i="18"/>
  <c r="E17" i="18"/>
  <c r="F17" i="18"/>
  <c r="G17" i="18"/>
  <c r="H17" i="18"/>
  <c r="I17" i="18"/>
  <c r="J17" i="18"/>
  <c r="C17" i="18"/>
  <c r="M3" i="18"/>
  <c r="U18" i="20" l="1"/>
  <c r="U17" i="20"/>
  <c r="T18" i="20"/>
  <c r="T17" i="20"/>
  <c r="Y18" i="20"/>
  <c r="Y17" i="20"/>
  <c r="X18" i="20"/>
  <c r="X17" i="20"/>
  <c r="AA18" i="20"/>
  <c r="V17" i="20"/>
  <c r="Z18" i="20"/>
  <c r="W17" i="20"/>
  <c r="AA17" i="20"/>
  <c r="V18" i="20"/>
  <c r="Z17" i="20"/>
  <c r="W18" i="20"/>
  <c r="F16" i="17" l="1"/>
  <c r="E16" i="17"/>
  <c r="D16" i="17"/>
  <c r="C16" i="17"/>
  <c r="K14" i="17"/>
  <c r="J14" i="17"/>
  <c r="I14" i="17"/>
  <c r="K13" i="17"/>
  <c r="J13" i="17"/>
  <c r="I13" i="17"/>
  <c r="K12" i="17"/>
  <c r="J12" i="17"/>
  <c r="I12" i="17"/>
  <c r="K11" i="17"/>
  <c r="J11" i="17"/>
  <c r="I11" i="17"/>
  <c r="K10" i="17"/>
  <c r="J10" i="17"/>
  <c r="I10" i="17"/>
  <c r="K9" i="17"/>
  <c r="J9" i="17"/>
  <c r="I9" i="17"/>
  <c r="K8" i="17"/>
  <c r="J8" i="17"/>
  <c r="I8" i="17"/>
  <c r="K7" i="17"/>
  <c r="J7" i="17"/>
  <c r="I7" i="17"/>
  <c r="K6" i="17"/>
  <c r="J6" i="17"/>
  <c r="I6" i="17"/>
  <c r="K5" i="17"/>
  <c r="J5" i="17"/>
  <c r="I5" i="17"/>
  <c r="K4" i="17"/>
  <c r="J4" i="17"/>
  <c r="I4" i="17"/>
  <c r="K3" i="17"/>
  <c r="J3" i="17"/>
  <c r="I3" i="17"/>
  <c r="E15" i="16"/>
  <c r="K13" i="16"/>
  <c r="J13" i="16"/>
  <c r="I13" i="16"/>
  <c r="K12" i="16"/>
  <c r="J12" i="16"/>
  <c r="K11" i="16"/>
  <c r="J11" i="16"/>
  <c r="I10" i="16"/>
  <c r="I9" i="16"/>
  <c r="K8" i="16"/>
  <c r="J8" i="16"/>
  <c r="I8" i="16"/>
  <c r="J7" i="16"/>
  <c r="K7" i="16"/>
  <c r="K6" i="16"/>
  <c r="K5" i="16"/>
  <c r="J5" i="16"/>
  <c r="I5" i="16"/>
  <c r="I4" i="16"/>
  <c r="K3" i="16"/>
  <c r="D15" i="16" l="1"/>
  <c r="C15" i="16"/>
  <c r="K4" i="16"/>
  <c r="J4" i="16"/>
  <c r="J9" i="16"/>
  <c r="K9" i="16"/>
  <c r="K10" i="16"/>
  <c r="J10" i="16"/>
  <c r="F15" i="16"/>
  <c r="I3" i="16"/>
  <c r="J6" i="16"/>
  <c r="I11" i="16"/>
  <c r="J3" i="16"/>
  <c r="I6" i="16"/>
  <c r="I7" i="16"/>
  <c r="I12" i="16"/>
  <c r="AC9" i="15" l="1"/>
  <c r="AC3" i="15"/>
  <c r="X3" i="15"/>
  <c r="X8" i="15"/>
  <c r="Y8" i="15"/>
  <c r="Z8" i="15"/>
  <c r="AA8" i="15"/>
  <c r="AB8" i="15"/>
  <c r="AC8" i="15"/>
  <c r="X9" i="15"/>
  <c r="Y9" i="15"/>
  <c r="Z9" i="15"/>
  <c r="AA9" i="15"/>
  <c r="AB9" i="15"/>
  <c r="X10" i="15"/>
  <c r="Y10" i="15"/>
  <c r="Z10" i="15"/>
  <c r="AA10" i="15"/>
  <c r="AC10" i="15"/>
  <c r="X11" i="15"/>
  <c r="Y11" i="15"/>
  <c r="Z11" i="15"/>
  <c r="AA11" i="15"/>
  <c r="X12" i="15"/>
  <c r="Y12" i="15"/>
  <c r="Z12" i="15"/>
  <c r="AA12" i="15"/>
  <c r="AC12" i="15"/>
  <c r="X13" i="15"/>
  <c r="Y13" i="15"/>
  <c r="Z13" i="15"/>
  <c r="AA13" i="15"/>
  <c r="X14" i="15"/>
  <c r="Y14" i="15"/>
  <c r="Z14" i="15"/>
  <c r="AA14" i="15"/>
  <c r="AC14" i="15"/>
  <c r="X15" i="15"/>
  <c r="Y15" i="15"/>
  <c r="Z15" i="15"/>
  <c r="AA15" i="15"/>
  <c r="X16" i="15"/>
  <c r="Y16" i="15"/>
  <c r="Z16" i="15"/>
  <c r="AA16" i="15"/>
  <c r="AC16" i="15"/>
  <c r="AC15" i="15" l="1"/>
  <c r="AC13" i="15"/>
  <c r="AC11" i="15"/>
  <c r="I19" i="15"/>
  <c r="H19" i="15"/>
  <c r="G19" i="15"/>
  <c r="F19" i="15"/>
  <c r="E19" i="15"/>
  <c r="U16" i="15"/>
  <c r="Q16" i="15"/>
  <c r="P16" i="15"/>
  <c r="O16" i="15"/>
  <c r="N16" i="15"/>
  <c r="M16" i="15"/>
  <c r="Q15" i="15"/>
  <c r="P15" i="15"/>
  <c r="O15" i="15"/>
  <c r="N15" i="15"/>
  <c r="M15" i="15"/>
  <c r="U15" i="15"/>
  <c r="W14" i="15"/>
  <c r="S14" i="15"/>
  <c r="Q14" i="15"/>
  <c r="P14" i="15"/>
  <c r="O14" i="15"/>
  <c r="N14" i="15"/>
  <c r="M14" i="15"/>
  <c r="V14" i="15"/>
  <c r="T13" i="15"/>
  <c r="R13" i="15"/>
  <c r="Q13" i="15"/>
  <c r="P13" i="15"/>
  <c r="O13" i="15"/>
  <c r="N13" i="15"/>
  <c r="M13" i="15"/>
  <c r="W13" i="15"/>
  <c r="U12" i="15"/>
  <c r="Q12" i="15"/>
  <c r="P12" i="15"/>
  <c r="O12" i="15"/>
  <c r="N12" i="15"/>
  <c r="M12" i="15"/>
  <c r="W11" i="15"/>
  <c r="S11" i="15"/>
  <c r="Q11" i="15"/>
  <c r="P11" i="15"/>
  <c r="O11" i="15"/>
  <c r="N11" i="15"/>
  <c r="M11" i="15"/>
  <c r="V11" i="15"/>
  <c r="W10" i="15"/>
  <c r="U10" i="15"/>
  <c r="T10" i="15"/>
  <c r="S10" i="15"/>
  <c r="R10" i="15"/>
  <c r="Q10" i="15"/>
  <c r="P10" i="15"/>
  <c r="O10" i="15"/>
  <c r="N10" i="15"/>
  <c r="M10" i="15"/>
  <c r="V10" i="15"/>
  <c r="Q9" i="15"/>
  <c r="P9" i="15"/>
  <c r="O9" i="15"/>
  <c r="N9" i="15"/>
  <c r="M9" i="15"/>
  <c r="W8" i="15"/>
  <c r="U8" i="15"/>
  <c r="T8" i="15"/>
  <c r="S8" i="15"/>
  <c r="R8" i="15"/>
  <c r="Q8" i="15"/>
  <c r="P8" i="15"/>
  <c r="O8" i="15"/>
  <c r="N8" i="15"/>
  <c r="M8" i="15"/>
  <c r="V8" i="15"/>
  <c r="AB6" i="15"/>
  <c r="AA6" i="15"/>
  <c r="Z6" i="15"/>
  <c r="Y6" i="15"/>
  <c r="X6" i="15"/>
  <c r="W6" i="15"/>
  <c r="U6" i="15"/>
  <c r="T6" i="15"/>
  <c r="S6" i="15"/>
  <c r="R6" i="15"/>
  <c r="Q6" i="15"/>
  <c r="P6" i="15"/>
  <c r="O6" i="15"/>
  <c r="N6" i="15"/>
  <c r="M6" i="15"/>
  <c r="V6" i="15"/>
  <c r="AB4" i="15"/>
  <c r="AA4" i="15"/>
  <c r="Z4" i="15"/>
  <c r="Y4" i="15"/>
  <c r="X4" i="15"/>
  <c r="X19" i="15" s="1"/>
  <c r="W4" i="15"/>
  <c r="U4" i="15"/>
  <c r="T4" i="15"/>
  <c r="S4" i="15"/>
  <c r="R4" i="15"/>
  <c r="Q4" i="15"/>
  <c r="P4" i="15"/>
  <c r="O4" i="15"/>
  <c r="N4" i="15"/>
  <c r="M4" i="15"/>
  <c r="V4" i="15"/>
  <c r="AB3" i="15"/>
  <c r="AA3" i="15"/>
  <c r="AA19" i="15" s="1"/>
  <c r="Z3" i="15"/>
  <c r="Y3" i="15"/>
  <c r="Q3" i="15"/>
  <c r="P3" i="15"/>
  <c r="O3" i="15"/>
  <c r="N3" i="15"/>
  <c r="M3" i="15"/>
  <c r="O7" i="12"/>
  <c r="P7" i="12"/>
  <c r="Q7" i="12"/>
  <c r="R7" i="12"/>
  <c r="O8" i="12"/>
  <c r="P8" i="12"/>
  <c r="Q8" i="12"/>
  <c r="R8" i="12"/>
  <c r="O9" i="12"/>
  <c r="P9" i="12"/>
  <c r="Q9" i="12"/>
  <c r="R9" i="12"/>
  <c r="O10" i="12"/>
  <c r="Q10" i="12"/>
  <c r="R10" i="12"/>
  <c r="O11" i="12"/>
  <c r="P11" i="12"/>
  <c r="Q11" i="12"/>
  <c r="R11" i="12"/>
  <c r="O12" i="12"/>
  <c r="P12" i="12"/>
  <c r="Q12" i="12"/>
  <c r="R12" i="12"/>
  <c r="O13" i="12"/>
  <c r="P13" i="12"/>
  <c r="Q13" i="12"/>
  <c r="R13" i="12"/>
  <c r="O14" i="12"/>
  <c r="P14" i="12"/>
  <c r="Q14" i="12"/>
  <c r="R14" i="12"/>
  <c r="O15" i="12"/>
  <c r="P15" i="12"/>
  <c r="Q15" i="12"/>
  <c r="R15" i="12"/>
  <c r="O16" i="12"/>
  <c r="P16" i="12"/>
  <c r="Q16" i="12"/>
  <c r="R16" i="12"/>
  <c r="O17" i="12"/>
  <c r="P17" i="12"/>
  <c r="Q17" i="12"/>
  <c r="R17" i="12"/>
  <c r="O19" i="12"/>
  <c r="P19" i="12"/>
  <c r="Q19" i="12"/>
  <c r="R19" i="12"/>
  <c r="O20" i="12"/>
  <c r="P20" i="12"/>
  <c r="Q20" i="12"/>
  <c r="R20" i="12"/>
  <c r="O21" i="12"/>
  <c r="P21" i="12"/>
  <c r="Q21" i="12"/>
  <c r="R21" i="12"/>
  <c r="P3" i="13"/>
  <c r="Q3" i="13"/>
  <c r="R3" i="13"/>
  <c r="P4" i="13"/>
  <c r="Q4" i="13"/>
  <c r="R4" i="13"/>
  <c r="P5" i="13"/>
  <c r="Q5" i="13"/>
  <c r="R5" i="13"/>
  <c r="P6" i="13"/>
  <c r="Q6" i="13"/>
  <c r="R6" i="13"/>
  <c r="P8" i="13"/>
  <c r="Q8" i="13"/>
  <c r="R8" i="13"/>
  <c r="P9" i="13"/>
  <c r="Q9" i="13"/>
  <c r="R9" i="13"/>
  <c r="P11" i="13"/>
  <c r="Q11" i="13"/>
  <c r="R11" i="13"/>
  <c r="P12" i="13"/>
  <c r="Q12" i="13"/>
  <c r="R12" i="13"/>
  <c r="P13" i="13"/>
  <c r="Q13" i="13"/>
  <c r="R13" i="13"/>
  <c r="P14" i="13"/>
  <c r="Q14" i="13"/>
  <c r="R14" i="13"/>
  <c r="P15" i="13"/>
  <c r="Q15" i="13"/>
  <c r="R15" i="13"/>
  <c r="P16" i="13"/>
  <c r="Q16" i="13"/>
  <c r="R16" i="13"/>
  <c r="P17" i="13"/>
  <c r="Q17" i="13"/>
  <c r="R17" i="13"/>
  <c r="P18" i="13"/>
  <c r="Q18" i="13"/>
  <c r="R18" i="13"/>
  <c r="P20" i="13"/>
  <c r="Q20" i="13"/>
  <c r="R20" i="13"/>
  <c r="P21" i="13"/>
  <c r="Q21" i="13"/>
  <c r="R21" i="13"/>
  <c r="O4" i="13"/>
  <c r="O5" i="13"/>
  <c r="O6" i="13"/>
  <c r="O8" i="13"/>
  <c r="O9" i="13"/>
  <c r="O11" i="13"/>
  <c r="O12" i="13"/>
  <c r="O13" i="13"/>
  <c r="O14" i="13"/>
  <c r="O15" i="13"/>
  <c r="O16" i="13"/>
  <c r="O17" i="13"/>
  <c r="O18" i="13"/>
  <c r="O20" i="13"/>
  <c r="O21" i="13"/>
  <c r="O3" i="13"/>
  <c r="F19" i="14"/>
  <c r="G19" i="14"/>
  <c r="H19" i="14"/>
  <c r="I19" i="14"/>
  <c r="J16" i="14"/>
  <c r="J15" i="14"/>
  <c r="T15" i="14" s="1"/>
  <c r="J14" i="14"/>
  <c r="V14" i="14" s="1"/>
  <c r="J13" i="14"/>
  <c r="T13" i="14" s="1"/>
  <c r="J12" i="14"/>
  <c r="S12" i="14" s="1"/>
  <c r="J11" i="14"/>
  <c r="T11" i="14" s="1"/>
  <c r="J10" i="14"/>
  <c r="V10" i="14" s="1"/>
  <c r="J9" i="14"/>
  <c r="T9" i="14" s="1"/>
  <c r="J8" i="14"/>
  <c r="J7" i="14"/>
  <c r="T7" i="14" s="1"/>
  <c r="J6" i="14"/>
  <c r="V6" i="14" s="1"/>
  <c r="J5" i="14"/>
  <c r="T5" i="14" s="1"/>
  <c r="J4" i="14"/>
  <c r="J3" i="14"/>
  <c r="W3" i="14" s="1"/>
  <c r="N3" i="14"/>
  <c r="O3" i="14"/>
  <c r="P3" i="14"/>
  <c r="Q3" i="14"/>
  <c r="N4" i="14"/>
  <c r="O4" i="14"/>
  <c r="P4" i="14"/>
  <c r="Q4" i="14"/>
  <c r="N5" i="14"/>
  <c r="O5" i="14"/>
  <c r="P5" i="14"/>
  <c r="Q5" i="14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N12" i="14"/>
  <c r="O12" i="14"/>
  <c r="P12" i="14"/>
  <c r="Q12" i="14"/>
  <c r="N13" i="14"/>
  <c r="O13" i="14"/>
  <c r="P13" i="14"/>
  <c r="Q13" i="14"/>
  <c r="N14" i="14"/>
  <c r="O14" i="14"/>
  <c r="P14" i="14"/>
  <c r="Q14" i="14"/>
  <c r="R14" i="14"/>
  <c r="N15" i="14"/>
  <c r="O15" i="14"/>
  <c r="P15" i="14"/>
  <c r="Q15" i="14"/>
  <c r="N16" i="14"/>
  <c r="O16" i="14"/>
  <c r="P16" i="14"/>
  <c r="Q16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3" i="14"/>
  <c r="E19" i="14"/>
  <c r="O24" i="12" l="1"/>
  <c r="O26" i="12" s="1"/>
  <c r="U3" i="14"/>
  <c r="AC4" i="14"/>
  <c r="AC16" i="14"/>
  <c r="V15" i="14"/>
  <c r="V11" i="14"/>
  <c r="V7" i="14"/>
  <c r="R11" i="14"/>
  <c r="W14" i="14"/>
  <c r="W10" i="14"/>
  <c r="W6" i="14"/>
  <c r="S14" i="14"/>
  <c r="S10" i="14"/>
  <c r="S6" i="14"/>
  <c r="R8" i="14"/>
  <c r="AC8" i="14"/>
  <c r="U16" i="14"/>
  <c r="U12" i="14"/>
  <c r="R4" i="14"/>
  <c r="AC5" i="14"/>
  <c r="AC9" i="14"/>
  <c r="AC13" i="14"/>
  <c r="S3" i="14"/>
  <c r="T3" i="14"/>
  <c r="T16" i="14"/>
  <c r="U15" i="14"/>
  <c r="W13" i="14"/>
  <c r="S13" i="14"/>
  <c r="T12" i="14"/>
  <c r="U11" i="14"/>
  <c r="W9" i="14"/>
  <c r="S9" i="14"/>
  <c r="T8" i="14"/>
  <c r="U7" i="14"/>
  <c r="W5" i="14"/>
  <c r="S5" i="14"/>
  <c r="T4" i="14"/>
  <c r="R16" i="14"/>
  <c r="R6" i="14"/>
  <c r="AC6" i="14"/>
  <c r="R10" i="14"/>
  <c r="AC10" i="14"/>
  <c r="AC14" i="14"/>
  <c r="W16" i="14"/>
  <c r="S16" i="14"/>
  <c r="U14" i="14"/>
  <c r="V13" i="14"/>
  <c r="W12" i="14"/>
  <c r="U10" i="14"/>
  <c r="V9" i="14"/>
  <c r="W8" i="14"/>
  <c r="S8" i="14"/>
  <c r="U6" i="14"/>
  <c r="V5" i="14"/>
  <c r="W4" i="14"/>
  <c r="S4" i="14"/>
  <c r="R12" i="14"/>
  <c r="AC12" i="14"/>
  <c r="U8" i="14"/>
  <c r="U4" i="14"/>
  <c r="AC3" i="14"/>
  <c r="R7" i="14"/>
  <c r="AC7" i="14"/>
  <c r="AC11" i="14"/>
  <c r="AC15" i="14"/>
  <c r="V3" i="14"/>
  <c r="V16" i="14"/>
  <c r="W15" i="14"/>
  <c r="S15" i="14"/>
  <c r="T14" i="14"/>
  <c r="U13" i="14"/>
  <c r="V12" i="14"/>
  <c r="W11" i="14"/>
  <c r="S11" i="14"/>
  <c r="T10" i="14"/>
  <c r="U9" i="14"/>
  <c r="V8" i="14"/>
  <c r="W7" i="14"/>
  <c r="S7" i="14"/>
  <c r="T6" i="14"/>
  <c r="U5" i="14"/>
  <c r="V4" i="14"/>
  <c r="J19" i="14"/>
  <c r="AB19" i="14"/>
  <c r="Y20" i="14"/>
  <c r="AA20" i="14"/>
  <c r="AB19" i="15"/>
  <c r="AB20" i="14"/>
  <c r="Z19" i="14"/>
  <c r="Z20" i="14"/>
  <c r="Y19" i="15"/>
  <c r="Z19" i="15"/>
  <c r="AA20" i="15"/>
  <c r="X20" i="15"/>
  <c r="AB20" i="15"/>
  <c r="V9" i="15"/>
  <c r="S3" i="15"/>
  <c r="W3" i="15"/>
  <c r="AC4" i="15"/>
  <c r="AC6" i="15"/>
  <c r="S9" i="15"/>
  <c r="W9" i="15"/>
  <c r="R11" i="15"/>
  <c r="T11" i="15"/>
  <c r="V12" i="15"/>
  <c r="U13" i="15"/>
  <c r="R14" i="15"/>
  <c r="T14" i="15"/>
  <c r="S15" i="15"/>
  <c r="W15" i="15"/>
  <c r="V16" i="15"/>
  <c r="J19" i="15"/>
  <c r="Y20" i="15"/>
  <c r="V3" i="15"/>
  <c r="V15" i="15"/>
  <c r="R3" i="15"/>
  <c r="T3" i="15"/>
  <c r="R9" i="15"/>
  <c r="T9" i="15"/>
  <c r="U11" i="15"/>
  <c r="S12" i="15"/>
  <c r="W12" i="15"/>
  <c r="V13" i="15"/>
  <c r="U14" i="15"/>
  <c r="R15" i="15"/>
  <c r="T15" i="15"/>
  <c r="S16" i="15"/>
  <c r="W16" i="15"/>
  <c r="Z20" i="15"/>
  <c r="U3" i="15"/>
  <c r="U9" i="15"/>
  <c r="R12" i="15"/>
  <c r="T12" i="15"/>
  <c r="S13" i="15"/>
  <c r="R16" i="15"/>
  <c r="T16" i="15"/>
  <c r="AA19" i="14"/>
  <c r="Y19" i="14"/>
  <c r="R3" i="14"/>
  <c r="R15" i="14"/>
  <c r="R13" i="14"/>
  <c r="R9" i="14"/>
  <c r="R5" i="14"/>
  <c r="AC20" i="14" l="1"/>
  <c r="AC19" i="14"/>
  <c r="AC19" i="15"/>
  <c r="AC20" i="15"/>
  <c r="X20" i="14"/>
  <c r="X19" i="14"/>
  <c r="I24" i="13" l="1"/>
  <c r="H24" i="13"/>
  <c r="G24" i="13"/>
  <c r="F24" i="13"/>
  <c r="N21" i="13"/>
  <c r="M21" i="13"/>
  <c r="L21" i="13"/>
  <c r="N20" i="13"/>
  <c r="M20" i="13"/>
  <c r="L20" i="13"/>
  <c r="N18" i="13"/>
  <c r="M18" i="13"/>
  <c r="L18" i="13"/>
  <c r="N17" i="13"/>
  <c r="M17" i="13"/>
  <c r="L17" i="13"/>
  <c r="N16" i="13"/>
  <c r="M16" i="13"/>
  <c r="L16" i="13"/>
  <c r="N15" i="13"/>
  <c r="M15" i="13"/>
  <c r="L15" i="13"/>
  <c r="N14" i="13"/>
  <c r="M14" i="13"/>
  <c r="L14" i="13"/>
  <c r="N13" i="13"/>
  <c r="M13" i="13"/>
  <c r="L13" i="13"/>
  <c r="N12" i="13"/>
  <c r="M12" i="13"/>
  <c r="L12" i="13"/>
  <c r="N11" i="13"/>
  <c r="M11" i="13"/>
  <c r="L11" i="13"/>
  <c r="N9" i="13"/>
  <c r="M9" i="13"/>
  <c r="L9" i="13"/>
  <c r="N8" i="13"/>
  <c r="M8" i="13"/>
  <c r="L8" i="13"/>
  <c r="N6" i="13"/>
  <c r="M6" i="13"/>
  <c r="L6" i="13"/>
  <c r="N5" i="13"/>
  <c r="M5" i="13"/>
  <c r="L5" i="13"/>
  <c r="N4" i="13"/>
  <c r="M4" i="13"/>
  <c r="L4" i="13"/>
  <c r="N3" i="13"/>
  <c r="M3" i="13"/>
  <c r="L3" i="13"/>
  <c r="P24" i="12"/>
  <c r="Q24" i="12"/>
  <c r="R24" i="12"/>
  <c r="L10" i="12"/>
  <c r="M10" i="12"/>
  <c r="N10" i="12"/>
  <c r="L11" i="12"/>
  <c r="M11" i="12"/>
  <c r="N11" i="12"/>
  <c r="L12" i="12"/>
  <c r="M12" i="12"/>
  <c r="N12" i="12"/>
  <c r="L13" i="12"/>
  <c r="M13" i="12"/>
  <c r="N13" i="12"/>
  <c r="L14" i="12"/>
  <c r="M14" i="12"/>
  <c r="N14" i="12"/>
  <c r="L15" i="12"/>
  <c r="M15" i="12"/>
  <c r="N15" i="12"/>
  <c r="L16" i="12"/>
  <c r="M16" i="12"/>
  <c r="N16" i="12"/>
  <c r="L17" i="12"/>
  <c r="M17" i="12"/>
  <c r="N17" i="12"/>
  <c r="L19" i="12"/>
  <c r="M19" i="12"/>
  <c r="N19" i="12"/>
  <c r="L20" i="12"/>
  <c r="M20" i="12"/>
  <c r="N20" i="12"/>
  <c r="L21" i="12"/>
  <c r="M21" i="12"/>
  <c r="N21" i="12"/>
  <c r="R25" i="13" l="1"/>
  <c r="P25" i="13"/>
  <c r="Q25" i="13"/>
  <c r="P24" i="13"/>
  <c r="I24" i="12"/>
  <c r="H24" i="12"/>
  <c r="G24" i="12"/>
  <c r="F24" i="12"/>
  <c r="N9" i="12"/>
  <c r="M9" i="12"/>
  <c r="L9" i="12"/>
  <c r="N8" i="12"/>
  <c r="M8" i="12"/>
  <c r="L8" i="12"/>
  <c r="N7" i="12"/>
  <c r="M7" i="12"/>
  <c r="L7" i="12"/>
  <c r="N6" i="12"/>
  <c r="M6" i="12"/>
  <c r="L6" i="12"/>
  <c r="N5" i="12"/>
  <c r="M5" i="12"/>
  <c r="L5" i="12"/>
  <c r="N4" i="12"/>
  <c r="M4" i="12"/>
  <c r="L4" i="12"/>
  <c r="N3" i="12"/>
  <c r="M3" i="12"/>
  <c r="L3" i="12"/>
  <c r="R24" i="13" l="1"/>
  <c r="Q24" i="13"/>
  <c r="O25" i="13"/>
  <c r="O24" i="13"/>
  <c r="R25" i="12"/>
  <c r="Q25" i="12"/>
  <c r="O25" i="12" l="1"/>
  <c r="P25" i="12"/>
  <c r="N17" i="5"/>
  <c r="M17" i="5"/>
  <c r="L16" i="5"/>
  <c r="N14" i="5"/>
  <c r="M14" i="5"/>
  <c r="L13" i="5"/>
  <c r="N12" i="5"/>
  <c r="M12" i="5"/>
  <c r="N10" i="5"/>
  <c r="M10" i="5"/>
  <c r="M9" i="5"/>
  <c r="L9" i="5"/>
  <c r="N8" i="5"/>
  <c r="N7" i="5"/>
  <c r="M6" i="5"/>
  <c r="L6" i="5"/>
  <c r="L5" i="5"/>
  <c r="N4" i="5"/>
  <c r="M4" i="5"/>
  <c r="L4" i="5"/>
  <c r="N3" i="5"/>
  <c r="M3" i="5"/>
  <c r="A18" i="4"/>
  <c r="A19" i="4" s="1"/>
  <c r="B9" i="4"/>
  <c r="B10" i="4" s="1"/>
  <c r="B7" i="4"/>
  <c r="B4" i="4"/>
  <c r="G6" i="4" s="1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M11" i="3" l="1"/>
  <c r="N11" i="3"/>
  <c r="L11" i="3"/>
  <c r="N15" i="3"/>
  <c r="L15" i="3"/>
  <c r="M15" i="3"/>
  <c r="N7" i="3"/>
  <c r="L7" i="3"/>
  <c r="M7" i="3"/>
  <c r="N12" i="3"/>
  <c r="L12" i="3"/>
  <c r="M12" i="3"/>
  <c r="L16" i="3"/>
  <c r="M16" i="3"/>
  <c r="N16" i="3"/>
  <c r="L8" i="3"/>
  <c r="M8" i="3"/>
  <c r="N8" i="3"/>
  <c r="L9" i="3"/>
  <c r="M9" i="3"/>
  <c r="N9" i="3"/>
  <c r="L13" i="3"/>
  <c r="M13" i="3"/>
  <c r="N13" i="3"/>
  <c r="L17" i="3"/>
  <c r="M17" i="3"/>
  <c r="N17" i="3"/>
  <c r="L3" i="3"/>
  <c r="M3" i="3"/>
  <c r="N3" i="3"/>
  <c r="L4" i="3"/>
  <c r="M4" i="3"/>
  <c r="N4" i="3"/>
  <c r="L5" i="3"/>
  <c r="M5" i="3"/>
  <c r="N5" i="3"/>
  <c r="L6" i="3"/>
  <c r="M6" i="3"/>
  <c r="N6" i="3"/>
  <c r="L10" i="3"/>
  <c r="M10" i="3"/>
  <c r="N10" i="3"/>
  <c r="L14" i="3"/>
  <c r="M14" i="3"/>
  <c r="N14" i="3"/>
  <c r="R6" i="3"/>
  <c r="R16" i="3"/>
  <c r="R4" i="3"/>
  <c r="R10" i="3"/>
  <c r="R14" i="3"/>
  <c r="R5" i="3"/>
  <c r="R7" i="3"/>
  <c r="R9" i="3"/>
  <c r="R11" i="3"/>
  <c r="R13" i="3"/>
  <c r="R15" i="3"/>
  <c r="R3" i="3"/>
  <c r="R8" i="3"/>
  <c r="R12" i="3"/>
  <c r="G9" i="4"/>
  <c r="K8" i="4" s="1"/>
  <c r="G19" i="3"/>
  <c r="I19" i="3"/>
  <c r="F19" i="3"/>
  <c r="H19" i="3"/>
  <c r="H19" i="5"/>
  <c r="G19" i="5"/>
  <c r="F19" i="5"/>
  <c r="M5" i="5"/>
  <c r="N11" i="5"/>
  <c r="M11" i="5"/>
  <c r="N15" i="5"/>
  <c r="M15" i="5"/>
  <c r="I19" i="5"/>
  <c r="L3" i="5"/>
  <c r="N5" i="5"/>
  <c r="L11" i="5"/>
  <c r="L15" i="5"/>
  <c r="N13" i="5"/>
  <c r="M13" i="5"/>
  <c r="N16" i="5"/>
  <c r="M16" i="5"/>
  <c r="N6" i="5"/>
  <c r="L8" i="5"/>
  <c r="N9" i="5"/>
  <c r="L7" i="5"/>
  <c r="M8" i="5"/>
  <c r="L10" i="5"/>
  <c r="L12" i="5"/>
  <c r="L14" i="5"/>
  <c r="M7" i="5"/>
  <c r="P21" i="5" l="1"/>
  <c r="P22" i="5" s="1"/>
  <c r="P23" i="5" s="1"/>
  <c r="I5" i="28" s="1"/>
  <c r="P21" i="3"/>
  <c r="P22" i="3" s="1"/>
  <c r="P23" i="3" s="1"/>
  <c r="I4" i="28" s="1"/>
  <c r="Q21" i="3"/>
  <c r="Q22" i="3" s="1"/>
  <c r="Q23" i="3" s="1"/>
  <c r="J4" i="28" s="1"/>
  <c r="R21" i="5"/>
  <c r="R22" i="5" s="1"/>
  <c r="R23" i="5" s="1"/>
  <c r="M5" i="28" s="1"/>
  <c r="X19" i="19"/>
  <c r="X20" i="19" s="1"/>
  <c r="X21" i="19" s="1"/>
  <c r="T19" i="19"/>
  <c r="T20" i="19" s="1"/>
  <c r="T21" i="19" s="1"/>
  <c r="O17" i="16"/>
  <c r="O18" i="16" s="1"/>
  <c r="O19" i="16" s="1"/>
  <c r="V19" i="19"/>
  <c r="V20" i="19" s="1"/>
  <c r="V21" i="19" s="1"/>
  <c r="O22" i="3"/>
  <c r="O23" i="3" s="1"/>
  <c r="F4" i="28" s="1"/>
  <c r="O21" i="5"/>
  <c r="O22" i="5" s="1"/>
  <c r="O23" i="5" s="1"/>
  <c r="F5" i="28" s="1"/>
  <c r="X19" i="21"/>
  <c r="X20" i="21" s="1"/>
  <c r="X21" i="21" s="1"/>
  <c r="J13" i="28" s="1"/>
  <c r="M18" i="17"/>
  <c r="M19" i="17" s="1"/>
  <c r="M20" i="17" s="1"/>
  <c r="I11" i="28" s="1"/>
  <c r="T19" i="18"/>
  <c r="T20" i="18" s="1"/>
  <c r="T21" i="18" s="1"/>
  <c r="U19" i="19"/>
  <c r="U20" i="19" s="1"/>
  <c r="U21" i="19" s="1"/>
  <c r="N17" i="16"/>
  <c r="N18" i="16" s="1"/>
  <c r="N19" i="16" s="1"/>
  <c r="J10" i="28" s="1"/>
  <c r="AA19" i="19"/>
  <c r="AA20" i="19" s="1"/>
  <c r="AA21" i="19" s="1"/>
  <c r="V19" i="21"/>
  <c r="V20" i="21" s="1"/>
  <c r="V21" i="21" s="1"/>
  <c r="H13" i="28" s="1"/>
  <c r="Y19" i="21"/>
  <c r="Y20" i="21" s="1"/>
  <c r="Y21" i="21" s="1"/>
  <c r="K13" i="28" s="1"/>
  <c r="AA19" i="18"/>
  <c r="AA20" i="18" s="1"/>
  <c r="AA21" i="18" s="1"/>
  <c r="M12" i="28" s="1"/>
  <c r="W19" i="18"/>
  <c r="W20" i="18" s="1"/>
  <c r="W21" i="18" s="1"/>
  <c r="I12" i="28" s="1"/>
  <c r="W19" i="21"/>
  <c r="W20" i="21" s="1"/>
  <c r="W21" i="21" s="1"/>
  <c r="I13" i="28" s="1"/>
  <c r="U19" i="21"/>
  <c r="U20" i="21" s="1"/>
  <c r="U21" i="21" s="1"/>
  <c r="G13" i="28" s="1"/>
  <c r="N18" i="17"/>
  <c r="N19" i="17" s="1"/>
  <c r="N20" i="17" s="1"/>
  <c r="J11" i="28" s="1"/>
  <c r="M17" i="16"/>
  <c r="M18" i="16" s="1"/>
  <c r="M19" i="16" s="1"/>
  <c r="I10" i="28" s="1"/>
  <c r="L18" i="17"/>
  <c r="L19" i="17" s="1"/>
  <c r="L20" i="17" s="1"/>
  <c r="F11" i="28" s="1"/>
  <c r="O18" i="17"/>
  <c r="O19" i="17" s="1"/>
  <c r="O20" i="17" s="1"/>
  <c r="AA19" i="21"/>
  <c r="AA20" i="21" s="1"/>
  <c r="AA21" i="21" s="1"/>
  <c r="M13" i="28" s="1"/>
  <c r="V19" i="18"/>
  <c r="V20" i="18" s="1"/>
  <c r="V21" i="18" s="1"/>
  <c r="H12" i="28" s="1"/>
  <c r="Y19" i="18"/>
  <c r="Y20" i="18" s="1"/>
  <c r="Y21" i="18" s="1"/>
  <c r="K12" i="28" s="1"/>
  <c r="L17" i="16"/>
  <c r="L18" i="16" s="1"/>
  <c r="L19" i="16" s="1"/>
  <c r="F10" i="28" s="1"/>
  <c r="W19" i="19"/>
  <c r="W20" i="19" s="1"/>
  <c r="W21" i="19" s="1"/>
  <c r="Z19" i="19"/>
  <c r="Z20" i="19" s="1"/>
  <c r="Z21" i="19" s="1"/>
  <c r="Z19" i="21"/>
  <c r="Z20" i="21" s="1"/>
  <c r="Z21" i="21" s="1"/>
  <c r="L13" i="28" s="1"/>
  <c r="X19" i="18"/>
  <c r="X20" i="18" s="1"/>
  <c r="X21" i="18" s="1"/>
  <c r="J12" i="28" s="1"/>
  <c r="U19" i="18"/>
  <c r="U20" i="18" s="1"/>
  <c r="U21" i="18" s="1"/>
  <c r="G12" i="28" s="1"/>
  <c r="Q21" i="5"/>
  <c r="Q22" i="5" s="1"/>
  <c r="Q23" i="5" s="1"/>
  <c r="J5" i="28" s="1"/>
  <c r="Z19" i="18"/>
  <c r="Z20" i="18" s="1"/>
  <c r="Z21" i="18" s="1"/>
  <c r="L12" i="28" s="1"/>
  <c r="Y19" i="19"/>
  <c r="Y20" i="19" s="1"/>
  <c r="Y21" i="19" s="1"/>
  <c r="T19" i="21"/>
  <c r="T20" i="21" s="1"/>
  <c r="T21" i="21" s="1"/>
  <c r="W19" i="20"/>
  <c r="W20" i="20" s="1"/>
  <c r="W21" i="20" s="1"/>
  <c r="V19" i="20"/>
  <c r="V20" i="20" s="1"/>
  <c r="V21" i="20" s="1"/>
  <c r="AA19" i="20"/>
  <c r="AA20" i="20" s="1"/>
  <c r="AA21" i="20" s="1"/>
  <c r="Z19" i="20"/>
  <c r="Z20" i="20" s="1"/>
  <c r="Z21" i="20" s="1"/>
  <c r="Y19" i="20"/>
  <c r="Y20" i="20" s="1"/>
  <c r="Y21" i="20" s="1"/>
  <c r="X19" i="20"/>
  <c r="X20" i="20" s="1"/>
  <c r="X21" i="20" s="1"/>
  <c r="U19" i="20"/>
  <c r="U20" i="20" s="1"/>
  <c r="U21" i="20" s="1"/>
  <c r="T19" i="20"/>
  <c r="T20" i="20" s="1"/>
  <c r="T21" i="20" s="1"/>
  <c r="Z21" i="15"/>
  <c r="Z22" i="15" s="1"/>
  <c r="Z23" i="15" s="1"/>
  <c r="AB21" i="15"/>
  <c r="AB22" i="15" s="1"/>
  <c r="AB23" i="15" s="1"/>
  <c r="Z21" i="14"/>
  <c r="Z22" i="14" s="1"/>
  <c r="Z23" i="14" s="1"/>
  <c r="AA21" i="14"/>
  <c r="AA22" i="14" s="1"/>
  <c r="AA23" i="14" s="1"/>
  <c r="X21" i="15"/>
  <c r="X22" i="15" s="1"/>
  <c r="X23" i="15" s="1"/>
  <c r="AB21" i="14"/>
  <c r="AB22" i="14" s="1"/>
  <c r="AB23" i="14" s="1"/>
  <c r="Y21" i="14"/>
  <c r="Y22" i="14" s="1"/>
  <c r="Y23" i="14" s="1"/>
  <c r="AA21" i="15"/>
  <c r="AA22" i="15" s="1"/>
  <c r="AA23" i="15" s="1"/>
  <c r="Y21" i="15"/>
  <c r="Y22" i="15" s="1"/>
  <c r="Y23" i="15" s="1"/>
  <c r="AC21" i="14"/>
  <c r="AC22" i="14" s="1"/>
  <c r="AC23" i="14" s="1"/>
  <c r="X21" i="14"/>
  <c r="X22" i="14" s="1"/>
  <c r="X23" i="14" s="1"/>
  <c r="AC21" i="15"/>
  <c r="AC22" i="15" s="1"/>
  <c r="AC23" i="15" s="1"/>
  <c r="R26" i="12"/>
  <c r="R27" i="12" s="1"/>
  <c r="R28" i="12" s="1"/>
  <c r="P26" i="13"/>
  <c r="P27" i="13" s="1"/>
  <c r="P28" i="13" s="1"/>
  <c r="O26" i="13"/>
  <c r="O27" i="13" s="1"/>
  <c r="O28" i="13" s="1"/>
  <c r="Q26" i="13"/>
  <c r="Q27" i="13" s="1"/>
  <c r="Q28" i="13" s="1"/>
  <c r="P26" i="12"/>
  <c r="P27" i="12" s="1"/>
  <c r="P28" i="12" s="1"/>
  <c r="R26" i="13"/>
  <c r="R27" i="13" s="1"/>
  <c r="R28" i="13" s="1"/>
  <c r="Q26" i="12"/>
  <c r="Q27" i="12" s="1"/>
  <c r="Q28" i="12" s="1"/>
  <c r="O27" i="12"/>
  <c r="O28" i="12" s="1"/>
  <c r="R19" i="3"/>
  <c r="R21" i="3" s="1"/>
  <c r="R22" i="3" s="1"/>
  <c r="R23" i="3" s="1"/>
  <c r="M4" i="28" s="1"/>
  <c r="R20" i="3"/>
  <c r="J24" i="28" l="1"/>
  <c r="J33" i="28"/>
  <c r="G24" i="28"/>
  <c r="K24" i="28"/>
  <c r="M24" i="28"/>
  <c r="M8" i="28"/>
  <c r="I33" i="28"/>
  <c r="I23" i="28"/>
  <c r="F6" i="28"/>
  <c r="J7" i="28"/>
  <c r="M9" i="28"/>
  <c r="L8" i="28"/>
  <c r="I9" i="28"/>
  <c r="M34" i="28"/>
  <c r="J23" i="28"/>
  <c r="M11" i="28"/>
  <c r="M10" i="28"/>
  <c r="J30" i="28"/>
  <c r="J20" i="28"/>
  <c r="L9" i="28"/>
  <c r="H34" i="28"/>
  <c r="H24" i="28"/>
  <c r="J6" i="28"/>
  <c r="F7" i="28"/>
  <c r="M6" i="28"/>
  <c r="F8" i="28"/>
  <c r="G9" i="28"/>
  <c r="F9" i="28"/>
  <c r="I8" i="28"/>
  <c r="J34" i="28"/>
  <c r="F23" i="28"/>
  <c r="F33" i="28"/>
  <c r="G34" i="28"/>
  <c r="I30" i="28"/>
  <c r="I20" i="28"/>
  <c r="I6" i="28"/>
  <c r="G8" i="28"/>
  <c r="I34" i="28"/>
  <c r="I24" i="28"/>
  <c r="B4" i="27" s="1"/>
  <c r="C4" i="27" s="1"/>
  <c r="M30" i="28"/>
  <c r="M20" i="28"/>
  <c r="M7" i="28"/>
  <c r="I7" i="28"/>
  <c r="K9" i="28"/>
  <c r="K8" i="28"/>
  <c r="L34" i="28"/>
  <c r="L24" i="28"/>
  <c r="K34" i="28"/>
  <c r="F20" i="28"/>
  <c r="F30" i="28"/>
  <c r="F4" i="2"/>
  <c r="B13" i="2" s="1"/>
  <c r="F4" i="27" l="1"/>
  <c r="G4" i="27" s="1"/>
  <c r="E4" i="27"/>
  <c r="F31" i="28"/>
  <c r="F21" i="28"/>
  <c r="K3" i="2"/>
  <c r="K32" i="28"/>
  <c r="J31" i="28"/>
  <c r="J21" i="28"/>
  <c r="M33" i="28"/>
  <c r="M23" i="28"/>
  <c r="I22" i="28"/>
  <c r="I3" i="2" s="1"/>
  <c r="I32" i="28"/>
  <c r="F32" i="28"/>
  <c r="F22" i="28"/>
  <c r="F3" i="2" s="1"/>
  <c r="M21" i="28"/>
  <c r="M31" i="28"/>
  <c r="L32" i="28"/>
  <c r="L22" i="28"/>
  <c r="L3" i="2" s="1"/>
  <c r="M22" i="28"/>
  <c r="M3" i="2" s="1"/>
  <c r="M32" i="28"/>
  <c r="G22" i="28"/>
  <c r="G3" i="2" s="1"/>
  <c r="G32" i="28"/>
  <c r="I21" i="28"/>
  <c r="I31" i="28"/>
  <c r="L4" i="2" l="1"/>
  <c r="F13" i="2" s="1"/>
  <c r="G4" i="2"/>
  <c r="C13" i="2" s="1"/>
  <c r="I4" i="2"/>
  <c r="D13" i="2" s="1"/>
  <c r="K4" i="2"/>
  <c r="E13" i="2" s="1"/>
  <c r="B12" i="2" l="1"/>
  <c r="C12" i="2" l="1"/>
  <c r="D12" i="2"/>
  <c r="E12" i="2"/>
  <c r="F12" i="2"/>
</calcChain>
</file>

<file path=xl/comments1.xml><?xml version="1.0" encoding="utf-8"?>
<comments xmlns="http://schemas.openxmlformats.org/spreadsheetml/2006/main">
  <authors>
    <author>Outram V.</author>
  </authors>
  <commentList>
    <comment ref="C42" authorId="0">
      <text>
        <r>
          <rPr>
            <b/>
            <sz val="9"/>
            <color indexed="81"/>
            <rFont val="Tahoma"/>
            <family val="2"/>
          </rPr>
          <t>Outram V.:</t>
        </r>
        <r>
          <rPr>
            <sz val="9"/>
            <color indexed="81"/>
            <rFont val="Tahoma"/>
            <family val="2"/>
          </rPr>
          <t xml:space="preserve">
Chem Eng Deign Ed2 Ch3</t>
        </r>
      </text>
    </comment>
  </commentList>
</comments>
</file>

<file path=xl/sharedStrings.xml><?xml version="1.0" encoding="utf-8"?>
<sst xmlns="http://schemas.openxmlformats.org/spreadsheetml/2006/main" count="735" uniqueCount="183">
  <si>
    <t>Experiments</t>
  </si>
  <si>
    <t>Pumped</t>
  </si>
  <si>
    <t>50 g/L VFA</t>
  </si>
  <si>
    <t>17 g/L VFA</t>
  </si>
  <si>
    <t>Mixed</t>
  </si>
  <si>
    <t>RO Water</t>
  </si>
  <si>
    <t>2M NaOH</t>
  </si>
  <si>
    <t>1M NaOH</t>
  </si>
  <si>
    <t>pH</t>
  </si>
  <si>
    <t>Fish Fermentation</t>
  </si>
  <si>
    <t>Pumped VFA, NaOH</t>
  </si>
  <si>
    <t>Acidified Fish Fermentation</t>
  </si>
  <si>
    <t>Unacidified Fish Fermentation</t>
  </si>
  <si>
    <t>Average</t>
  </si>
  <si>
    <t>Re</t>
  </si>
  <si>
    <t>Kov (µm/s)</t>
  </si>
  <si>
    <t>HAc</t>
  </si>
  <si>
    <t>HPr</t>
  </si>
  <si>
    <t>iHBu</t>
  </si>
  <si>
    <t>HBu</t>
  </si>
  <si>
    <t>iHVa</t>
  </si>
  <si>
    <t>Hva</t>
  </si>
  <si>
    <t>HHex</t>
  </si>
  <si>
    <t>Total</t>
  </si>
  <si>
    <t>Total VFA</t>
  </si>
  <si>
    <r>
      <t xml:space="preserve">Yesil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(2014) comparison</t>
    </r>
  </si>
  <si>
    <r>
      <t>Pumped VFA, RO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</si>
  <si>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Pumped VFA, RO Water</t>
  </si>
  <si>
    <t>Mixed VFA, RO Water</t>
  </si>
  <si>
    <t>This Work</t>
  </si>
  <si>
    <t>Yesil et al</t>
  </si>
  <si>
    <t>Sample</t>
  </si>
  <si>
    <t>Log Time</t>
  </si>
  <si>
    <t>Temp</t>
  </si>
  <si>
    <t>Feed (g/L)</t>
  </si>
  <si>
    <t>Volume (mL)</t>
  </si>
  <si>
    <t>Feed (g)</t>
  </si>
  <si>
    <t>VFA</t>
  </si>
  <si>
    <t>Extractant</t>
  </si>
  <si>
    <t>Acetic</t>
  </si>
  <si>
    <t>Butyric</t>
  </si>
  <si>
    <t>i-Valeric</t>
  </si>
  <si>
    <t>Feed</t>
  </si>
  <si>
    <t>R2</t>
  </si>
  <si>
    <t>Feed Ratio</t>
  </si>
  <si>
    <t>Slope</t>
  </si>
  <si>
    <t>Kov (m/h)</t>
  </si>
  <si>
    <t>Kov (m/s)</t>
  </si>
  <si>
    <t>Equilibrium conc</t>
  </si>
  <si>
    <t>Membrane area</t>
  </si>
  <si>
    <t>Length</t>
  </si>
  <si>
    <t>cm</t>
  </si>
  <si>
    <t>m</t>
  </si>
  <si>
    <t>I.D.</t>
  </si>
  <si>
    <t>mm</t>
  </si>
  <si>
    <t>A_ID</t>
  </si>
  <si>
    <t>m2</t>
  </si>
  <si>
    <t>A_LM</t>
  </si>
  <si>
    <t>O.D.</t>
  </si>
  <si>
    <t>A_OD</t>
  </si>
  <si>
    <t>Volume</t>
  </si>
  <si>
    <t>mL</t>
  </si>
  <si>
    <t>L</t>
  </si>
  <si>
    <t>m3</t>
  </si>
  <si>
    <r>
      <t>Kov (</t>
    </r>
    <r>
      <rPr>
        <b/>
        <sz val="11"/>
        <color theme="1"/>
        <rFont val="Calibri"/>
        <family val="2"/>
      </rPr>
      <t>µm/s)</t>
    </r>
  </si>
  <si>
    <t>Valeric</t>
  </si>
  <si>
    <t>Propionic</t>
  </si>
  <si>
    <t>Hexanoic</t>
  </si>
  <si>
    <t>Iso-Butyric</t>
  </si>
  <si>
    <t>n-Butyric</t>
  </si>
  <si>
    <t>Iso-Valeric</t>
  </si>
  <si>
    <t>n-Valeric</t>
  </si>
  <si>
    <t>Ln((Ci-Cie)/(Ci0-Cie))</t>
  </si>
  <si>
    <t xml:space="preserve">Ln((Ci-Cie)/(Ci0-Cie)) </t>
  </si>
  <si>
    <t>Ln((Ci)/(Ci0))</t>
  </si>
  <si>
    <t>Error</t>
  </si>
  <si>
    <t>Total n-Butyric conc (g/L)</t>
  </si>
  <si>
    <t>Total Hbu conc (mol/L)</t>
  </si>
  <si>
    <t>[H+]</t>
  </si>
  <si>
    <t>[Hbu] (mol/L)</t>
  </si>
  <si>
    <t>Ln((Ci-Cie)/(Cio-Cie))</t>
  </si>
  <si>
    <t>pKa</t>
  </si>
  <si>
    <t>kA</t>
  </si>
  <si>
    <t>Mw</t>
  </si>
  <si>
    <t>g/mol</t>
  </si>
  <si>
    <t>error</t>
  </si>
  <si>
    <t>Economic Assessment</t>
  </si>
  <si>
    <t>Acidified Fermentation</t>
  </si>
  <si>
    <t>Kov (m/day)</t>
  </si>
  <si>
    <t>DeltaC</t>
  </si>
  <si>
    <t>Calcualted Flux (g/m2</t>
  </si>
  <si>
    <t>Area (m2/L)</t>
  </si>
  <si>
    <t>Cost ($/L Ferm )</t>
  </si>
  <si>
    <t>Extractant cost ($/L)</t>
  </si>
  <si>
    <t>Volume required (L)</t>
  </si>
  <si>
    <t>Cost per reactor volume ($/L)</t>
  </si>
  <si>
    <t>This work</t>
  </si>
  <si>
    <t>Process Water</t>
  </si>
  <si>
    <t>Tugtas (2014)</t>
  </si>
  <si>
    <t>Sodium Hydroxide</t>
  </si>
  <si>
    <t>Placido and Zhang (2017)</t>
  </si>
  <si>
    <t>20%TOA + 1-Octanol</t>
  </si>
  <si>
    <t>Fermentation Production:</t>
  </si>
  <si>
    <t>Fermentation parameters</t>
  </si>
  <si>
    <t>Other:</t>
  </si>
  <si>
    <t>Parameter</t>
  </si>
  <si>
    <t>Units</t>
  </si>
  <si>
    <t>Sardine</t>
  </si>
  <si>
    <t>Mackerel</t>
  </si>
  <si>
    <t>Reactor Volume</t>
  </si>
  <si>
    <t>Duration (days)</t>
  </si>
  <si>
    <t>Membrane Cost</t>
  </si>
  <si>
    <t>€/m2</t>
  </si>
  <si>
    <t>Average Productivity</t>
  </si>
  <si>
    <t>g VFA/L/day</t>
  </si>
  <si>
    <t>Total VFA (g/L)</t>
  </si>
  <si>
    <t>Exchange rate</t>
  </si>
  <si>
    <t>€/USD</t>
  </si>
  <si>
    <t>Production Rate</t>
  </si>
  <si>
    <t>g VFA/day</t>
  </si>
  <si>
    <t>Fermentation Concentration</t>
  </si>
  <si>
    <t>%</t>
  </si>
  <si>
    <t>Production Rate (g/day)</t>
  </si>
  <si>
    <t>MW</t>
  </si>
  <si>
    <t>mol/L</t>
  </si>
  <si>
    <t>g/L</t>
  </si>
  <si>
    <t>Extractant Calculations:</t>
  </si>
  <si>
    <t>Mols required</t>
  </si>
  <si>
    <t>mol/ reactor L</t>
  </si>
  <si>
    <t>150% mols acid</t>
  </si>
  <si>
    <t>mol</t>
  </si>
  <si>
    <t>20%TOA 80% 1octanol</t>
  </si>
  <si>
    <t>Cost</t>
  </si>
  <si>
    <t>TOA</t>
  </si>
  <si>
    <t>USD/kg</t>
  </si>
  <si>
    <t>Mass conc</t>
  </si>
  <si>
    <t>Density</t>
  </si>
  <si>
    <t>kg/m3</t>
  </si>
  <si>
    <t>USD/L</t>
  </si>
  <si>
    <t>20% TOA</t>
  </si>
  <si>
    <t>USD/0.2 L</t>
  </si>
  <si>
    <t>kg/L</t>
  </si>
  <si>
    <t>MT/L</t>
  </si>
  <si>
    <t>1Octanol</t>
  </si>
  <si>
    <t>80% Octanol</t>
  </si>
  <si>
    <t>USD/0.8 L</t>
  </si>
  <si>
    <t>Total Extactant</t>
  </si>
  <si>
    <t>1L water+80g NaOH</t>
  </si>
  <si>
    <t>Volume requried</t>
  </si>
  <si>
    <t>Mass required in excess?</t>
  </si>
  <si>
    <t>g</t>
  </si>
  <si>
    <t>Volume water required</t>
  </si>
  <si>
    <t>Mol TOA Required</t>
  </si>
  <si>
    <t>USD</t>
  </si>
  <si>
    <t>$/tonne</t>
  </si>
  <si>
    <t>Mass TOA Required</t>
  </si>
  <si>
    <t>Octanol</t>
  </si>
  <si>
    <t>USD/tonne</t>
  </si>
  <si>
    <t>kg</t>
  </si>
  <si>
    <t>Volume TOA</t>
  </si>
  <si>
    <t>Mass Octanol Required</t>
  </si>
  <si>
    <t>Volume Octanol</t>
  </si>
  <si>
    <t>Total Volume</t>
  </si>
  <si>
    <t>Total Mass</t>
  </si>
  <si>
    <t>Predicted Equilibrium conc</t>
  </si>
  <si>
    <t>Yesil et al.</t>
  </si>
  <si>
    <t>Yesil et al. (m/h)</t>
  </si>
  <si>
    <t>Experiment 1 (1)</t>
  </si>
  <si>
    <t>Experiment 1 (2)</t>
  </si>
  <si>
    <t>Experiment 2 (1)</t>
  </si>
  <si>
    <t>Experiment 2 (2)</t>
  </si>
  <si>
    <t>Experiment 3 (1)</t>
  </si>
  <si>
    <t>Experiment 3 (2)</t>
  </si>
  <si>
    <t>Experiment 4 (1)</t>
  </si>
  <si>
    <t>Experiment 4 (2)</t>
  </si>
  <si>
    <t>Experiment 5 (1)</t>
  </si>
  <si>
    <t>Experiment 5 (2)</t>
  </si>
  <si>
    <t>Experiment 6 (1)</t>
  </si>
  <si>
    <t>Experiment 6 (2)</t>
  </si>
  <si>
    <r>
      <t>HBu Kov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m/s)</t>
    </r>
  </si>
  <si>
    <t>HVa</t>
  </si>
  <si>
    <t>Expt. 5.1</t>
  </si>
  <si>
    <t>Expt.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</si>
</sst>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0.0000"/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0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0" xfId="0" applyBorder="1"/>
    <xf numFmtId="11" fontId="0" fillId="0" borderId="6" xfId="0" applyNumberFormat="1" applyBorder="1"/>
    <xf numFmtId="0" fontId="0" fillId="0" borderId="7" xfId="0" applyBorder="1"/>
    <xf numFmtId="0" fontId="0" fillId="0" borderId="2" xfId="0" applyBorder="1"/>
    <xf numFmtId="11" fontId="0" fillId="0" borderId="8" xfId="0" applyNumberFormat="1" applyBorder="1"/>
    <xf numFmtId="0" fontId="0" fillId="0" borderId="6" xfId="0" applyBorder="1"/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2" fontId="0" fillId="0" borderId="0" xfId="0" applyNumberFormat="1" applyBorder="1"/>
    <xf numFmtId="165" fontId="0" fillId="0" borderId="0" xfId="0" applyNumberFormat="1"/>
    <xf numFmtId="164" fontId="0" fillId="0" borderId="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2" fillId="0" borderId="0" xfId="0" applyNumberFormat="1" applyFont="1" applyFill="1" applyBorder="1"/>
    <xf numFmtId="165" fontId="0" fillId="0" borderId="7" xfId="0" applyNumberFormat="1" applyBorder="1"/>
    <xf numFmtId="165" fontId="0" fillId="0" borderId="2" xfId="0" applyNumberFormat="1" applyBorder="1"/>
    <xf numFmtId="165" fontId="0" fillId="0" borderId="8" xfId="0" applyNumberFormat="1" applyBorder="1"/>
    <xf numFmtId="164" fontId="0" fillId="0" borderId="0" xfId="0" applyNumberFormat="1"/>
    <xf numFmtId="0" fontId="0" fillId="0" borderId="14" xfId="0" applyBorder="1"/>
    <xf numFmtId="0" fontId="0" fillId="0" borderId="15" xfId="0" applyBorder="1"/>
    <xf numFmtId="166" fontId="0" fillId="0" borderId="0" xfId="0" applyNumberFormat="1"/>
    <xf numFmtId="2" fontId="0" fillId="0" borderId="0" xfId="0" applyNumberFormat="1"/>
    <xf numFmtId="166" fontId="0" fillId="0" borderId="14" xfId="0" applyNumberFormat="1" applyBorder="1"/>
    <xf numFmtId="166" fontId="0" fillId="0" borderId="0" xfId="0" applyNumberFormat="1" applyBorder="1"/>
    <xf numFmtId="166" fontId="0" fillId="0" borderId="15" xfId="0" applyNumberFormat="1" applyBorder="1"/>
    <xf numFmtId="0" fontId="0" fillId="2" borderId="0" xfId="0" applyFill="1"/>
    <xf numFmtId="166" fontId="0" fillId="0" borderId="16" xfId="0" applyNumberFormat="1" applyBorder="1"/>
    <xf numFmtId="166" fontId="0" fillId="0" borderId="17" xfId="0" applyNumberFormat="1" applyBorder="1"/>
    <xf numFmtId="166" fontId="0" fillId="0" borderId="18" xfId="0" applyNumberFormat="1" applyBorder="1"/>
    <xf numFmtId="0" fontId="0" fillId="0" borderId="0" xfId="0" applyAlignment="1">
      <alignment horizontal="right"/>
    </xf>
    <xf numFmtId="9" fontId="0" fillId="0" borderId="0" xfId="1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166" fontId="0" fillId="0" borderId="14" xfId="0" applyNumberFormat="1" applyFill="1" applyBorder="1"/>
    <xf numFmtId="166" fontId="0" fillId="0" borderId="0" xfId="0" applyNumberFormat="1" applyFill="1" applyBorder="1"/>
    <xf numFmtId="166" fontId="0" fillId="0" borderId="15" xfId="0" applyNumberFormat="1" applyFill="1" applyBorder="1"/>
    <xf numFmtId="0" fontId="0" fillId="0" borderId="0" xfId="0" applyFill="1" applyBorder="1"/>
    <xf numFmtId="0" fontId="0" fillId="0" borderId="14" xfId="0" applyFill="1" applyBorder="1"/>
    <xf numFmtId="166" fontId="0" fillId="0" borderId="16" xfId="0" applyNumberFormat="1" applyFill="1" applyBorder="1"/>
    <xf numFmtId="166" fontId="0" fillId="0" borderId="17" xfId="0" applyNumberFormat="1" applyFill="1" applyBorder="1"/>
    <xf numFmtId="166" fontId="0" fillId="0" borderId="18" xfId="0" applyNumberFormat="1" applyFill="1" applyBorder="1"/>
    <xf numFmtId="9" fontId="0" fillId="0" borderId="14" xfId="1" applyFont="1" applyFill="1" applyBorder="1"/>
    <xf numFmtId="9" fontId="0" fillId="0" borderId="0" xfId="1" applyFont="1" applyFill="1" applyBorder="1"/>
    <xf numFmtId="9" fontId="0" fillId="0" borderId="15" xfId="1" applyFont="1" applyFill="1" applyBorder="1"/>
    <xf numFmtId="9" fontId="0" fillId="0" borderId="16" xfId="1" applyFont="1" applyFill="1" applyBorder="1"/>
    <xf numFmtId="9" fontId="0" fillId="0" borderId="17" xfId="1" applyFont="1" applyFill="1" applyBorder="1"/>
    <xf numFmtId="9" fontId="0" fillId="0" borderId="18" xfId="1" applyFont="1" applyFill="1" applyBorder="1"/>
    <xf numFmtId="11" fontId="0" fillId="0" borderId="0" xfId="0" applyNumberFormat="1"/>
    <xf numFmtId="0" fontId="0" fillId="0" borderId="21" xfId="0" applyBorder="1"/>
    <xf numFmtId="0" fontId="0" fillId="0" borderId="20" xfId="0" applyBorder="1"/>
    <xf numFmtId="165" fontId="1" fillId="0" borderId="0" xfId="0" applyNumberFormat="1" applyFont="1"/>
    <xf numFmtId="166" fontId="0" fillId="0" borderId="21" xfId="0" applyNumberFormat="1" applyBorder="1"/>
    <xf numFmtId="2" fontId="0" fillId="0" borderId="17" xfId="0" applyNumberFormat="1" applyBorder="1"/>
    <xf numFmtId="166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Fill="1" applyBorder="1"/>
    <xf numFmtId="2" fontId="0" fillId="0" borderId="0" xfId="0" applyNumberFormat="1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17" xfId="0" applyNumberFormat="1" applyFill="1" applyBorder="1"/>
    <xf numFmtId="2" fontId="0" fillId="0" borderId="18" xfId="0" applyNumberFormat="1" applyFill="1" applyBorder="1"/>
    <xf numFmtId="166" fontId="0" fillId="0" borderId="6" xfId="0" applyNumberFormat="1" applyBorder="1"/>
    <xf numFmtId="166" fontId="0" fillId="0" borderId="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0" applyFont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2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3" borderId="0" xfId="0" applyNumberFormat="1" applyFill="1"/>
    <xf numFmtId="2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0" fontId="1" fillId="6" borderId="0" xfId="0" applyFont="1" applyFill="1" applyAlignment="1">
      <alignment horizontal="right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5" borderId="0" xfId="0" applyFont="1" applyFill="1"/>
    <xf numFmtId="0" fontId="0" fillId="6" borderId="0" xfId="0" applyFill="1" applyAlignment="1">
      <alignment horizontal="right"/>
    </xf>
    <xf numFmtId="0" fontId="0" fillId="6" borderId="14" xfId="0" applyFill="1" applyBorder="1"/>
    <xf numFmtId="0" fontId="0" fillId="6" borderId="0" xfId="0" applyFill="1" applyBorder="1"/>
    <xf numFmtId="0" fontId="0" fillId="6" borderId="15" xfId="0" applyFill="1" applyBorder="1"/>
    <xf numFmtId="0" fontId="0" fillId="5" borderId="0" xfId="0" applyFill="1" applyAlignment="1">
      <alignment horizontal="right"/>
    </xf>
    <xf numFmtId="8" fontId="0" fillId="5" borderId="0" xfId="0" applyNumberFormat="1" applyFill="1"/>
    <xf numFmtId="166" fontId="0" fillId="6" borderId="0" xfId="0" applyNumberFormat="1" applyFill="1"/>
    <xf numFmtId="0" fontId="0" fillId="6" borderId="16" xfId="0" applyFill="1" applyBorder="1"/>
    <xf numFmtId="2" fontId="0" fillId="6" borderId="17" xfId="0" applyNumberFormat="1" applyFill="1" applyBorder="1"/>
    <xf numFmtId="2" fontId="0" fillId="6" borderId="18" xfId="0" applyNumberFormat="1" applyFill="1" applyBorder="1"/>
    <xf numFmtId="0" fontId="0" fillId="6" borderId="0" xfId="0" applyFont="1" applyFill="1" applyBorder="1" applyAlignment="1">
      <alignment horizontal="right"/>
    </xf>
    <xf numFmtId="9" fontId="0" fillId="6" borderId="0" xfId="1" applyFont="1" applyFill="1"/>
    <xf numFmtId="2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5" fontId="1" fillId="6" borderId="0" xfId="0" applyNumberFormat="1" applyFont="1" applyFill="1"/>
    <xf numFmtId="0" fontId="1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1" fillId="4" borderId="0" xfId="0" applyFont="1" applyFill="1"/>
    <xf numFmtId="165" fontId="1" fillId="4" borderId="0" xfId="0" applyNumberFormat="1" applyFont="1" applyFill="1"/>
    <xf numFmtId="165" fontId="0" fillId="4" borderId="0" xfId="0" applyNumberFormat="1" applyFill="1"/>
    <xf numFmtId="0" fontId="0" fillId="4" borderId="3" xfId="0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0" fillId="4" borderId="4" xfId="0" applyFill="1" applyBorder="1"/>
    <xf numFmtId="0" fontId="1" fillId="4" borderId="3" xfId="0" applyFont="1" applyFill="1" applyBorder="1"/>
    <xf numFmtId="0" fontId="0" fillId="4" borderId="5" xfId="0" applyFill="1" applyBorder="1" applyAlignment="1">
      <alignment horizontal="center"/>
    </xf>
    <xf numFmtId="0" fontId="0" fillId="4" borderId="0" xfId="0" applyFill="1" applyBorder="1"/>
    <xf numFmtId="0" fontId="0" fillId="4" borderId="6" xfId="0" applyFill="1" applyBorder="1"/>
    <xf numFmtId="0" fontId="0" fillId="4" borderId="5" xfId="0" applyFill="1" applyBorder="1"/>
    <xf numFmtId="2" fontId="0" fillId="4" borderId="0" xfId="0" applyNumberFormat="1" applyFill="1" applyBorder="1"/>
    <xf numFmtId="0" fontId="0" fillId="4" borderId="0" xfId="0" applyFill="1" applyBorder="1" applyAlignment="1">
      <alignment horizontal="right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/>
    <xf numFmtId="0" fontId="0" fillId="4" borderId="8" xfId="0" applyFill="1" applyBorder="1"/>
    <xf numFmtId="0" fontId="1" fillId="4" borderId="3" xfId="0" applyFont="1" applyFill="1" applyBorder="1" applyAlignment="1">
      <alignment horizontal="center"/>
    </xf>
    <xf numFmtId="0" fontId="0" fillId="4" borderId="2" xfId="0" applyFill="1" applyBorder="1"/>
    <xf numFmtId="0" fontId="0" fillId="4" borderId="7" xfId="0" applyFill="1" applyBorder="1"/>
    <xf numFmtId="11" fontId="0" fillId="0" borderId="5" xfId="0" applyNumberFormat="1" applyBorder="1"/>
    <xf numFmtId="11" fontId="0" fillId="0" borderId="0" xfId="0" applyNumberFormat="1" applyBorder="1"/>
    <xf numFmtId="165" fontId="1" fillId="0" borderId="7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0" fontId="0" fillId="0" borderId="6" xfId="0" applyFill="1" applyBorder="1"/>
    <xf numFmtId="164" fontId="0" fillId="0" borderId="0" xfId="0" applyNumberFormat="1" applyFill="1" applyBorder="1"/>
    <xf numFmtId="11" fontId="0" fillId="0" borderId="0" xfId="0" applyNumberFormat="1" applyFill="1" applyBorder="1"/>
    <xf numFmtId="0" fontId="0" fillId="0" borderId="0" xfId="0" applyBorder="1" applyAlignment="1">
      <alignment horizontal="right"/>
    </xf>
    <xf numFmtId="166" fontId="0" fillId="0" borderId="0" xfId="0" applyNumberFormat="1" applyBorder="1" applyAlignment="1">
      <alignment horizontal="right"/>
    </xf>
    <xf numFmtId="9" fontId="0" fillId="0" borderId="0" xfId="1" applyFont="1" applyBorder="1"/>
    <xf numFmtId="0" fontId="1" fillId="0" borderId="0" xfId="0" applyFont="1" applyBorder="1"/>
    <xf numFmtId="165" fontId="1" fillId="0" borderId="0" xfId="0" applyNumberFormat="1" applyFont="1" applyFill="1" applyBorder="1"/>
    <xf numFmtId="0" fontId="0" fillId="0" borderId="15" xfId="0" applyFill="1" applyBorder="1"/>
    <xf numFmtId="165" fontId="1" fillId="0" borderId="0" xfId="0" applyNumberFormat="1" applyFont="1" applyBorder="1"/>
    <xf numFmtId="166" fontId="0" fillId="0" borderId="12" xfId="0" applyNumberFormat="1" applyBorder="1"/>
    <xf numFmtId="0" fontId="0" fillId="0" borderId="12" xfId="0" applyBorder="1"/>
    <xf numFmtId="0" fontId="0" fillId="0" borderId="13" xfId="0" applyBorder="1"/>
    <xf numFmtId="2" fontId="0" fillId="0" borderId="11" xfId="0" applyNumberFormat="1" applyBorder="1"/>
    <xf numFmtId="2" fontId="0" fillId="0" borderId="13" xfId="0" applyNumberForma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/>
    <xf numFmtId="0" fontId="0" fillId="0" borderId="3" xfId="0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8" xfId="0" applyNumberFormat="1" applyBorder="1"/>
    <xf numFmtId="165" fontId="0" fillId="0" borderId="3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165" fontId="2" fillId="0" borderId="5" xfId="0" applyNumberFormat="1" applyFont="1" applyFill="1" applyBorder="1"/>
    <xf numFmtId="165" fontId="2" fillId="0" borderId="6" xfId="0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6" xfId="0" applyBorder="1"/>
    <xf numFmtId="164" fontId="0" fillId="0" borderId="26" xfId="0" applyNumberFormat="1" applyBorder="1"/>
    <xf numFmtId="0" fontId="0" fillId="0" borderId="27" xfId="0" applyBorder="1"/>
    <xf numFmtId="11" fontId="0" fillId="0" borderId="26" xfId="0" applyNumberFormat="1" applyBorder="1"/>
    <xf numFmtId="164" fontId="0" fillId="0" borderId="27" xfId="0" applyNumberFormat="1" applyBorder="1"/>
    <xf numFmtId="0" fontId="0" fillId="0" borderId="1" xfId="0" applyBorder="1"/>
    <xf numFmtId="0" fontId="0" fillId="0" borderId="5" xfId="0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165" fontId="0" fillId="0" borderId="0" xfId="0" applyNumberFormat="1" applyFill="1" applyBorder="1"/>
    <xf numFmtId="165" fontId="0" fillId="0" borderId="15" xfId="0" applyNumberFormat="1" applyFill="1" applyBorder="1"/>
    <xf numFmtId="165" fontId="0" fillId="0" borderId="16" xfId="0" applyNumberFormat="1" applyFill="1" applyBorder="1"/>
    <xf numFmtId="165" fontId="0" fillId="0" borderId="17" xfId="0" applyNumberFormat="1" applyFill="1" applyBorder="1"/>
    <xf numFmtId="165" fontId="0" fillId="0" borderId="18" xfId="0" applyNumberFormat="1" applyFill="1" applyBorder="1"/>
    <xf numFmtId="0" fontId="0" fillId="0" borderId="21" xfId="0" applyFill="1" applyBorder="1"/>
    <xf numFmtId="166" fontId="0" fillId="0" borderId="21" xfId="0" applyNumberFormat="1" applyFill="1" applyBorder="1"/>
    <xf numFmtId="0" fontId="0" fillId="0" borderId="0" xfId="0"/>
    <xf numFmtId="166" fontId="0" fillId="0" borderId="14" xfId="0" applyNumberFormat="1" applyBorder="1"/>
    <xf numFmtId="166" fontId="0" fillId="0" borderId="0" xfId="0" applyNumberFormat="1" applyBorder="1"/>
    <xf numFmtId="166" fontId="0" fillId="0" borderId="15" xfId="0" applyNumberFormat="1" applyBorder="1"/>
    <xf numFmtId="166" fontId="0" fillId="0" borderId="15" xfId="0" applyNumberFormat="1" applyFill="1" applyBorder="1"/>
    <xf numFmtId="0" fontId="0" fillId="0" borderId="0" xfId="0" applyFill="1" applyBorder="1"/>
    <xf numFmtId="0" fontId="0" fillId="0" borderId="14" xfId="0" applyFill="1" applyBorder="1"/>
    <xf numFmtId="9" fontId="0" fillId="0" borderId="14" xfId="1" applyFont="1" applyFill="1" applyBorder="1"/>
    <xf numFmtId="9" fontId="0" fillId="0" borderId="0" xfId="1" applyFont="1" applyFill="1" applyBorder="1"/>
    <xf numFmtId="9" fontId="0" fillId="0" borderId="15" xfId="1" applyFont="1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166" fontId="0" fillId="0" borderId="15" xfId="0" applyNumberFormat="1" applyFill="1" applyBorder="1"/>
    <xf numFmtId="0" fontId="0" fillId="0" borderId="0" xfId="0" applyFill="1" applyBorder="1"/>
    <xf numFmtId="0" fontId="0" fillId="0" borderId="14" xfId="0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0" fontId="0" fillId="0" borderId="14" xfId="0" applyFill="1" applyBorder="1"/>
    <xf numFmtId="0" fontId="0" fillId="0" borderId="15" xfId="0" applyFill="1" applyBorder="1"/>
    <xf numFmtId="166" fontId="0" fillId="0" borderId="15" xfId="0" applyNumberFormat="1" applyFill="1" applyBorder="1"/>
    <xf numFmtId="0" fontId="0" fillId="0" borderId="0" xfId="0" applyFill="1" applyBorder="1"/>
    <xf numFmtId="0" fontId="0" fillId="0" borderId="14" xfId="0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14" xfId="0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0" fontId="0" fillId="0" borderId="15" xfId="0" applyFill="1" applyBorder="1"/>
    <xf numFmtId="0" fontId="0" fillId="0" borderId="0" xfId="0"/>
    <xf numFmtId="0" fontId="0" fillId="0" borderId="14" xfId="0" applyBorder="1"/>
    <xf numFmtId="166" fontId="0" fillId="0" borderId="14" xfId="0" applyNumberFormat="1" applyBorder="1"/>
    <xf numFmtId="166" fontId="0" fillId="0" borderId="0" xfId="0" applyNumberFormat="1" applyBorder="1"/>
    <xf numFmtId="166" fontId="0" fillId="0" borderId="15" xfId="0" applyNumberFormat="1" applyBorder="1"/>
    <xf numFmtId="0" fontId="0" fillId="0" borderId="14" xfId="0" applyFill="1" applyBorder="1"/>
    <xf numFmtId="9" fontId="0" fillId="0" borderId="14" xfId="1" applyFont="1" applyFill="1" applyBorder="1"/>
    <xf numFmtId="9" fontId="0" fillId="0" borderId="0" xfId="1" applyFont="1" applyFill="1" applyBorder="1"/>
    <xf numFmtId="9" fontId="0" fillId="0" borderId="15" xfId="1" applyFont="1" applyFill="1" applyBorder="1"/>
    <xf numFmtId="0" fontId="0" fillId="0" borderId="15" xfId="0" applyFill="1" applyBorder="1"/>
    <xf numFmtId="166" fontId="0" fillId="0" borderId="0" xfId="0" applyNumberFormat="1" applyFill="1" applyBorder="1"/>
    <xf numFmtId="0" fontId="0" fillId="0" borderId="14" xfId="0" applyFill="1" applyBorder="1"/>
    <xf numFmtId="2" fontId="0" fillId="0" borderId="14" xfId="0" applyNumberFormat="1" applyFill="1" applyBorder="1"/>
    <xf numFmtId="2" fontId="0" fillId="0" borderId="0" xfId="0" applyNumberFormat="1" applyFill="1" applyBorder="1"/>
    <xf numFmtId="2" fontId="0" fillId="0" borderId="15" xfId="0" applyNumberFormat="1" applyFill="1" applyBorder="1"/>
    <xf numFmtId="2" fontId="0" fillId="0" borderId="0" xfId="0" applyNumberFormat="1" applyBorder="1"/>
    <xf numFmtId="166" fontId="0" fillId="0" borderId="14" xfId="0" applyNumberFormat="1" applyBorder="1"/>
    <xf numFmtId="166" fontId="0" fillId="0" borderId="0" xfId="0" applyNumberFormat="1" applyBorder="1"/>
    <xf numFmtId="166" fontId="0" fillId="0" borderId="15" xfId="0" applyNumberFormat="1" applyBorder="1"/>
    <xf numFmtId="2" fontId="0" fillId="0" borderId="15" xfId="0" applyNumberFormat="1" applyBorder="1"/>
    <xf numFmtId="166" fontId="0" fillId="0" borderId="14" xfId="0" applyNumberFormat="1" applyFill="1" applyBorder="1"/>
    <xf numFmtId="166" fontId="0" fillId="0" borderId="15" xfId="0" applyNumberFormat="1" applyFill="1" applyBorder="1"/>
    <xf numFmtId="9" fontId="0" fillId="0" borderId="14" xfId="1" applyFont="1" applyFill="1" applyBorder="1"/>
    <xf numFmtId="9" fontId="0" fillId="0" borderId="0" xfId="1" applyFont="1" applyFill="1" applyBorder="1"/>
    <xf numFmtId="9" fontId="0" fillId="0" borderId="15" xfId="1" applyFont="1" applyFill="1" applyBorder="1"/>
    <xf numFmtId="164" fontId="0" fillId="0" borderId="0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5"/>
  <sheetViews>
    <sheetView tabSelected="1" workbookViewId="0">
      <selection sqref="A1:M1"/>
    </sheetView>
  </sheetViews>
  <sheetFormatPr defaultRowHeight="15" x14ac:dyDescent="0.25"/>
  <cols>
    <col min="1" max="1" width="28.28515625" bestFit="1" customWidth="1"/>
    <col min="2" max="2" width="10.140625" bestFit="1" customWidth="1"/>
    <col min="3" max="3" width="17.42578125" bestFit="1" customWidth="1"/>
  </cols>
  <sheetData>
    <row r="1" spans="1:13" ht="15.75" thickBot="1" x14ac:dyDescent="0.3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s="1" customFormat="1" x14ac:dyDescent="0.25">
      <c r="A2" s="258" t="s">
        <v>0</v>
      </c>
      <c r="B2" s="259"/>
      <c r="C2" s="259"/>
      <c r="D2" s="259"/>
      <c r="E2" s="260"/>
      <c r="F2" s="258" t="s">
        <v>15</v>
      </c>
      <c r="G2" s="259"/>
      <c r="H2" s="259"/>
      <c r="I2" s="259"/>
      <c r="J2" s="259"/>
      <c r="K2" s="259"/>
      <c r="L2" s="259"/>
      <c r="M2" s="260"/>
    </row>
    <row r="3" spans="1:13" s="1" customFormat="1" ht="15.75" thickBot="1" x14ac:dyDescent="0.3">
      <c r="A3" s="9"/>
      <c r="B3" s="10" t="s">
        <v>1</v>
      </c>
      <c r="C3" s="10" t="s">
        <v>4</v>
      </c>
      <c r="D3" s="10" t="s">
        <v>8</v>
      </c>
      <c r="E3" s="11" t="s">
        <v>14</v>
      </c>
      <c r="F3" s="9" t="s">
        <v>16</v>
      </c>
      <c r="G3" s="10" t="s">
        <v>17</v>
      </c>
      <c r="H3" s="10" t="s">
        <v>18</v>
      </c>
      <c r="I3" s="10" t="s">
        <v>19</v>
      </c>
      <c r="J3" s="10" t="s">
        <v>20</v>
      </c>
      <c r="K3" s="10" t="s">
        <v>180</v>
      </c>
      <c r="L3" s="10" t="s">
        <v>22</v>
      </c>
      <c r="M3" s="11" t="s">
        <v>23</v>
      </c>
    </row>
    <row r="4" spans="1:13" x14ac:dyDescent="0.25">
      <c r="A4" s="2" t="s">
        <v>167</v>
      </c>
      <c r="B4" s="3" t="s">
        <v>2</v>
      </c>
      <c r="C4" s="3" t="s">
        <v>5</v>
      </c>
      <c r="D4" s="3">
        <v>2.5</v>
      </c>
      <c r="E4" s="4">
        <v>663145596216230.75</v>
      </c>
      <c r="F4" s="171">
        <f>'Expt. 1.1'!O23</f>
        <v>1.3547404063471422E-2</v>
      </c>
      <c r="G4" s="172"/>
      <c r="H4" s="172"/>
      <c r="I4" s="172">
        <f>'Expt. 1.1'!P23</f>
        <v>7.072629530357008E-2</v>
      </c>
      <c r="J4" s="172">
        <f>'Expt. 1.1'!Q23</f>
        <v>0.11669448244142216</v>
      </c>
      <c r="K4" s="172"/>
      <c r="L4" s="172"/>
      <c r="M4" s="173">
        <f>'Expt. 1.1'!R23</f>
        <v>6.3478253748999472E-2</v>
      </c>
    </row>
    <row r="5" spans="1:13" x14ac:dyDescent="0.25">
      <c r="A5" s="2" t="s">
        <v>168</v>
      </c>
      <c r="B5" s="3" t="s">
        <v>2</v>
      </c>
      <c r="C5" s="3" t="s">
        <v>5</v>
      </c>
      <c r="D5" s="3">
        <v>2.5</v>
      </c>
      <c r="E5" s="4">
        <v>663145596216230.75</v>
      </c>
      <c r="F5" s="17">
        <f>'Expt. 1.2'!$O$23</f>
        <v>2.5131399911806802E-2</v>
      </c>
      <c r="G5" s="18"/>
      <c r="H5" s="18"/>
      <c r="I5" s="18">
        <f>'Expt. 1.2'!$P$23</f>
        <v>9.303731535699028E-2</v>
      </c>
      <c r="J5" s="18">
        <f>'Expt. 1.2'!$Q$23</f>
        <v>0.16108844670833444</v>
      </c>
      <c r="K5" s="18"/>
      <c r="L5" s="18"/>
      <c r="M5" s="19">
        <f>'Expt. 1.2'!$R$23</f>
        <v>9.3739552600778514E-2</v>
      </c>
    </row>
    <row r="6" spans="1:13" x14ac:dyDescent="0.25">
      <c r="A6" s="2" t="s">
        <v>169</v>
      </c>
      <c r="B6" s="3" t="s">
        <v>2</v>
      </c>
      <c r="C6" s="3" t="s">
        <v>6</v>
      </c>
      <c r="D6" s="3">
        <v>2.5</v>
      </c>
      <c r="E6" s="4">
        <v>663145596216230.75</v>
      </c>
      <c r="F6" s="174">
        <f>'Expt. 2.1'!O28</f>
        <v>4.2356937778899378E-3</v>
      </c>
      <c r="G6" s="20"/>
      <c r="H6" s="18"/>
      <c r="I6" s="20">
        <f>'Expt. 2.1'!P28</f>
        <v>3.8427350869389316E-2</v>
      </c>
      <c r="J6" s="20">
        <f>'Expt. 2.1'!Q28</f>
        <v>7.9991750319014177E-2</v>
      </c>
      <c r="K6" s="20"/>
      <c r="L6" s="20"/>
      <c r="M6" s="175">
        <f>'Expt. 2.1'!R28</f>
        <v>2.949403933858824E-2</v>
      </c>
    </row>
    <row r="7" spans="1:13" x14ac:dyDescent="0.25">
      <c r="A7" s="2" t="s">
        <v>170</v>
      </c>
      <c r="B7" s="3" t="s">
        <v>2</v>
      </c>
      <c r="C7" s="3" t="s">
        <v>6</v>
      </c>
      <c r="D7" s="3">
        <v>2.5</v>
      </c>
      <c r="E7" s="4">
        <v>663145596216230.75</v>
      </c>
      <c r="F7" s="174">
        <f>'Expt. 2.2'!O28</f>
        <v>9.6906444119534731E-3</v>
      </c>
      <c r="G7" s="20"/>
      <c r="H7" s="18"/>
      <c r="I7" s="20">
        <f>'Expt. 2.2'!P28</f>
        <v>4.4327554285838115E-2</v>
      </c>
      <c r="J7" s="20">
        <f>'Expt. 2.2'!Q28</f>
        <v>8.5615522146926762E-2</v>
      </c>
      <c r="K7" s="20"/>
      <c r="L7" s="20"/>
      <c r="M7" s="175">
        <f>'Expt. 2.2'!R28</f>
        <v>3.5263240694405264E-2</v>
      </c>
    </row>
    <row r="8" spans="1:13" x14ac:dyDescent="0.25">
      <c r="A8" s="2" t="s">
        <v>171</v>
      </c>
      <c r="B8" s="3" t="s">
        <v>3</v>
      </c>
      <c r="C8" s="3" t="s">
        <v>7</v>
      </c>
      <c r="D8" s="3">
        <v>2.5</v>
      </c>
      <c r="E8" s="4">
        <v>663145596216230.75</v>
      </c>
      <c r="F8" s="17">
        <f>'Expt. 3.1'!X23</f>
        <v>3.9232161658625886E-3</v>
      </c>
      <c r="G8" s="18">
        <f>'Expt. 3.1'!Y23</f>
        <v>9.1509945448635544E-3</v>
      </c>
      <c r="H8" s="18"/>
      <c r="I8" s="18">
        <f>'Expt. 3.1'!Z23</f>
        <v>1.9182854589234549E-2</v>
      </c>
      <c r="J8" s="18"/>
      <c r="K8" s="18">
        <f>'Expt. 3.1'!AA23</f>
        <v>5.5343128668314784E-2</v>
      </c>
      <c r="L8" s="18">
        <f>'Expt. 3.1'!AB23</f>
        <v>0.18955902536997332</v>
      </c>
      <c r="M8" s="19">
        <f>'Expt. 3.1'!AC23</f>
        <v>1.3435109817125158E-2</v>
      </c>
    </row>
    <row r="9" spans="1:13" x14ac:dyDescent="0.25">
      <c r="A9" s="2" t="s">
        <v>172</v>
      </c>
      <c r="B9" s="3" t="s">
        <v>3</v>
      </c>
      <c r="C9" s="3" t="s">
        <v>7</v>
      </c>
      <c r="D9" s="3">
        <v>2.5</v>
      </c>
      <c r="E9" s="4">
        <v>663145596216230.75</v>
      </c>
      <c r="F9" s="17">
        <f>'Expt. 3.2'!X23</f>
        <v>-4.6827157413779495E-4</v>
      </c>
      <c r="G9" s="18">
        <f>'Expt. 3.2'!Y23</f>
        <v>5.9307976170650907E-3</v>
      </c>
      <c r="H9" s="18"/>
      <c r="I9" s="18">
        <f>'Expt. 3.2'!Z23</f>
        <v>1.4393657482101344E-2</v>
      </c>
      <c r="J9" s="18"/>
      <c r="K9" s="18">
        <f>'Expt. 3.2'!AA23</f>
        <v>5.176655991277012E-2</v>
      </c>
      <c r="L9" s="18">
        <f>'Expt. 3.2'!AB23</f>
        <v>0.20862892901310512</v>
      </c>
      <c r="M9" s="19">
        <f>'Expt. 3.2'!AC23</f>
        <v>9.5593532675878057E-3</v>
      </c>
    </row>
    <row r="10" spans="1:13" x14ac:dyDescent="0.25">
      <c r="A10" s="2" t="s">
        <v>173</v>
      </c>
      <c r="B10" s="3" t="s">
        <v>5</v>
      </c>
      <c r="C10" s="3" t="s">
        <v>2</v>
      </c>
      <c r="D10" s="3">
        <v>2.5</v>
      </c>
      <c r="E10" s="4">
        <v>14250000</v>
      </c>
      <c r="F10" s="17">
        <f>'Expt. 4.1'!L19</f>
        <v>6.2375037945825378E-2</v>
      </c>
      <c r="G10" s="18"/>
      <c r="H10" s="18"/>
      <c r="I10" s="18">
        <f>'Expt. 4.1'!M19</f>
        <v>9.7777457333123888E-2</v>
      </c>
      <c r="J10" s="18">
        <f>'Expt. 4.1'!N19</f>
        <v>0.13065300336815816</v>
      </c>
      <c r="K10" s="18"/>
      <c r="L10" s="18"/>
      <c r="M10" s="19">
        <f>'Expt. 4.1'!O19</f>
        <v>9.5304713642918565E-2</v>
      </c>
    </row>
    <row r="11" spans="1:13" x14ac:dyDescent="0.25">
      <c r="A11" s="2" t="s">
        <v>174</v>
      </c>
      <c r="B11" s="3" t="s">
        <v>5</v>
      </c>
      <c r="C11" s="3" t="s">
        <v>2</v>
      </c>
      <c r="D11" s="3">
        <v>2.5</v>
      </c>
      <c r="E11" s="4">
        <v>14250000</v>
      </c>
      <c r="F11" s="17">
        <f>'Expt. 4.2'!L20</f>
        <v>1.2170816477567407E-2</v>
      </c>
      <c r="G11" s="18"/>
      <c r="H11" s="18"/>
      <c r="I11" s="18">
        <f>'Expt. 4.2'!M20</f>
        <v>7.7662515504786367E-2</v>
      </c>
      <c r="J11" s="18">
        <f>'Expt. 4.2'!N20</f>
        <v>0.11402743993403447</v>
      </c>
      <c r="K11" s="18"/>
      <c r="L11" s="18"/>
      <c r="M11" s="19">
        <f>'Expt. 4.1'!O19</f>
        <v>9.5304713642918565E-2</v>
      </c>
    </row>
    <row r="12" spans="1:13" x14ac:dyDescent="0.25">
      <c r="A12" s="2" t="s">
        <v>175</v>
      </c>
      <c r="B12" s="3" t="s">
        <v>5</v>
      </c>
      <c r="C12" s="3" t="s">
        <v>9</v>
      </c>
      <c r="D12" s="30">
        <v>3</v>
      </c>
      <c r="E12" s="4">
        <v>14250000</v>
      </c>
      <c r="F12" s="17">
        <v>0</v>
      </c>
      <c r="G12" s="18">
        <f>'Expt. 5.1'!U21</f>
        <v>7.3503993107560187E-2</v>
      </c>
      <c r="H12" s="18">
        <f>'Expt. 5.1'!V21</f>
        <v>0.16329801958752857</v>
      </c>
      <c r="I12" s="18">
        <f>'Expt. 5.1'!W21</f>
        <v>0.11933154000336242</v>
      </c>
      <c r="J12" s="18">
        <f>'Expt. 5.1'!X21</f>
        <v>0.21441205925858023</v>
      </c>
      <c r="K12" s="18">
        <f>'Expt. 5.1'!Y21</f>
        <v>0.14301960390993079</v>
      </c>
      <c r="L12" s="18">
        <f>'Expt. 5.1'!Z21</f>
        <v>0.23549563525519807</v>
      </c>
      <c r="M12" s="19">
        <f>'Expt. 5.1'!AA21</f>
        <v>0.10662065435179749</v>
      </c>
    </row>
    <row r="13" spans="1:13" x14ac:dyDescent="0.25">
      <c r="A13" s="2" t="s">
        <v>176</v>
      </c>
      <c r="B13" s="3" t="s">
        <v>5</v>
      </c>
      <c r="C13" s="3" t="s">
        <v>9</v>
      </c>
      <c r="D13" s="3">
        <v>1.6</v>
      </c>
      <c r="E13" s="4">
        <v>14250000</v>
      </c>
      <c r="F13" s="17">
        <v>0</v>
      </c>
      <c r="G13" s="18">
        <f>'Expt. 5.2'!U21</f>
        <v>0.15478526779440702</v>
      </c>
      <c r="H13" s="18">
        <f>'Expt. 5.2'!V21</f>
        <v>0.18672967623762962</v>
      </c>
      <c r="I13" s="18">
        <f>'Expt. 5.2'!W21</f>
        <v>0.19562987504116283</v>
      </c>
      <c r="J13" s="18">
        <f>'Expt. 5.2'!X21</f>
        <v>0.21458317248586298</v>
      </c>
      <c r="K13" s="18">
        <f>'Expt. 5.2'!Y21</f>
        <v>0.27461471083260436</v>
      </c>
      <c r="L13" s="18">
        <f>'Expt. 5.2'!Z21</f>
        <v>5.1651657120923629E-2</v>
      </c>
      <c r="M13" s="19">
        <f>'Expt. 5.2'!AA21</f>
        <v>0.22203920050313949</v>
      </c>
    </row>
    <row r="14" spans="1:13" x14ac:dyDescent="0.25">
      <c r="A14" s="2" t="s">
        <v>177</v>
      </c>
      <c r="B14" s="3" t="s">
        <v>5</v>
      </c>
      <c r="C14" s="3" t="s">
        <v>9</v>
      </c>
      <c r="D14" s="3">
        <v>6.8</v>
      </c>
      <c r="E14" s="4">
        <v>14250000</v>
      </c>
      <c r="F14" s="17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</row>
    <row r="15" spans="1:13" ht="15.75" thickBot="1" x14ac:dyDescent="0.3">
      <c r="A15" s="5" t="s">
        <v>178</v>
      </c>
      <c r="B15" s="6" t="s">
        <v>5</v>
      </c>
      <c r="C15" s="6" t="s">
        <v>9</v>
      </c>
      <c r="D15" s="6">
        <v>6.9</v>
      </c>
      <c r="E15" s="7">
        <v>14250000</v>
      </c>
      <c r="F15" s="21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3">
        <v>0</v>
      </c>
    </row>
    <row r="16" spans="1:13" ht="15.75" thickBot="1" x14ac:dyDescent="0.3"/>
    <row r="17" spans="1:13" ht="15.75" thickBot="1" x14ac:dyDescent="0.3">
      <c r="A17" s="256" t="s">
        <v>13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</row>
    <row r="18" spans="1:13" s="1" customFormat="1" x14ac:dyDescent="0.25">
      <c r="A18" s="258" t="s">
        <v>0</v>
      </c>
      <c r="B18" s="259"/>
      <c r="C18" s="259"/>
      <c r="D18" s="259"/>
      <c r="E18" s="260"/>
      <c r="F18" s="258" t="s">
        <v>15</v>
      </c>
      <c r="G18" s="259"/>
      <c r="H18" s="259"/>
      <c r="I18" s="259"/>
      <c r="J18" s="259"/>
      <c r="K18" s="259"/>
      <c r="L18" s="259"/>
      <c r="M18" s="260"/>
    </row>
    <row r="19" spans="1:13" s="1" customFormat="1" ht="15.75" thickBot="1" x14ac:dyDescent="0.3">
      <c r="A19" s="9"/>
      <c r="B19" s="10" t="s">
        <v>1</v>
      </c>
      <c r="C19" s="10" t="s">
        <v>4</v>
      </c>
      <c r="D19" s="10" t="s">
        <v>8</v>
      </c>
      <c r="E19" s="11" t="s">
        <v>14</v>
      </c>
      <c r="F19" s="9" t="s">
        <v>16</v>
      </c>
      <c r="G19" s="10" t="s">
        <v>17</v>
      </c>
      <c r="H19" s="10" t="s">
        <v>18</v>
      </c>
      <c r="I19" s="10" t="s">
        <v>19</v>
      </c>
      <c r="J19" s="10" t="s">
        <v>20</v>
      </c>
      <c r="K19" s="10" t="s">
        <v>180</v>
      </c>
      <c r="L19" s="10" t="s">
        <v>22</v>
      </c>
      <c r="M19" s="11" t="s">
        <v>24</v>
      </c>
    </row>
    <row r="20" spans="1:13" x14ac:dyDescent="0.25">
      <c r="A20" s="2" t="s">
        <v>27</v>
      </c>
      <c r="B20" s="3" t="s">
        <v>2</v>
      </c>
      <c r="C20" s="3" t="s">
        <v>5</v>
      </c>
      <c r="D20" s="3">
        <v>2.5</v>
      </c>
      <c r="E20" s="4">
        <v>663145596216230.75</v>
      </c>
      <c r="F20" s="17">
        <f>AVERAGE(F4:F5)</f>
        <v>1.9339401987639112E-2</v>
      </c>
      <c r="G20" s="18"/>
      <c r="H20" s="18"/>
      <c r="I20" s="18">
        <f>AVERAGE(I4:I5)</f>
        <v>8.188180533028018E-2</v>
      </c>
      <c r="J20" s="18">
        <f t="shared" ref="J20:M20" si="0">AVERAGE(J4:J5)</f>
        <v>0.1388914645748783</v>
      </c>
      <c r="K20" s="18"/>
      <c r="L20" s="18"/>
      <c r="M20" s="19">
        <f t="shared" si="0"/>
        <v>7.8608903174889E-2</v>
      </c>
    </row>
    <row r="21" spans="1:13" x14ac:dyDescent="0.25">
      <c r="A21" s="2" t="s">
        <v>10</v>
      </c>
      <c r="B21" s="3" t="s">
        <v>2</v>
      </c>
      <c r="C21" s="3" t="s">
        <v>6</v>
      </c>
      <c r="D21" s="3">
        <v>2.5</v>
      </c>
      <c r="E21" s="4">
        <v>663145596216230.75</v>
      </c>
      <c r="F21" s="17">
        <f>AVERAGE(F6:F7)</f>
        <v>6.9631690949217059E-3</v>
      </c>
      <c r="G21" s="18"/>
      <c r="H21" s="18"/>
      <c r="I21" s="18">
        <f>AVERAGE(I6:I7)</f>
        <v>4.1377452577613716E-2</v>
      </c>
      <c r="J21" s="18">
        <f>AVERAGE(J6:J7)</f>
        <v>8.2803636232970462E-2</v>
      </c>
      <c r="K21" s="18"/>
      <c r="L21" s="18"/>
      <c r="M21" s="19">
        <f>AVERAGE(M6:M7)</f>
        <v>3.2378640016496749E-2</v>
      </c>
    </row>
    <row r="22" spans="1:13" x14ac:dyDescent="0.25">
      <c r="A22" s="2" t="s">
        <v>25</v>
      </c>
      <c r="B22" s="3" t="s">
        <v>3</v>
      </c>
      <c r="C22" s="3" t="s">
        <v>7</v>
      </c>
      <c r="D22" s="3">
        <v>2.5</v>
      </c>
      <c r="E22" s="4">
        <v>663145596216230.75</v>
      </c>
      <c r="F22" s="14">
        <f>AVERAGE(F8:F9)</f>
        <v>1.7274722958623969E-3</v>
      </c>
      <c r="G22" s="15">
        <f t="shared" ref="G22:M22" si="1">AVERAGE(G8:G9)</f>
        <v>7.5408960809643221E-3</v>
      </c>
      <c r="H22" s="15"/>
      <c r="I22" s="15">
        <f t="shared" si="1"/>
        <v>1.6788256035667946E-2</v>
      </c>
      <c r="J22" s="15"/>
      <c r="K22" s="255">
        <f t="shared" si="1"/>
        <v>5.3554844290542455E-2</v>
      </c>
      <c r="L22" s="15">
        <f t="shared" si="1"/>
        <v>0.19909397719153921</v>
      </c>
      <c r="M22" s="16">
        <f t="shared" si="1"/>
        <v>1.1497231542356483E-2</v>
      </c>
    </row>
    <row r="23" spans="1:13" x14ac:dyDescent="0.25">
      <c r="A23" s="2" t="s">
        <v>28</v>
      </c>
      <c r="B23" s="3" t="s">
        <v>5</v>
      </c>
      <c r="C23" s="3" t="s">
        <v>2</v>
      </c>
      <c r="D23" s="3">
        <v>2.5</v>
      </c>
      <c r="E23" s="4">
        <v>14250000</v>
      </c>
      <c r="F23" s="17">
        <f>AVERAGE(F10:F11)</f>
        <v>3.7272927211696394E-2</v>
      </c>
      <c r="G23" s="18"/>
      <c r="H23" s="18"/>
      <c r="I23" s="18">
        <f t="shared" ref="I23:M23" si="2">AVERAGE(I10:I11)</f>
        <v>8.771998641895512E-2</v>
      </c>
      <c r="J23" s="18">
        <f t="shared" si="2"/>
        <v>0.12234022165109631</v>
      </c>
      <c r="K23" s="18"/>
      <c r="L23" s="18"/>
      <c r="M23" s="19">
        <f t="shared" si="2"/>
        <v>9.5304713642918565E-2</v>
      </c>
    </row>
    <row r="24" spans="1:13" x14ac:dyDescent="0.25">
      <c r="A24" s="2" t="s">
        <v>11</v>
      </c>
      <c r="B24" s="3" t="s">
        <v>5</v>
      </c>
      <c r="C24" s="3" t="s">
        <v>9</v>
      </c>
      <c r="D24" s="3">
        <v>2.2999999999999998</v>
      </c>
      <c r="E24" s="4">
        <v>14250000</v>
      </c>
      <c r="F24" s="17">
        <f>AVERAGE(F12:F13)</f>
        <v>0</v>
      </c>
      <c r="G24" s="18">
        <f t="shared" ref="G24:L24" si="3">AVERAGE(G12:G13)</f>
        <v>0.11414463045098361</v>
      </c>
      <c r="H24" s="18">
        <f t="shared" si="3"/>
        <v>0.1750138479125791</v>
      </c>
      <c r="I24" s="18">
        <f t="shared" si="3"/>
        <v>0.15748070752226262</v>
      </c>
      <c r="J24" s="18">
        <f>AVERAGE(J12:J13)</f>
        <v>0.2144976158722216</v>
      </c>
      <c r="K24" s="18">
        <f>AVERAGE(K12:K13)</f>
        <v>0.20881715737126758</v>
      </c>
      <c r="L24" s="18">
        <f t="shared" si="3"/>
        <v>0.14357364618806084</v>
      </c>
      <c r="M24" s="19">
        <f>AVERAGE(M12:M13)</f>
        <v>0.16432992742746849</v>
      </c>
    </row>
    <row r="25" spans="1:13" ht="15.75" thickBot="1" x14ac:dyDescent="0.3">
      <c r="A25" s="5" t="s">
        <v>12</v>
      </c>
      <c r="B25" s="6" t="s">
        <v>5</v>
      </c>
      <c r="C25" s="6" t="s">
        <v>9</v>
      </c>
      <c r="D25" s="6">
        <v>6.9</v>
      </c>
      <c r="E25" s="7">
        <v>14250000</v>
      </c>
      <c r="F25" s="21">
        <f>IF(AVERAGE(F14:F15)&lt;0,0,AVERAGE(F14:F15))</f>
        <v>0</v>
      </c>
      <c r="G25" s="22">
        <f t="shared" ref="G25:M25" si="4">IF(AVERAGE(G14:G15)&lt;0,0,AVERAGE(G14:G15))</f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3">
        <f t="shared" si="4"/>
        <v>0</v>
      </c>
    </row>
    <row r="26" spans="1:13" ht="15.75" thickBot="1" x14ac:dyDescent="0.3"/>
    <row r="27" spans="1:13" ht="15.75" thickBot="1" x14ac:dyDescent="0.3">
      <c r="A27" s="256" t="s">
        <v>75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</row>
    <row r="28" spans="1:13" s="1" customFormat="1" x14ac:dyDescent="0.25">
      <c r="A28" s="258" t="s">
        <v>0</v>
      </c>
      <c r="B28" s="259"/>
      <c r="C28" s="259"/>
      <c r="D28" s="259"/>
      <c r="E28" s="260"/>
      <c r="F28" s="258" t="s">
        <v>15</v>
      </c>
      <c r="G28" s="259"/>
      <c r="H28" s="259"/>
      <c r="I28" s="259"/>
      <c r="J28" s="259"/>
      <c r="K28" s="259"/>
      <c r="L28" s="259"/>
      <c r="M28" s="260"/>
    </row>
    <row r="29" spans="1:13" s="1" customFormat="1" ht="15.75" thickBot="1" x14ac:dyDescent="0.3">
      <c r="A29" s="9"/>
      <c r="B29" s="10" t="s">
        <v>1</v>
      </c>
      <c r="C29" s="10" t="s">
        <v>4</v>
      </c>
      <c r="D29" s="10" t="s">
        <v>8</v>
      </c>
      <c r="E29" s="11" t="s">
        <v>14</v>
      </c>
      <c r="F29" s="9" t="s">
        <v>16</v>
      </c>
      <c r="G29" s="10" t="s">
        <v>17</v>
      </c>
      <c r="H29" s="10" t="s">
        <v>18</v>
      </c>
      <c r="I29" s="10" t="s">
        <v>19</v>
      </c>
      <c r="J29" s="10" t="s">
        <v>20</v>
      </c>
      <c r="K29" s="10" t="s">
        <v>180</v>
      </c>
      <c r="L29" s="10" t="s">
        <v>22</v>
      </c>
      <c r="M29" s="11" t="s">
        <v>24</v>
      </c>
    </row>
    <row r="30" spans="1:13" ht="18" x14ac:dyDescent="0.35">
      <c r="A30" s="2" t="s">
        <v>26</v>
      </c>
      <c r="B30" s="3" t="s">
        <v>2</v>
      </c>
      <c r="C30" s="3" t="s">
        <v>5</v>
      </c>
      <c r="D30" s="3">
        <v>2.5</v>
      </c>
      <c r="E30" s="4">
        <v>663145596216230.75</v>
      </c>
      <c r="F30" s="14">
        <f>ABS((F4-F5)/2)</f>
        <v>5.7919979241676904E-3</v>
      </c>
      <c r="G30" s="15"/>
      <c r="H30" s="15"/>
      <c r="I30" s="15">
        <f t="shared" ref="I30:M30" si="5">ABS((I4-I5)/2)</f>
        <v>1.11555100267101E-2</v>
      </c>
      <c r="J30" s="15">
        <f t="shared" si="5"/>
        <v>2.2196982133456139E-2</v>
      </c>
      <c r="K30" s="15"/>
      <c r="L30" s="15"/>
      <c r="M30" s="16">
        <f t="shared" si="5"/>
        <v>1.5130649425889521E-2</v>
      </c>
    </row>
    <row r="31" spans="1:13" x14ac:dyDescent="0.25">
      <c r="A31" s="2" t="s">
        <v>10</v>
      </c>
      <c r="B31" s="3" t="s">
        <v>2</v>
      </c>
      <c r="C31" s="3" t="s">
        <v>6</v>
      </c>
      <c r="D31" s="3">
        <v>2.5</v>
      </c>
      <c r="E31" s="4">
        <v>663145596216230.75</v>
      </c>
      <c r="F31" s="14">
        <f>ABS((F6-F7)/2)</f>
        <v>2.7274753170317676E-3</v>
      </c>
      <c r="G31" s="15"/>
      <c r="H31" s="15"/>
      <c r="I31" s="15">
        <f t="shared" ref="I31:M31" si="6">ABS((I6-I7)/2)</f>
        <v>2.9501017082243994E-3</v>
      </c>
      <c r="J31" s="15">
        <f t="shared" si="6"/>
        <v>2.8118859139562927E-3</v>
      </c>
      <c r="K31" s="15"/>
      <c r="L31" s="15"/>
      <c r="M31" s="16">
        <f t="shared" si="6"/>
        <v>2.8846006779085116E-3</v>
      </c>
    </row>
    <row r="32" spans="1:13" x14ac:dyDescent="0.25">
      <c r="A32" s="2" t="s">
        <v>25</v>
      </c>
      <c r="B32" s="3" t="s">
        <v>3</v>
      </c>
      <c r="C32" s="3" t="s">
        <v>7</v>
      </c>
      <c r="D32" s="3">
        <v>2.5</v>
      </c>
      <c r="E32" s="4">
        <v>663145596216230.75</v>
      </c>
      <c r="F32" s="14">
        <f>ABS((F8-F9)/2)</f>
        <v>2.1957438700001917E-3</v>
      </c>
      <c r="G32" s="15">
        <f t="shared" ref="G32:M32" si="7">ABS((G8-G9)/2)</f>
        <v>1.6100984638992319E-3</v>
      </c>
      <c r="H32" s="15"/>
      <c r="I32" s="15">
        <f t="shared" si="7"/>
        <v>2.3945985535666027E-3</v>
      </c>
      <c r="J32" s="15"/>
      <c r="K32" s="15">
        <f t="shared" si="7"/>
        <v>1.7882843777723319E-3</v>
      </c>
      <c r="L32" s="15">
        <f t="shared" si="7"/>
        <v>9.5349518215658985E-3</v>
      </c>
      <c r="M32" s="16">
        <f t="shared" si="7"/>
        <v>1.9378782747686762E-3</v>
      </c>
    </row>
    <row r="33" spans="1:13" x14ac:dyDescent="0.25">
      <c r="A33" s="2" t="s">
        <v>28</v>
      </c>
      <c r="B33" s="3" t="s">
        <v>5</v>
      </c>
      <c r="C33" s="3" t="s">
        <v>2</v>
      </c>
      <c r="D33" s="3">
        <v>2.5</v>
      </c>
      <c r="E33" s="4">
        <v>14250000</v>
      </c>
      <c r="F33" s="14">
        <f>ABS((F10-F11)/2)</f>
        <v>2.5102110734128984E-2</v>
      </c>
      <c r="G33" s="15"/>
      <c r="H33" s="15"/>
      <c r="I33" s="15">
        <f>ABS((I10-I11)/2)</f>
        <v>1.005747091416876E-2</v>
      </c>
      <c r="J33" s="15">
        <f t="shared" ref="J33:M33" si="8">ABS((J10-J11)/2)</f>
        <v>8.3127817170618457E-3</v>
      </c>
      <c r="K33" s="15"/>
      <c r="L33" s="15"/>
      <c r="M33" s="16">
        <f t="shared" si="8"/>
        <v>0</v>
      </c>
    </row>
    <row r="34" spans="1:13" x14ac:dyDescent="0.25">
      <c r="A34" s="2" t="s">
        <v>11</v>
      </c>
      <c r="B34" s="3" t="s">
        <v>5</v>
      </c>
      <c r="C34" s="3" t="s">
        <v>9</v>
      </c>
      <c r="D34" s="3">
        <v>2.2999999999999998</v>
      </c>
      <c r="E34" s="4">
        <v>14250000</v>
      </c>
      <c r="F34" s="17">
        <f>ABS((F12-F13)/2)</f>
        <v>0</v>
      </c>
      <c r="G34" s="18">
        <f t="shared" ref="G34:M34" si="9">ABS((G12-G13)/2)</f>
        <v>4.0640637343423415E-2</v>
      </c>
      <c r="H34" s="18">
        <f t="shared" si="9"/>
        <v>1.1715828325050526E-2</v>
      </c>
      <c r="I34" s="18">
        <f t="shared" si="9"/>
        <v>3.8149167518900205E-2</v>
      </c>
      <c r="J34" s="18">
        <f t="shared" si="9"/>
        <v>8.5556613641374346E-5</v>
      </c>
      <c r="K34" s="18">
        <f t="shared" si="9"/>
        <v>6.5797553461336783E-2</v>
      </c>
      <c r="L34" s="18">
        <f t="shared" si="9"/>
        <v>9.1921989067137222E-2</v>
      </c>
      <c r="M34" s="19">
        <f t="shared" si="9"/>
        <v>5.7709273075671003E-2</v>
      </c>
    </row>
    <row r="35" spans="1:13" ht="15.75" thickBot="1" x14ac:dyDescent="0.3">
      <c r="A35" s="5" t="s">
        <v>12</v>
      </c>
      <c r="B35" s="6" t="s">
        <v>5</v>
      </c>
      <c r="C35" s="6" t="s">
        <v>9</v>
      </c>
      <c r="D35" s="6">
        <v>6.9</v>
      </c>
      <c r="E35" s="7">
        <v>14250000</v>
      </c>
      <c r="F35" s="21">
        <f>ABS((F14-F15)/2)</f>
        <v>0</v>
      </c>
      <c r="G35" s="22">
        <f t="shared" ref="G35:M35" si="10">ABS((G14-G15)/2)</f>
        <v>0</v>
      </c>
      <c r="H35" s="22">
        <f t="shared" si="10"/>
        <v>0</v>
      </c>
      <c r="I35" s="22">
        <f t="shared" si="10"/>
        <v>0</v>
      </c>
      <c r="J35" s="22">
        <f t="shared" si="10"/>
        <v>0</v>
      </c>
      <c r="K35" s="22">
        <f t="shared" si="10"/>
        <v>0</v>
      </c>
      <c r="L35" s="22">
        <f t="shared" si="10"/>
        <v>0</v>
      </c>
      <c r="M35" s="23">
        <f t="shared" si="10"/>
        <v>0</v>
      </c>
    </row>
  </sheetData>
  <mergeCells count="9">
    <mergeCell ref="A27:M27"/>
    <mergeCell ref="A28:E28"/>
    <mergeCell ref="F28:M28"/>
    <mergeCell ref="A1:M1"/>
    <mergeCell ref="A2:E2"/>
    <mergeCell ref="F2:M2"/>
    <mergeCell ref="A17:M17"/>
    <mergeCell ref="A18:E18"/>
    <mergeCell ref="F18:M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3"/>
  <sheetViews>
    <sheetView workbookViewId="0">
      <selection sqref="A1:A2"/>
    </sheetView>
  </sheetViews>
  <sheetFormatPr defaultRowHeight="15" x14ac:dyDescent="0.25"/>
  <sheetData>
    <row r="1" spans="1:15" s="3" customFormat="1" x14ac:dyDescent="0.25">
      <c r="A1" s="269" t="s">
        <v>31</v>
      </c>
      <c r="B1" s="271" t="s">
        <v>32</v>
      </c>
      <c r="C1" s="273" t="s">
        <v>34</v>
      </c>
      <c r="D1" s="274"/>
      <c r="E1" s="274"/>
      <c r="F1" s="271"/>
      <c r="G1" s="273" t="s">
        <v>35</v>
      </c>
      <c r="H1" s="271"/>
      <c r="I1" s="273" t="s">
        <v>44</v>
      </c>
      <c r="J1" s="274"/>
      <c r="K1" s="271"/>
      <c r="L1" s="273" t="s">
        <v>73</v>
      </c>
      <c r="M1" s="274"/>
      <c r="N1" s="274"/>
      <c r="O1" s="271"/>
    </row>
    <row r="2" spans="1:15" s="3" customFormat="1" x14ac:dyDescent="0.25">
      <c r="A2" s="270"/>
      <c r="B2" s="272"/>
      <c r="C2" s="38" t="s">
        <v>39</v>
      </c>
      <c r="D2" s="39" t="s">
        <v>40</v>
      </c>
      <c r="E2" s="39" t="s">
        <v>41</v>
      </c>
      <c r="F2" s="40" t="s">
        <v>23</v>
      </c>
      <c r="G2" s="38" t="s">
        <v>42</v>
      </c>
      <c r="H2" s="40" t="s">
        <v>38</v>
      </c>
      <c r="I2" s="38" t="s">
        <v>39</v>
      </c>
      <c r="J2" s="39" t="s">
        <v>40</v>
      </c>
      <c r="K2" s="40" t="s">
        <v>41</v>
      </c>
      <c r="L2" s="38" t="s">
        <v>39</v>
      </c>
      <c r="M2" s="39" t="s">
        <v>40</v>
      </c>
      <c r="N2" s="39" t="s">
        <v>41</v>
      </c>
      <c r="O2" s="47" t="s">
        <v>23</v>
      </c>
    </row>
    <row r="3" spans="1:15" x14ac:dyDescent="0.25">
      <c r="A3" s="63">
        <v>0</v>
      </c>
      <c r="B3" s="31">
        <v>0</v>
      </c>
      <c r="C3" s="25">
        <v>12.55</v>
      </c>
      <c r="D3" s="3">
        <v>12.65</v>
      </c>
      <c r="E3" s="3">
        <v>12.45</v>
      </c>
      <c r="F3" s="31">
        <v>37.650000000000006</v>
      </c>
      <c r="G3" s="25">
        <v>200</v>
      </c>
      <c r="H3" s="26">
        <v>200</v>
      </c>
      <c r="I3" s="56">
        <f t="shared" ref="I3:I14" si="0">C3/$F3</f>
        <v>0.33333333333333331</v>
      </c>
      <c r="J3" s="57">
        <f t="shared" ref="J3:J14" si="1">D3/$F3</f>
        <v>0.33598937583001326</v>
      </c>
      <c r="K3" s="58">
        <f t="shared" ref="K3:K14" si="2">E3/$F3</f>
        <v>0.33067729083665331</v>
      </c>
      <c r="L3" s="29">
        <f t="shared" ref="L3:L11" si="3">LN((C3-C$14)/(C$3-C$14))</f>
        <v>0</v>
      </c>
      <c r="M3" s="3">
        <f t="shared" ref="M3:M11" si="4">LN((D3-D$14)/(D$3-D$14))</f>
        <v>0</v>
      </c>
      <c r="N3" s="3">
        <f t="shared" ref="N3:N11" si="5">LN((E3-E$14)/(E$3-E$14))</f>
        <v>0</v>
      </c>
      <c r="O3" s="26">
        <f t="shared" ref="O3:O11" si="6">LN((F3-F$14)/(F$3-F$14))</f>
        <v>0</v>
      </c>
    </row>
    <row r="4" spans="1:15" x14ac:dyDescent="0.25">
      <c r="A4" s="63">
        <v>1</v>
      </c>
      <c r="B4" s="31">
        <v>6.0333333334419876</v>
      </c>
      <c r="C4" s="25">
        <v>10.35</v>
      </c>
      <c r="D4" s="3">
        <v>9.9499999999999993</v>
      </c>
      <c r="E4" s="3">
        <v>9.4</v>
      </c>
      <c r="F4" s="31">
        <v>29.699999999999996</v>
      </c>
      <c r="G4" s="25">
        <v>197</v>
      </c>
      <c r="H4" s="26">
        <f>H3-2</f>
        <v>198</v>
      </c>
      <c r="I4" s="56">
        <f t="shared" si="0"/>
        <v>0.34848484848484851</v>
      </c>
      <c r="J4" s="57">
        <f t="shared" si="1"/>
        <v>0.33501683501683505</v>
      </c>
      <c r="K4" s="58">
        <f t="shared" si="2"/>
        <v>0.31649831649831656</v>
      </c>
      <c r="L4" s="29">
        <f t="shared" si="3"/>
        <v>-0.47171449364936519</v>
      </c>
      <c r="M4" s="3">
        <f t="shared" si="4"/>
        <v>-0.40546510810816461</v>
      </c>
      <c r="N4" s="3">
        <f t="shared" si="5"/>
        <v>-0.42858752552901852</v>
      </c>
      <c r="O4" s="26">
        <f t="shared" si="6"/>
        <v>-0.43112184170152879</v>
      </c>
    </row>
    <row r="5" spans="1:15" x14ac:dyDescent="0.25">
      <c r="A5" s="63">
        <v>2</v>
      </c>
      <c r="B5" s="31">
        <v>70.550000000162981</v>
      </c>
      <c r="C5" s="25">
        <v>10.45</v>
      </c>
      <c r="D5" s="3">
        <v>7.9</v>
      </c>
      <c r="E5" s="3">
        <v>5.75</v>
      </c>
      <c r="F5" s="31">
        <v>24.1</v>
      </c>
      <c r="G5" s="25">
        <v>195</v>
      </c>
      <c r="H5" s="26">
        <f t="shared" ref="H5:H14" si="7">H4-2</f>
        <v>196</v>
      </c>
      <c r="I5" s="56">
        <f t="shared" si="0"/>
        <v>0.43360995850622402</v>
      </c>
      <c r="J5" s="57">
        <f t="shared" si="1"/>
        <v>0.32780082987551867</v>
      </c>
      <c r="K5" s="58">
        <f t="shared" si="2"/>
        <v>0.23858921161825725</v>
      </c>
      <c r="L5" s="29">
        <f t="shared" si="3"/>
        <v>-0.44468582126144596</v>
      </c>
      <c r="M5" s="3">
        <f t="shared" si="4"/>
        <v>-0.88290371584141802</v>
      </c>
      <c r="N5" s="3">
        <f t="shared" si="5"/>
        <v>-1.4512139072192063</v>
      </c>
      <c r="O5" s="26">
        <f t="shared" si="6"/>
        <v>-0.90861104519992708</v>
      </c>
    </row>
    <row r="6" spans="1:15" x14ac:dyDescent="0.25">
      <c r="A6" s="63">
        <v>3</v>
      </c>
      <c r="B6" s="31">
        <v>78.550000000046566</v>
      </c>
      <c r="C6" s="25">
        <v>10.4</v>
      </c>
      <c r="D6" s="3">
        <v>7.45</v>
      </c>
      <c r="E6" s="3">
        <v>5.3</v>
      </c>
      <c r="F6" s="31">
        <v>23.150000000000002</v>
      </c>
      <c r="G6" s="25">
        <v>192</v>
      </c>
      <c r="H6" s="26">
        <f t="shared" si="7"/>
        <v>194</v>
      </c>
      <c r="I6" s="56">
        <f t="shared" si="0"/>
        <v>0.44924406047516197</v>
      </c>
      <c r="J6" s="57">
        <f t="shared" si="1"/>
        <v>0.32181425485961118</v>
      </c>
      <c r="K6" s="58">
        <f t="shared" si="2"/>
        <v>0.22894168466522674</v>
      </c>
      <c r="L6" s="29">
        <f t="shared" si="3"/>
        <v>-0.45810884159358639</v>
      </c>
      <c r="M6" s="3">
        <f t="shared" si="4"/>
        <v>-1.0271533246859648</v>
      </c>
      <c r="N6" s="3">
        <f t="shared" si="5"/>
        <v>-1.6990500711237877</v>
      </c>
      <c r="O6" s="26">
        <f t="shared" si="6"/>
        <v>-1.0182307702171496</v>
      </c>
    </row>
    <row r="7" spans="1:15" x14ac:dyDescent="0.25">
      <c r="A7" s="63">
        <v>4</v>
      </c>
      <c r="B7" s="31">
        <v>94.966666666790843</v>
      </c>
      <c r="C7" s="25">
        <v>10.25</v>
      </c>
      <c r="D7" s="3">
        <v>7.1</v>
      </c>
      <c r="E7" s="3">
        <v>5.05</v>
      </c>
      <c r="F7" s="31">
        <v>22.400000000000002</v>
      </c>
      <c r="G7" s="25">
        <v>190</v>
      </c>
      <c r="H7" s="26">
        <f t="shared" si="7"/>
        <v>192</v>
      </c>
      <c r="I7" s="56">
        <f t="shared" si="0"/>
        <v>0.4575892857142857</v>
      </c>
      <c r="J7" s="57">
        <f t="shared" si="1"/>
        <v>0.31696428571428564</v>
      </c>
      <c r="K7" s="58">
        <f t="shared" si="2"/>
        <v>0.22544642857142855</v>
      </c>
      <c r="L7" s="29">
        <f t="shared" si="3"/>
        <v>-0.49949405775644079</v>
      </c>
      <c r="M7" s="3">
        <f t="shared" si="4"/>
        <v>-1.1557707025080586</v>
      </c>
      <c r="N7" s="3">
        <f t="shared" si="5"/>
        <v>-1.8689491079191851</v>
      </c>
      <c r="O7" s="26">
        <f t="shared" si="6"/>
        <v>-1.1141508920958887</v>
      </c>
    </row>
    <row r="8" spans="1:15" x14ac:dyDescent="0.25">
      <c r="A8" s="63">
        <v>5</v>
      </c>
      <c r="B8" s="31">
        <v>102.81666666670935</v>
      </c>
      <c r="C8" s="25">
        <v>10.35</v>
      </c>
      <c r="D8" s="3">
        <v>7.2</v>
      </c>
      <c r="E8" s="3">
        <v>5.15</v>
      </c>
      <c r="F8" s="31">
        <v>22.700000000000003</v>
      </c>
      <c r="G8" s="25">
        <v>187</v>
      </c>
      <c r="H8" s="26">
        <f t="shared" si="7"/>
        <v>190</v>
      </c>
      <c r="I8" s="56">
        <f t="shared" si="0"/>
        <v>0.45594713656387659</v>
      </c>
      <c r="J8" s="57">
        <f t="shared" si="1"/>
        <v>0.31718061674008807</v>
      </c>
      <c r="K8" s="58">
        <f t="shared" si="2"/>
        <v>0.22687224669603523</v>
      </c>
      <c r="L8" s="29">
        <f t="shared" si="3"/>
        <v>-0.47171449364936519</v>
      </c>
      <c r="M8" s="3">
        <f t="shared" si="4"/>
        <v>-1.1173044216802621</v>
      </c>
      <c r="N8" s="3">
        <f t="shared" si="5"/>
        <v>-1.7974901439370399</v>
      </c>
      <c r="O8" s="26">
        <f t="shared" si="6"/>
        <v>-1.0746720811221013</v>
      </c>
    </row>
    <row r="9" spans="1:15" x14ac:dyDescent="0.25">
      <c r="A9" s="63">
        <v>6</v>
      </c>
      <c r="B9" s="31">
        <v>118.60000000015134</v>
      </c>
      <c r="C9" s="25">
        <v>10.3</v>
      </c>
      <c r="D9" s="3">
        <v>6.7</v>
      </c>
      <c r="E9" s="3">
        <v>4.8499999999999996</v>
      </c>
      <c r="F9" s="31">
        <v>21.85</v>
      </c>
      <c r="G9" s="25">
        <v>185</v>
      </c>
      <c r="H9" s="26">
        <f t="shared" si="7"/>
        <v>188</v>
      </c>
      <c r="I9" s="56">
        <f t="shared" si="0"/>
        <v>0.47139588100686497</v>
      </c>
      <c r="J9" s="57">
        <f t="shared" si="1"/>
        <v>0.30663615560640733</v>
      </c>
      <c r="K9" s="58">
        <f t="shared" si="2"/>
        <v>0.22196796338672767</v>
      </c>
      <c r="L9" s="29">
        <f t="shared" si="3"/>
        <v>-0.48550781578170077</v>
      </c>
      <c r="M9" s="3">
        <f t="shared" si="4"/>
        <v>-1.3263962195388217</v>
      </c>
      <c r="N9" s="3">
        <f t="shared" si="5"/>
        <v>-2.0292917579943648</v>
      </c>
      <c r="O9" s="26">
        <f t="shared" si="6"/>
        <v>-1.1908435128841433</v>
      </c>
    </row>
    <row r="10" spans="1:15" x14ac:dyDescent="0.25">
      <c r="A10" s="63">
        <v>8</v>
      </c>
      <c r="B10" s="31">
        <v>142.81666666682577</v>
      </c>
      <c r="C10" s="25">
        <v>10.4</v>
      </c>
      <c r="D10" s="3">
        <v>6.4</v>
      </c>
      <c r="E10" s="3">
        <v>4.8</v>
      </c>
      <c r="F10" s="31">
        <v>21.6</v>
      </c>
      <c r="G10" s="25">
        <v>180</v>
      </c>
      <c r="H10" s="26">
        <f>H9-4</f>
        <v>184</v>
      </c>
      <c r="I10" s="56">
        <f t="shared" si="0"/>
        <v>0.48148148148148145</v>
      </c>
      <c r="J10" s="57">
        <f t="shared" si="1"/>
        <v>0.29629629629629628</v>
      </c>
      <c r="K10" s="58">
        <f t="shared" si="2"/>
        <v>0.22222222222222221</v>
      </c>
      <c r="L10" s="29">
        <f t="shared" si="3"/>
        <v>-0.45810884159358639</v>
      </c>
      <c r="M10" s="3">
        <f t="shared" si="4"/>
        <v>-1.4766784225881595</v>
      </c>
      <c r="N10" s="3">
        <f t="shared" si="5"/>
        <v>-2.0737435205651984</v>
      </c>
      <c r="O10" s="26">
        <f t="shared" si="6"/>
        <v>-1.2277480698195942</v>
      </c>
    </row>
    <row r="11" spans="1:15" x14ac:dyDescent="0.25">
      <c r="A11" s="63">
        <v>9</v>
      </c>
      <c r="B11" s="31">
        <v>150.45000000006985</v>
      </c>
      <c r="C11" s="25">
        <v>10.85</v>
      </c>
      <c r="D11" s="3">
        <v>6.8</v>
      </c>
      <c r="E11" s="3">
        <v>5</v>
      </c>
      <c r="F11" s="31">
        <v>22.65</v>
      </c>
      <c r="G11" s="25">
        <v>177</v>
      </c>
      <c r="H11" s="26">
        <f t="shared" si="7"/>
        <v>182</v>
      </c>
      <c r="I11" s="56">
        <f t="shared" si="0"/>
        <v>0.47902869757174393</v>
      </c>
      <c r="J11" s="57">
        <f t="shared" si="1"/>
        <v>0.30022075055187641</v>
      </c>
      <c r="K11" s="58">
        <f t="shared" si="2"/>
        <v>0.22075055187637971</v>
      </c>
      <c r="L11" s="29">
        <f t="shared" si="3"/>
        <v>-0.34333332700115848</v>
      </c>
      <c r="M11" s="3">
        <f t="shared" si="4"/>
        <v>-1.2809338454620645</v>
      </c>
      <c r="N11" s="3">
        <f t="shared" si="5"/>
        <v>-1.9066894359020321</v>
      </c>
      <c r="O11" s="26">
        <f t="shared" si="6"/>
        <v>-1.0811445956277193</v>
      </c>
    </row>
    <row r="12" spans="1:15" x14ac:dyDescent="0.25">
      <c r="A12" s="63">
        <v>10</v>
      </c>
      <c r="B12" s="31">
        <v>166.5</v>
      </c>
      <c r="C12" s="25">
        <v>6.5</v>
      </c>
      <c r="D12" s="3">
        <v>4.2</v>
      </c>
      <c r="E12" s="3">
        <v>3.2</v>
      </c>
      <c r="F12" s="31">
        <v>13.899999999999999</v>
      </c>
      <c r="G12" s="25">
        <v>175</v>
      </c>
      <c r="H12" s="26">
        <f t="shared" si="7"/>
        <v>180</v>
      </c>
      <c r="I12" s="56">
        <f t="shared" si="0"/>
        <v>0.46762589928057557</v>
      </c>
      <c r="J12" s="57">
        <f t="shared" si="1"/>
        <v>0.30215827338129503</v>
      </c>
      <c r="K12" s="58">
        <f t="shared" si="2"/>
        <v>0.23021582733812954</v>
      </c>
      <c r="L12" s="29"/>
      <c r="M12" s="3"/>
      <c r="N12" s="3"/>
      <c r="O12" s="26"/>
    </row>
    <row r="13" spans="1:15" x14ac:dyDescent="0.25">
      <c r="A13" s="63">
        <v>11</v>
      </c>
      <c r="B13" s="31">
        <v>174.05000000016298</v>
      </c>
      <c r="C13" s="25">
        <v>10.3</v>
      </c>
      <c r="D13" s="3">
        <v>6.15</v>
      </c>
      <c r="E13" s="3">
        <v>4.5999999999999996</v>
      </c>
      <c r="F13" s="31">
        <v>21.050000000000004</v>
      </c>
      <c r="G13" s="25">
        <v>172</v>
      </c>
      <c r="H13" s="26">
        <f t="shared" si="7"/>
        <v>178</v>
      </c>
      <c r="I13" s="56">
        <f t="shared" si="0"/>
        <v>0.48931116389548684</v>
      </c>
      <c r="J13" s="57">
        <f t="shared" si="1"/>
        <v>0.29216152019002373</v>
      </c>
      <c r="K13" s="58">
        <f t="shared" si="2"/>
        <v>0.21852731591448926</v>
      </c>
      <c r="L13" s="29">
        <f>LN((C13-C$14)/(C$3-C$14))</f>
        <v>-0.48550781578170077</v>
      </c>
      <c r="M13" s="3">
        <f>LN((D13-D$14)/(D$3-D$14))</f>
        <v>-1.6218604324326573</v>
      </c>
      <c r="N13" s="3">
        <f>LN((E13-E$14)/(E$3-E$14))</f>
        <v>-2.2744142160273499</v>
      </c>
      <c r="O13" s="26">
        <f>LN((F13-F$14)/(F$3-F$14))</f>
        <v>-1.3140761533080909</v>
      </c>
    </row>
    <row r="14" spans="1:15" x14ac:dyDescent="0.25">
      <c r="A14" s="64">
        <v>12</v>
      </c>
      <c r="B14" s="35">
        <v>239.93333333346527</v>
      </c>
      <c r="C14" s="38">
        <v>6.7</v>
      </c>
      <c r="D14" s="39">
        <v>4.55</v>
      </c>
      <c r="E14" s="39">
        <v>3.7</v>
      </c>
      <c r="F14" s="35">
        <v>14.95</v>
      </c>
      <c r="G14" s="38">
        <v>170</v>
      </c>
      <c r="H14" s="40">
        <f t="shared" si="7"/>
        <v>176</v>
      </c>
      <c r="I14" s="59">
        <f t="shared" si="0"/>
        <v>0.44816053511705689</v>
      </c>
      <c r="J14" s="60">
        <f t="shared" si="1"/>
        <v>0.30434782608695654</v>
      </c>
      <c r="K14" s="61">
        <f t="shared" si="2"/>
        <v>0.24749163879598665</v>
      </c>
      <c r="L14" s="33"/>
      <c r="M14" s="39"/>
      <c r="N14" s="39"/>
      <c r="O14" s="40"/>
    </row>
    <row r="15" spans="1:15" x14ac:dyDescent="0.25">
      <c r="L15" s="3"/>
      <c r="M15" s="3"/>
      <c r="N15" s="3"/>
      <c r="O15" s="3"/>
    </row>
    <row r="16" spans="1:15" x14ac:dyDescent="0.25">
      <c r="B16" s="36" t="s">
        <v>164</v>
      </c>
      <c r="C16" s="27">
        <f>(C3*($G$3/1000))/(($G$3+$H$3)/1000)</f>
        <v>6.2750000000000004</v>
      </c>
      <c r="D16" s="27">
        <f>(D3*($G$3/1000))/(($G$3+$H$3)/1000)</f>
        <v>6.3250000000000002</v>
      </c>
      <c r="E16" s="27">
        <f>(E3*($G$3/1000))/(($G$3+$H$3)/1000)</f>
        <v>6.2250000000000005</v>
      </c>
      <c r="F16" s="27">
        <f>(F3*($G$3/1000))/(($G$3+$H$3)/1000)</f>
        <v>18.825000000000003</v>
      </c>
      <c r="K16" t="s">
        <v>45</v>
      </c>
      <c r="L16" s="15">
        <f>-SLOPE(L3:L14,$B$3:$B$14)</f>
        <v>1.2881096630963055E-3</v>
      </c>
      <c r="M16" s="15">
        <f>-SLOPE(M3:M14,$B$3:$B$14)</f>
        <v>8.2194844418586321E-3</v>
      </c>
      <c r="N16" s="15">
        <f>-SLOPE(N3:N14,$B$3:$B$14)</f>
        <v>1.2068199985422865E-2</v>
      </c>
      <c r="O16" s="15">
        <f>-SLOPE(O3:O14,$B$3:$B$14)</f>
        <v>6.3992881727721841E-3</v>
      </c>
    </row>
    <row r="17" spans="2:15" x14ac:dyDescent="0.25">
      <c r="K17" t="s">
        <v>43</v>
      </c>
      <c r="L17" s="15">
        <f>(CORREL(L3:L14,$B$3:$B$14))^2</f>
        <v>0.24256755415236975</v>
      </c>
      <c r="M17" s="15">
        <f>(CORREL(M3:M14,$B$3:$B$14))^2</f>
        <v>0.92341152011888972</v>
      </c>
      <c r="N17" s="15">
        <f>(CORREL(N3:N14,$B$3:$B$14))^2</f>
        <v>0.87263709712689042</v>
      </c>
      <c r="O17" s="15">
        <f>(CORREL(O3:O14,$B$3:$B$14))^2</f>
        <v>0.81774139948203073</v>
      </c>
    </row>
    <row r="18" spans="2:15" x14ac:dyDescent="0.25">
      <c r="B18" s="82"/>
      <c r="C18" s="37"/>
      <c r="D18" s="37"/>
      <c r="E18" s="37"/>
      <c r="F18" s="37"/>
      <c r="G18" s="27"/>
      <c r="H18" s="27"/>
      <c r="K18" t="s">
        <v>46</v>
      </c>
      <c r="L18" s="142">
        <f>(L16*($G$3/1000000))/Constants!$K$8</f>
        <v>4.3814939319242665E-5</v>
      </c>
      <c r="M18" s="142">
        <f>(M16*($G$3/1000000))/Constants!$K$8</f>
        <v>2.7958505581723094E-4</v>
      </c>
      <c r="N18" s="142">
        <f>(N16*($G$3/1000000))/Constants!$K$8</f>
        <v>4.1049878376252409E-4</v>
      </c>
      <c r="O18" s="142">
        <f>(O16*($G$3/1000000))/Constants!$K$8</f>
        <v>2.1767123639332376E-4</v>
      </c>
    </row>
    <row r="19" spans="2:15" x14ac:dyDescent="0.25">
      <c r="B19" s="27"/>
      <c r="C19" s="27"/>
      <c r="D19" s="27"/>
      <c r="E19" s="27"/>
      <c r="F19" s="27"/>
      <c r="G19" s="27"/>
      <c r="H19" s="27"/>
      <c r="K19" t="s">
        <v>47</v>
      </c>
      <c r="L19" s="142">
        <f t="shared" ref="L19:O19" si="8">L18/3600</f>
        <v>1.2170816477567407E-8</v>
      </c>
      <c r="M19" s="142">
        <f t="shared" si="8"/>
        <v>7.7662515504786373E-8</v>
      </c>
      <c r="N19" s="142">
        <f t="shared" si="8"/>
        <v>1.1402743993403446E-7</v>
      </c>
      <c r="O19" s="142">
        <f t="shared" si="8"/>
        <v>6.0464232331478826E-8</v>
      </c>
    </row>
    <row r="20" spans="2:15" x14ac:dyDescent="0.25">
      <c r="B20" s="27"/>
      <c r="C20" s="27"/>
      <c r="D20" s="27"/>
      <c r="E20" s="27"/>
      <c r="F20" s="27"/>
      <c r="G20" s="27"/>
      <c r="H20" s="27"/>
      <c r="K20" s="1" t="s">
        <v>64</v>
      </c>
      <c r="L20" s="155">
        <f t="shared" ref="L20:O20" si="9">L19*10^6</f>
        <v>1.2170816477567407E-2</v>
      </c>
      <c r="M20" s="155">
        <f t="shared" si="9"/>
        <v>7.7662515504786367E-2</v>
      </c>
      <c r="N20" s="155">
        <f t="shared" si="9"/>
        <v>0.11402743993403447</v>
      </c>
      <c r="O20" s="155">
        <f t="shared" si="9"/>
        <v>6.0464232331478823E-2</v>
      </c>
    </row>
    <row r="22" spans="2:15" x14ac:dyDescent="0.25">
      <c r="C22" s="27"/>
      <c r="D22" s="27"/>
      <c r="E22" s="27"/>
      <c r="F22" s="27"/>
      <c r="G22" s="27"/>
      <c r="H22" s="27"/>
    </row>
    <row r="23" spans="2:15" x14ac:dyDescent="0.25">
      <c r="C23" s="27"/>
      <c r="D23" s="27"/>
      <c r="E23" s="27"/>
      <c r="F23" s="27"/>
      <c r="G23" s="27"/>
      <c r="H23" s="27"/>
    </row>
  </sheetData>
  <mergeCells count="6">
    <mergeCell ref="L1:O1"/>
    <mergeCell ref="A1:A2"/>
    <mergeCell ref="B1:B2"/>
    <mergeCell ref="C1:F1"/>
    <mergeCell ref="G1:H1"/>
    <mergeCell ref="I1:K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4"/>
  <sheetViews>
    <sheetView workbookViewId="0">
      <selection sqref="A1:A2"/>
    </sheetView>
  </sheetViews>
  <sheetFormatPr defaultRowHeight="15" x14ac:dyDescent="0.25"/>
  <sheetData>
    <row r="1" spans="1:27" s="3" customFormat="1" x14ac:dyDescent="0.25">
      <c r="A1" s="269" t="s">
        <v>31</v>
      </c>
      <c r="B1" s="271" t="s">
        <v>32</v>
      </c>
      <c r="C1" s="273" t="s">
        <v>34</v>
      </c>
      <c r="D1" s="274"/>
      <c r="E1" s="274"/>
      <c r="F1" s="274"/>
      <c r="G1" s="274"/>
      <c r="H1" s="274"/>
      <c r="I1" s="274"/>
      <c r="J1" s="271"/>
      <c r="K1" s="273" t="s">
        <v>35</v>
      </c>
      <c r="L1" s="271"/>
      <c r="M1" s="273" t="s">
        <v>44</v>
      </c>
      <c r="N1" s="274"/>
      <c r="O1" s="274"/>
      <c r="P1" s="274"/>
      <c r="Q1" s="274"/>
      <c r="R1" s="274"/>
      <c r="S1" s="271"/>
      <c r="T1" s="278" t="s">
        <v>72</v>
      </c>
      <c r="U1" s="279"/>
      <c r="V1" s="279"/>
      <c r="W1" s="279"/>
      <c r="X1" s="279"/>
      <c r="Y1" s="279"/>
      <c r="Z1" s="279"/>
      <c r="AA1" s="280"/>
    </row>
    <row r="2" spans="1:27" s="3" customFormat="1" x14ac:dyDescent="0.25">
      <c r="A2" s="270"/>
      <c r="B2" s="272"/>
      <c r="C2" s="38" t="s">
        <v>39</v>
      </c>
      <c r="D2" s="39" t="s">
        <v>66</v>
      </c>
      <c r="E2" s="39" t="s">
        <v>68</v>
      </c>
      <c r="F2" s="39" t="s">
        <v>69</v>
      </c>
      <c r="G2" s="39" t="s">
        <v>70</v>
      </c>
      <c r="H2" s="39" t="s">
        <v>71</v>
      </c>
      <c r="I2" s="39" t="s">
        <v>67</v>
      </c>
      <c r="J2" s="40" t="s">
        <v>23</v>
      </c>
      <c r="K2" s="38" t="s">
        <v>42</v>
      </c>
      <c r="L2" s="40" t="s">
        <v>38</v>
      </c>
      <c r="M2" s="45" t="s">
        <v>39</v>
      </c>
      <c r="N2" s="46" t="s">
        <v>66</v>
      </c>
      <c r="O2" s="46" t="s">
        <v>68</v>
      </c>
      <c r="P2" s="46" t="s">
        <v>69</v>
      </c>
      <c r="Q2" s="46" t="s">
        <v>70</v>
      </c>
      <c r="R2" s="46" t="s">
        <v>71</v>
      </c>
      <c r="S2" s="46" t="s">
        <v>67</v>
      </c>
      <c r="T2" s="45" t="s">
        <v>39</v>
      </c>
      <c r="U2" s="46" t="s">
        <v>66</v>
      </c>
      <c r="V2" s="46" t="s">
        <v>68</v>
      </c>
      <c r="W2" s="46" t="s">
        <v>69</v>
      </c>
      <c r="X2" s="46" t="s">
        <v>70</v>
      </c>
      <c r="Y2" s="46" t="s">
        <v>71</v>
      </c>
      <c r="Z2" s="46" t="s">
        <v>67</v>
      </c>
      <c r="AA2" s="47" t="s">
        <v>23</v>
      </c>
    </row>
    <row r="3" spans="1:27" x14ac:dyDescent="0.25">
      <c r="A3" s="63">
        <v>0</v>
      </c>
      <c r="B3" s="79">
        <v>0</v>
      </c>
      <c r="C3" s="25">
        <v>9.85</v>
      </c>
      <c r="D3" s="3">
        <v>3.4</v>
      </c>
      <c r="E3" s="3">
        <v>2.1</v>
      </c>
      <c r="F3" s="3">
        <v>14.5</v>
      </c>
      <c r="G3" s="3">
        <v>3.65</v>
      </c>
      <c r="H3" s="3">
        <v>0.35</v>
      </c>
      <c r="I3" s="3">
        <v>0.25</v>
      </c>
      <c r="J3" s="31">
        <v>34.1</v>
      </c>
      <c r="K3" s="25">
        <v>200</v>
      </c>
      <c r="L3" s="26">
        <v>200</v>
      </c>
      <c r="M3" s="56">
        <f t="shared" ref="M3:M15" si="0">C3/$J3</f>
        <v>0.28885630498533721</v>
      </c>
      <c r="N3" s="57">
        <f t="shared" ref="N3:N15" si="1">D3/$J3</f>
        <v>9.9706744868035185E-2</v>
      </c>
      <c r="O3" s="57">
        <f t="shared" ref="O3:O15" si="2">E3/$J3</f>
        <v>6.1583577712609971E-2</v>
      </c>
      <c r="P3" s="57">
        <f t="shared" ref="P3:P15" si="3">F3/$J3</f>
        <v>0.42521994134897356</v>
      </c>
      <c r="Q3" s="57">
        <f t="shared" ref="Q3:Q15" si="4">G3/$J3</f>
        <v>0.10703812316715541</v>
      </c>
      <c r="R3" s="57">
        <f t="shared" ref="R3:R15" si="5">H3/$J3</f>
        <v>1.0263929618768328E-2</v>
      </c>
      <c r="S3" s="58">
        <f t="shared" ref="S3:S15" si="6">I3/$J3</f>
        <v>7.3313782991202342E-3</v>
      </c>
      <c r="T3" s="48">
        <f t="shared" ref="T3:AA7" si="7">LN((C3-C$15)/(C$3/C$15))</f>
        <v>-0.4303925198353008</v>
      </c>
      <c r="U3" s="49">
        <f t="shared" si="7"/>
        <v>-0.41284521540578695</v>
      </c>
      <c r="V3" s="49">
        <f t="shared" si="7"/>
        <v>-0.64662716492505246</v>
      </c>
      <c r="W3" s="49">
        <f t="shared" si="7"/>
        <v>1.2866645201710494</v>
      </c>
      <c r="X3" s="49">
        <f t="shared" si="7"/>
        <v>-0.12379421734666422</v>
      </c>
      <c r="Y3" s="49">
        <f t="shared" si="7"/>
        <v>-2.456735772821304</v>
      </c>
      <c r="Z3" s="49">
        <f t="shared" si="7"/>
        <v>-2.8134107167600364</v>
      </c>
      <c r="AA3" s="50">
        <f t="shared" si="7"/>
        <v>2.0549505216715405</v>
      </c>
    </row>
    <row r="4" spans="1:27" x14ac:dyDescent="0.25">
      <c r="A4" s="63">
        <v>1</v>
      </c>
      <c r="B4" s="66">
        <v>2.1166666667559184</v>
      </c>
      <c r="C4" s="25">
        <v>9.1999999999999993</v>
      </c>
      <c r="D4" s="3">
        <v>3.1</v>
      </c>
      <c r="E4" s="3">
        <v>2</v>
      </c>
      <c r="F4" s="3">
        <v>13.45</v>
      </c>
      <c r="G4" s="3">
        <v>3.3</v>
      </c>
      <c r="H4" s="3">
        <v>0.3</v>
      </c>
      <c r="I4" s="3">
        <v>0.2</v>
      </c>
      <c r="J4" s="31">
        <v>31.55</v>
      </c>
      <c r="K4" s="25">
        <v>197</v>
      </c>
      <c r="L4" s="25">
        <v>197</v>
      </c>
      <c r="M4" s="56">
        <f t="shared" si="0"/>
        <v>0.29160063391442154</v>
      </c>
      <c r="N4" s="57">
        <f t="shared" si="1"/>
        <v>9.8256735340728998E-2</v>
      </c>
      <c r="O4" s="57">
        <f t="shared" si="2"/>
        <v>6.3391442155309036E-2</v>
      </c>
      <c r="P4" s="57">
        <f t="shared" si="3"/>
        <v>0.42630744849445323</v>
      </c>
      <c r="Q4" s="57">
        <f t="shared" si="4"/>
        <v>0.1045958795562599</v>
      </c>
      <c r="R4" s="57">
        <f t="shared" si="5"/>
        <v>9.5087163232963536E-3</v>
      </c>
      <c r="S4" s="58">
        <f t="shared" si="6"/>
        <v>6.3391442155309036E-3</v>
      </c>
      <c r="T4" s="48">
        <f t="shared" si="7"/>
        <v>-3.0694498494505797</v>
      </c>
      <c r="U4" s="49">
        <f t="shared" si="7"/>
        <v>-0.81831032351395105</v>
      </c>
      <c r="V4" s="49">
        <f t="shared" si="7"/>
        <v>-0.75198768058287879</v>
      </c>
      <c r="W4" s="49">
        <f t="shared" si="7"/>
        <v>1.1241455906732742</v>
      </c>
      <c r="X4" s="49">
        <f t="shared" si="7"/>
        <v>-0.30147539458411682</v>
      </c>
      <c r="Y4" s="49">
        <f t="shared" si="7"/>
        <v>-2.7444178452730852</v>
      </c>
      <c r="Z4" s="49">
        <f t="shared" si="7"/>
        <v>-3.2188758248682006</v>
      </c>
      <c r="AA4" s="50">
        <f t="shared" si="7"/>
        <v>1.8182862235614836</v>
      </c>
    </row>
    <row r="5" spans="1:27" x14ac:dyDescent="0.25">
      <c r="A5" s="63">
        <v>2</v>
      </c>
      <c r="B5" s="66">
        <v>17.750000000058208</v>
      </c>
      <c r="C5" s="25">
        <v>9.85</v>
      </c>
      <c r="D5" s="3">
        <v>3.3</v>
      </c>
      <c r="E5" s="3">
        <v>2</v>
      </c>
      <c r="F5" s="3">
        <v>13.4</v>
      </c>
      <c r="G5" s="3">
        <v>2.9</v>
      </c>
      <c r="H5" s="3">
        <v>0.3</v>
      </c>
      <c r="I5" s="3">
        <v>0.15</v>
      </c>
      <c r="J5" s="31">
        <v>31.899999999999995</v>
      </c>
      <c r="K5" s="25">
        <v>195</v>
      </c>
      <c r="L5" s="25">
        <v>195</v>
      </c>
      <c r="M5" s="56">
        <f t="shared" si="0"/>
        <v>0.3087774294670847</v>
      </c>
      <c r="N5" s="57">
        <f t="shared" si="1"/>
        <v>0.10344827586206898</v>
      </c>
      <c r="O5" s="57">
        <f t="shared" si="2"/>
        <v>6.269592476489029E-2</v>
      </c>
      <c r="P5" s="57">
        <f t="shared" si="3"/>
        <v>0.42006269592476497</v>
      </c>
      <c r="Q5" s="57">
        <f t="shared" si="4"/>
        <v>9.0909090909090925E-2</v>
      </c>
      <c r="R5" s="57">
        <f t="shared" si="5"/>
        <v>9.4043887147335428E-3</v>
      </c>
      <c r="S5" s="58">
        <f t="shared" si="6"/>
        <v>4.7021943573667714E-3</v>
      </c>
      <c r="T5" s="48">
        <f t="shared" si="7"/>
        <v>-0.4303925198353008</v>
      </c>
      <c r="U5" s="49">
        <f t="shared" si="7"/>
        <v>-0.5306282510621706</v>
      </c>
      <c r="V5" s="49">
        <f t="shared" si="7"/>
        <v>-0.75198768058287879</v>
      </c>
      <c r="W5" s="49">
        <f t="shared" si="7"/>
        <v>1.1157067220274099</v>
      </c>
      <c r="X5" s="49">
        <f t="shared" si="7"/>
        <v>-0.55278982286502287</v>
      </c>
      <c r="Y5" s="49">
        <f t="shared" si="7"/>
        <v>-2.7444178452730852</v>
      </c>
      <c r="Z5" s="49">
        <f t="shared" si="7"/>
        <v>-3.9120230054281464</v>
      </c>
      <c r="AA5" s="50">
        <f t="shared" si="7"/>
        <v>1.8542798262093885</v>
      </c>
    </row>
    <row r="6" spans="1:27" x14ac:dyDescent="0.25">
      <c r="A6" s="63">
        <v>3</v>
      </c>
      <c r="B6" s="66">
        <v>25.950000000069849</v>
      </c>
      <c r="C6" s="25">
        <v>9.6</v>
      </c>
      <c r="D6" s="3">
        <v>3.15</v>
      </c>
      <c r="E6" s="3">
        <v>1.85</v>
      </c>
      <c r="F6" s="3">
        <v>12.55</v>
      </c>
      <c r="G6" s="3">
        <v>2.65</v>
      </c>
      <c r="H6" s="3">
        <v>0.25</v>
      </c>
      <c r="I6" s="3">
        <v>0.15</v>
      </c>
      <c r="J6" s="31">
        <v>30.199999999999996</v>
      </c>
      <c r="K6" s="25">
        <v>192</v>
      </c>
      <c r="L6" s="25">
        <v>192</v>
      </c>
      <c r="M6" s="56">
        <f t="shared" si="0"/>
        <v>0.31788079470198677</v>
      </c>
      <c r="N6" s="57">
        <f t="shared" si="1"/>
        <v>0.10430463576158941</v>
      </c>
      <c r="O6" s="57">
        <f t="shared" si="2"/>
        <v>6.1258278145695379E-2</v>
      </c>
      <c r="P6" s="57">
        <f t="shared" si="3"/>
        <v>0.41556291390728484</v>
      </c>
      <c r="Q6" s="57">
        <f t="shared" si="4"/>
        <v>8.7748344370860931E-2</v>
      </c>
      <c r="R6" s="57">
        <f t="shared" si="5"/>
        <v>8.2781456953642391E-3</v>
      </c>
      <c r="S6" s="58">
        <f t="shared" si="6"/>
        <v>4.9668874172185433E-3</v>
      </c>
      <c r="T6" s="48">
        <f t="shared" si="7"/>
        <v>-0.87222527211434064</v>
      </c>
      <c r="U6" s="49">
        <f t="shared" si="7"/>
        <v>-0.738267615840415</v>
      </c>
      <c r="V6" s="49">
        <f t="shared" si="7"/>
        <v>-0.93430923737683325</v>
      </c>
      <c r="W6" s="49">
        <f t="shared" si="7"/>
        <v>0.96014261440300452</v>
      </c>
      <c r="X6" s="49">
        <f t="shared" si="7"/>
        <v>-0.749500117111077</v>
      </c>
      <c r="Y6" s="49">
        <f t="shared" si="7"/>
        <v>-3.1498829533812494</v>
      </c>
      <c r="Z6" s="49">
        <f t="shared" si="7"/>
        <v>-3.9120230054281464</v>
      </c>
      <c r="AA6" s="50">
        <f t="shared" si="7"/>
        <v>1.6658792233390516</v>
      </c>
    </row>
    <row r="7" spans="1:27" x14ac:dyDescent="0.25">
      <c r="A7" s="63">
        <v>4</v>
      </c>
      <c r="B7" s="66">
        <v>41.683333333348855</v>
      </c>
      <c r="C7" s="52">
        <v>10.15</v>
      </c>
      <c r="D7" s="3">
        <v>3.2</v>
      </c>
      <c r="E7" s="3">
        <v>1.75</v>
      </c>
      <c r="F7" s="3">
        <v>12.2</v>
      </c>
      <c r="G7" s="3">
        <v>2.35</v>
      </c>
      <c r="H7" s="3">
        <v>0.2</v>
      </c>
      <c r="I7" s="3">
        <v>0.15</v>
      </c>
      <c r="J7" s="31">
        <v>30</v>
      </c>
      <c r="K7" s="25">
        <v>190</v>
      </c>
      <c r="L7" s="25">
        <v>190</v>
      </c>
      <c r="M7" s="56">
        <f t="shared" si="0"/>
        <v>0.33833333333333332</v>
      </c>
      <c r="N7" s="57">
        <f t="shared" si="1"/>
        <v>0.10666666666666667</v>
      </c>
      <c r="O7" s="57">
        <f t="shared" si="2"/>
        <v>5.8333333333333334E-2</v>
      </c>
      <c r="P7" s="57">
        <f t="shared" si="3"/>
        <v>0.40666666666666662</v>
      </c>
      <c r="Q7" s="57">
        <f t="shared" si="4"/>
        <v>7.8333333333333338E-2</v>
      </c>
      <c r="R7" s="57">
        <f t="shared" si="5"/>
        <v>6.6666666666666671E-3</v>
      </c>
      <c r="S7" s="58">
        <f t="shared" si="6"/>
        <v>5.0000000000000001E-3</v>
      </c>
      <c r="T7" s="48">
        <f t="shared" si="7"/>
        <v>-7.3717575896567439E-2</v>
      </c>
      <c r="U7" s="49">
        <f t="shared" si="7"/>
        <v>-0.66415964368669267</v>
      </c>
      <c r="V7" s="49">
        <f t="shared" si="7"/>
        <v>-1.0774100810175069</v>
      </c>
      <c r="W7" s="49">
        <f t="shared" si="7"/>
        <v>0.88831687983174867</v>
      </c>
      <c r="X7" s="49">
        <f t="shared" si="7"/>
        <v>-1.0517809889840104</v>
      </c>
      <c r="Y7" s="49">
        <f t="shared" si="7"/>
        <v>-3.8430301339411943</v>
      </c>
      <c r="Z7" s="49">
        <f t="shared" si="7"/>
        <v>-3.9120230054281464</v>
      </c>
      <c r="AA7" s="50">
        <f t="shared" si="7"/>
        <v>1.6411866107486806</v>
      </c>
    </row>
    <row r="8" spans="1:27" x14ac:dyDescent="0.25">
      <c r="A8" s="63">
        <v>5</v>
      </c>
      <c r="B8" s="66">
        <v>49.96666666661622</v>
      </c>
      <c r="C8" s="25">
        <v>9.65</v>
      </c>
      <c r="D8" s="3">
        <v>3.05</v>
      </c>
      <c r="E8" s="3">
        <v>1.65</v>
      </c>
      <c r="F8" s="3">
        <v>11.3</v>
      </c>
      <c r="G8" s="3">
        <v>2.15</v>
      </c>
      <c r="H8" s="3">
        <v>0.2</v>
      </c>
      <c r="I8" s="3">
        <v>0.1</v>
      </c>
      <c r="J8" s="31">
        <v>28.099999999999998</v>
      </c>
      <c r="K8" s="25">
        <v>187</v>
      </c>
      <c r="L8" s="25">
        <v>187</v>
      </c>
      <c r="M8" s="56">
        <f t="shared" si="0"/>
        <v>0.34341637010676163</v>
      </c>
      <c r="N8" s="57">
        <f t="shared" si="1"/>
        <v>0.10854092526690391</v>
      </c>
      <c r="O8" s="57">
        <f t="shared" si="2"/>
        <v>5.8718861209964411E-2</v>
      </c>
      <c r="P8" s="57">
        <f t="shared" si="3"/>
        <v>0.40213523131672602</v>
      </c>
      <c r="Q8" s="57">
        <f t="shared" si="4"/>
        <v>7.6512455516014238E-2</v>
      </c>
      <c r="R8" s="57">
        <f t="shared" si="5"/>
        <v>7.1174377224199293E-3</v>
      </c>
      <c r="S8" s="58">
        <f t="shared" si="6"/>
        <v>3.5587188612099647E-3</v>
      </c>
      <c r="T8" s="48">
        <f t="shared" ref="T8:Y8" si="8">LN((C8-C$15)/(C$3/C$15))</f>
        <v>-0.76686475645651275</v>
      </c>
      <c r="U8" s="49">
        <f t="shared" si="8"/>
        <v>-0.90532170050358129</v>
      </c>
      <c r="V8" s="49">
        <f t="shared" si="8"/>
        <v>-1.2444641656806732</v>
      </c>
      <c r="W8" s="49">
        <f t="shared" si="8"/>
        <v>0.67575543784807635</v>
      </c>
      <c r="X8" s="49">
        <f t="shared" si="8"/>
        <v>-1.32004497557869</v>
      </c>
      <c r="Y8" s="49">
        <f t="shared" si="8"/>
        <v>-3.8430301339411943</v>
      </c>
      <c r="Z8" s="49"/>
      <c r="AA8" s="50">
        <f t="shared" ref="AA8:AA13" si="9">LN((J8-J$15)/(J$3/J$15))</f>
        <v>1.37003384024811</v>
      </c>
    </row>
    <row r="9" spans="1:27" x14ac:dyDescent="0.25">
      <c r="A9" s="63">
        <v>6</v>
      </c>
      <c r="B9" s="66">
        <v>65.666666666627862</v>
      </c>
      <c r="C9" s="25">
        <v>9.65</v>
      </c>
      <c r="D9" s="3">
        <v>3</v>
      </c>
      <c r="E9" s="3">
        <v>1.5</v>
      </c>
      <c r="F9" s="3">
        <v>10.65</v>
      </c>
      <c r="G9" s="3">
        <v>1.9</v>
      </c>
      <c r="H9" s="3">
        <v>0.15</v>
      </c>
      <c r="I9" s="3">
        <v>0.1</v>
      </c>
      <c r="J9" s="31">
        <v>26.95</v>
      </c>
      <c r="K9" s="25">
        <v>185</v>
      </c>
      <c r="L9" s="25">
        <v>185</v>
      </c>
      <c r="M9" s="56">
        <f t="shared" si="0"/>
        <v>0.35807050092764381</v>
      </c>
      <c r="N9" s="57">
        <f t="shared" si="1"/>
        <v>0.11131725417439703</v>
      </c>
      <c r="O9" s="57">
        <f t="shared" si="2"/>
        <v>5.5658627087198514E-2</v>
      </c>
      <c r="P9" s="57">
        <f t="shared" si="3"/>
        <v>0.39517625231910947</v>
      </c>
      <c r="Q9" s="57">
        <f t="shared" si="4"/>
        <v>7.050092764378478E-2</v>
      </c>
      <c r="R9" s="57">
        <f t="shared" si="5"/>
        <v>5.5658627087198514E-3</v>
      </c>
      <c r="S9" s="58">
        <f t="shared" si="6"/>
        <v>3.7105751391465682E-3</v>
      </c>
      <c r="T9" s="48">
        <f t="shared" ref="T9:X13" si="10">LN((C9-C$15)/(C$3/C$15))</f>
        <v>-0.76686475645651275</v>
      </c>
      <c r="U9" s="49">
        <f t="shared" si="10"/>
        <v>-1.000631880307906</v>
      </c>
      <c r="V9" s="49">
        <f t="shared" si="10"/>
        <v>-1.5629178967992077</v>
      </c>
      <c r="W9" s="49">
        <f t="shared" si="10"/>
        <v>0.48815682395327781</v>
      </c>
      <c r="X9" s="49">
        <f t="shared" si="10"/>
        <v>-1.8055527913603908</v>
      </c>
      <c r="Y9" s="49"/>
      <c r="Z9" s="49"/>
      <c r="AA9" s="50">
        <f t="shared" si="9"/>
        <v>1.1611326456494435</v>
      </c>
    </row>
    <row r="10" spans="1:27" x14ac:dyDescent="0.25">
      <c r="A10" s="63">
        <v>7</v>
      </c>
      <c r="B10" s="66">
        <v>73.583333333430346</v>
      </c>
      <c r="C10" s="25">
        <v>9.6999999999999993</v>
      </c>
      <c r="D10" s="3">
        <v>2.95</v>
      </c>
      <c r="E10" s="3">
        <v>1.45</v>
      </c>
      <c r="F10" s="3">
        <v>10.45</v>
      </c>
      <c r="G10" s="3">
        <v>1.85</v>
      </c>
      <c r="H10" s="3">
        <v>0.15</v>
      </c>
      <c r="I10" s="3">
        <v>0.1</v>
      </c>
      <c r="J10" s="31">
        <v>26.65</v>
      </c>
      <c r="K10" s="25">
        <v>182</v>
      </c>
      <c r="L10" s="25">
        <v>182</v>
      </c>
      <c r="M10" s="56">
        <f t="shared" si="0"/>
        <v>0.36397748592870544</v>
      </c>
      <c r="N10" s="57">
        <f t="shared" si="1"/>
        <v>0.11069418386491559</v>
      </c>
      <c r="O10" s="57">
        <f t="shared" si="2"/>
        <v>5.4409005628517824E-2</v>
      </c>
      <c r="P10" s="57">
        <f t="shared" si="3"/>
        <v>0.39212007504690433</v>
      </c>
      <c r="Q10" s="57">
        <f t="shared" si="4"/>
        <v>6.9418386491557224E-2</v>
      </c>
      <c r="R10" s="57">
        <f t="shared" si="5"/>
        <v>5.6285178236397749E-3</v>
      </c>
      <c r="S10" s="58">
        <f t="shared" si="6"/>
        <v>3.7523452157598503E-3</v>
      </c>
      <c r="T10" s="48">
        <f t="shared" si="10"/>
        <v>-0.67155457665218987</v>
      </c>
      <c r="U10" s="49">
        <f t="shared" si="10"/>
        <v>-1.1059923959657318</v>
      </c>
      <c r="V10" s="49">
        <f t="shared" si="10"/>
        <v>-1.6964492894237304</v>
      </c>
      <c r="W10" s="49">
        <f t="shared" si="10"/>
        <v>0.42255954146746427</v>
      </c>
      <c r="X10" s="49">
        <f t="shared" si="10"/>
        <v>-1.9390841839849131</v>
      </c>
      <c r="Y10" s="49"/>
      <c r="Z10" s="49"/>
      <c r="AA10" s="50">
        <f t="shared" si="9"/>
        <v>1.0986122886681093</v>
      </c>
    </row>
    <row r="11" spans="1:27" x14ac:dyDescent="0.25">
      <c r="A11" s="63">
        <v>8</v>
      </c>
      <c r="B11" s="66">
        <v>89.816666666592937</v>
      </c>
      <c r="C11" s="25">
        <v>9.9499999999999993</v>
      </c>
      <c r="D11" s="3">
        <v>3.05</v>
      </c>
      <c r="E11" s="3">
        <v>1.4</v>
      </c>
      <c r="F11" s="3">
        <v>10.050000000000001</v>
      </c>
      <c r="G11" s="3">
        <v>1.8</v>
      </c>
      <c r="H11" s="3">
        <v>0.15</v>
      </c>
      <c r="I11" s="3">
        <v>0.1</v>
      </c>
      <c r="J11" s="31">
        <v>26.500000000000004</v>
      </c>
      <c r="K11" s="25">
        <v>180</v>
      </c>
      <c r="L11" s="25">
        <v>180</v>
      </c>
      <c r="M11" s="56">
        <f t="shared" si="0"/>
        <v>0.37547169811320746</v>
      </c>
      <c r="N11" s="57">
        <f t="shared" si="1"/>
        <v>0.11509433962264148</v>
      </c>
      <c r="O11" s="57">
        <f t="shared" si="2"/>
        <v>5.2830188679245271E-2</v>
      </c>
      <c r="P11" s="57">
        <f t="shared" si="3"/>
        <v>0.3792452830188679</v>
      </c>
      <c r="Q11" s="57">
        <f t="shared" si="4"/>
        <v>6.7924528301886791E-2</v>
      </c>
      <c r="R11" s="57">
        <f t="shared" si="5"/>
        <v>5.6603773584905648E-3</v>
      </c>
      <c r="S11" s="58">
        <f t="shared" si="6"/>
        <v>3.773584905660377E-3</v>
      </c>
      <c r="T11" s="48">
        <f t="shared" si="10"/>
        <v>-0.29686112721077845</v>
      </c>
      <c r="U11" s="49">
        <f t="shared" si="10"/>
        <v>-0.90532170050358129</v>
      </c>
      <c r="V11" s="49">
        <f t="shared" si="10"/>
        <v>-1.8505999692509889</v>
      </c>
      <c r="W11" s="49">
        <f t="shared" si="10"/>
        <v>0.27684773028607107</v>
      </c>
      <c r="X11" s="49">
        <f t="shared" si="10"/>
        <v>-2.0932348638121714</v>
      </c>
      <c r="Y11" s="49"/>
      <c r="Z11" s="49"/>
      <c r="AA11" s="50">
        <f t="shared" si="9"/>
        <v>1.0658224658451196</v>
      </c>
    </row>
    <row r="12" spans="1:27" x14ac:dyDescent="0.25">
      <c r="A12" s="63">
        <v>9</v>
      </c>
      <c r="B12" s="66">
        <v>97.583333333430346</v>
      </c>
      <c r="C12" s="25">
        <v>10.15</v>
      </c>
      <c r="D12" s="3">
        <v>2.9</v>
      </c>
      <c r="E12" s="3">
        <v>1.4</v>
      </c>
      <c r="F12" s="3">
        <v>9.8000000000000007</v>
      </c>
      <c r="G12" s="3">
        <v>1.75</v>
      </c>
      <c r="H12" s="3">
        <v>0.2</v>
      </c>
      <c r="I12" s="3">
        <v>0.1</v>
      </c>
      <c r="J12" s="31">
        <v>26.3</v>
      </c>
      <c r="K12" s="25">
        <v>177</v>
      </c>
      <c r="L12" s="25">
        <v>177</v>
      </c>
      <c r="M12" s="56">
        <f t="shared" si="0"/>
        <v>0.38593155893536124</v>
      </c>
      <c r="N12" s="57">
        <f t="shared" si="1"/>
        <v>0.11026615969581749</v>
      </c>
      <c r="O12" s="57">
        <f t="shared" si="2"/>
        <v>5.3231939163498096E-2</v>
      </c>
      <c r="P12" s="57">
        <f t="shared" si="3"/>
        <v>0.37262357414448671</v>
      </c>
      <c r="Q12" s="57">
        <f t="shared" si="4"/>
        <v>6.6539923954372623E-2</v>
      </c>
      <c r="R12" s="57">
        <f t="shared" si="5"/>
        <v>7.6045627376425855E-3</v>
      </c>
      <c r="S12" s="58">
        <f t="shared" si="6"/>
        <v>3.8022813688212928E-3</v>
      </c>
      <c r="T12" s="48">
        <f t="shared" si="10"/>
        <v>-7.3717575896567439E-2</v>
      </c>
      <c r="U12" s="49">
        <f t="shared" si="10"/>
        <v>-1.2237754316221159</v>
      </c>
      <c r="V12" s="49">
        <f t="shared" si="10"/>
        <v>-1.8505999692509889</v>
      </c>
      <c r="W12" s="49">
        <f t="shared" si="10"/>
        <v>0.17366349405084028</v>
      </c>
      <c r="X12" s="49">
        <f t="shared" si="10"/>
        <v>-2.2755564206061263</v>
      </c>
      <c r="Y12" s="49">
        <f>LN((H12-H$15)/(H$3/H$15))</f>
        <v>-3.8430301339411943</v>
      </c>
      <c r="Z12" s="49"/>
      <c r="AA12" s="50">
        <f t="shared" si="9"/>
        <v>1.0203600917683615</v>
      </c>
    </row>
    <row r="13" spans="1:27" x14ac:dyDescent="0.25">
      <c r="A13" s="63">
        <v>10</v>
      </c>
      <c r="B13" s="66">
        <v>161.48333333339542</v>
      </c>
      <c r="C13" s="25">
        <v>9.75</v>
      </c>
      <c r="D13" s="3">
        <v>2.7</v>
      </c>
      <c r="E13" s="3">
        <v>1.1499999999999999</v>
      </c>
      <c r="F13" s="3">
        <v>8.3000000000000007</v>
      </c>
      <c r="G13" s="3">
        <v>1.55</v>
      </c>
      <c r="H13" s="3">
        <v>0.15</v>
      </c>
      <c r="I13" s="3">
        <v>0.1</v>
      </c>
      <c r="J13" s="31">
        <v>23.7</v>
      </c>
      <c r="K13" s="25">
        <v>175</v>
      </c>
      <c r="L13" s="25">
        <v>175</v>
      </c>
      <c r="M13" s="56">
        <f t="shared" si="0"/>
        <v>0.41139240506329117</v>
      </c>
      <c r="N13" s="57">
        <f t="shared" si="1"/>
        <v>0.1139240506329114</v>
      </c>
      <c r="O13" s="57">
        <f t="shared" si="2"/>
        <v>4.852320675105485E-2</v>
      </c>
      <c r="P13" s="57">
        <f t="shared" si="3"/>
        <v>0.35021097046413507</v>
      </c>
      <c r="Q13" s="57">
        <f t="shared" si="4"/>
        <v>6.5400843881856546E-2</v>
      </c>
      <c r="R13" s="57">
        <f t="shared" si="5"/>
        <v>6.3291139240506328E-3</v>
      </c>
      <c r="S13" s="58">
        <f t="shared" si="6"/>
        <v>4.2194092827004225E-3</v>
      </c>
      <c r="T13" s="48">
        <f t="shared" si="10"/>
        <v>-0.58454319966255874</v>
      </c>
      <c r="U13" s="49">
        <f t="shared" si="10"/>
        <v>-1.9169226121820599</v>
      </c>
      <c r="V13" s="49">
        <f t="shared" si="10"/>
        <v>-3.6423594384790468</v>
      </c>
      <c r="W13" s="49">
        <f t="shared" si="10"/>
        <v>-0.88238918019847279</v>
      </c>
      <c r="X13" s="49">
        <f t="shared" si="10"/>
        <v>-3.8849943330402259</v>
      </c>
      <c r="Y13" s="49"/>
      <c r="Z13" s="49"/>
      <c r="AA13" s="50">
        <f t="shared" si="9"/>
        <v>9.2373320131014666E-2</v>
      </c>
    </row>
    <row r="14" spans="1:27" x14ac:dyDescent="0.25">
      <c r="A14" s="63">
        <v>11</v>
      </c>
      <c r="B14" s="66">
        <v>169.66666666668607</v>
      </c>
      <c r="C14" s="25">
        <v>8.9</v>
      </c>
      <c r="D14" s="3">
        <v>2.4</v>
      </c>
      <c r="E14" s="3">
        <v>1.05</v>
      </c>
      <c r="F14" s="3">
        <v>7.45</v>
      </c>
      <c r="G14" s="3">
        <v>1.4</v>
      </c>
      <c r="H14" s="3">
        <v>0.15</v>
      </c>
      <c r="I14" s="3">
        <v>0.1</v>
      </c>
      <c r="J14" s="31">
        <v>21.45</v>
      </c>
      <c r="K14" s="25">
        <v>172</v>
      </c>
      <c r="L14" s="25">
        <v>172</v>
      </c>
      <c r="M14" s="56">
        <f t="shared" si="0"/>
        <v>0.41491841491841497</v>
      </c>
      <c r="N14" s="57">
        <f t="shared" si="1"/>
        <v>0.11188811188811189</v>
      </c>
      <c r="O14" s="57">
        <f t="shared" si="2"/>
        <v>4.8951048951048952E-2</v>
      </c>
      <c r="P14" s="57">
        <f t="shared" si="3"/>
        <v>0.34731934731934733</v>
      </c>
      <c r="Q14" s="57">
        <f t="shared" si="4"/>
        <v>6.5268065268065265E-2</v>
      </c>
      <c r="R14" s="57">
        <f t="shared" si="5"/>
        <v>6.993006993006993E-3</v>
      </c>
      <c r="S14" s="58">
        <f t="shared" si="6"/>
        <v>4.662004662004662E-3</v>
      </c>
      <c r="T14" s="48"/>
      <c r="U14" s="49"/>
      <c r="V14" s="49"/>
      <c r="W14" s="49"/>
      <c r="X14" s="49"/>
      <c r="Y14" s="49"/>
      <c r="Z14" s="49"/>
      <c r="AA14" s="50"/>
    </row>
    <row r="15" spans="1:27" x14ac:dyDescent="0.25">
      <c r="A15" s="64">
        <v>12</v>
      </c>
      <c r="B15" s="80">
        <v>187.51666666672099</v>
      </c>
      <c r="C15" s="38">
        <v>9.15</v>
      </c>
      <c r="D15" s="39">
        <v>2.5</v>
      </c>
      <c r="E15" s="39">
        <v>1.1000000000000001</v>
      </c>
      <c r="F15" s="39">
        <v>7.5</v>
      </c>
      <c r="G15" s="39">
        <v>1.5</v>
      </c>
      <c r="H15" s="39">
        <v>0.15</v>
      </c>
      <c r="I15" s="39">
        <v>0.1</v>
      </c>
      <c r="J15" s="35">
        <v>22</v>
      </c>
      <c r="K15" s="38">
        <v>170</v>
      </c>
      <c r="L15" s="38">
        <v>170</v>
      </c>
      <c r="M15" s="59">
        <f t="shared" si="0"/>
        <v>0.41590909090909095</v>
      </c>
      <c r="N15" s="60">
        <f t="shared" si="1"/>
        <v>0.11363636363636363</v>
      </c>
      <c r="O15" s="60">
        <f t="shared" si="2"/>
        <v>0.05</v>
      </c>
      <c r="P15" s="60">
        <f t="shared" si="3"/>
        <v>0.34090909090909088</v>
      </c>
      <c r="Q15" s="60">
        <f t="shared" si="4"/>
        <v>6.8181818181818177E-2</v>
      </c>
      <c r="R15" s="60">
        <f t="shared" si="5"/>
        <v>6.8181818181818179E-3</v>
      </c>
      <c r="S15" s="61">
        <f t="shared" si="6"/>
        <v>4.5454545454545461E-3</v>
      </c>
      <c r="T15" s="53"/>
      <c r="U15" s="54"/>
      <c r="V15" s="54"/>
      <c r="W15" s="54"/>
      <c r="X15" s="54"/>
      <c r="Y15" s="54"/>
      <c r="Z15" s="54"/>
      <c r="AA15" s="55"/>
    </row>
    <row r="16" spans="1:27" x14ac:dyDescent="0.25">
      <c r="T16" s="51"/>
      <c r="U16" s="51"/>
      <c r="V16" s="51"/>
      <c r="W16" s="51"/>
      <c r="X16" s="51"/>
      <c r="Y16" s="51"/>
      <c r="Z16" s="51"/>
      <c r="AA16" s="51"/>
    </row>
    <row r="17" spans="2:27" x14ac:dyDescent="0.25">
      <c r="B17" s="36" t="s">
        <v>164</v>
      </c>
      <c r="C17" s="28">
        <f t="shared" ref="C17:J17" si="11">(C3*($K$3/1000))/(($K$3+$L$3)/1000)</f>
        <v>4.9249999999999998</v>
      </c>
      <c r="D17" s="28">
        <f t="shared" si="11"/>
        <v>1.7</v>
      </c>
      <c r="E17" s="28">
        <f t="shared" si="11"/>
        <v>1.05</v>
      </c>
      <c r="F17" s="28">
        <f t="shared" si="11"/>
        <v>7.2500000000000009</v>
      </c>
      <c r="G17" s="28">
        <f t="shared" si="11"/>
        <v>1.825</v>
      </c>
      <c r="H17" s="28">
        <f t="shared" si="11"/>
        <v>0.17499999999999996</v>
      </c>
      <c r="I17" s="28">
        <f t="shared" si="11"/>
        <v>0.125</v>
      </c>
      <c r="J17" s="28">
        <f t="shared" si="11"/>
        <v>17.05</v>
      </c>
      <c r="S17" t="s">
        <v>45</v>
      </c>
      <c r="T17" s="147">
        <f>-SLOPE(T3:T15,$B$3:$B$15)</f>
        <v>-6.5483608120817461E-3</v>
      </c>
      <c r="U17" s="147">
        <f t="shared" ref="U17:AA17" si="12">-SLOPE(U3:U15,$B$3:$B$15)</f>
        <v>7.7793633625586099E-3</v>
      </c>
      <c r="V17" s="147">
        <f t="shared" si="12"/>
        <v>1.7282797533171523E-2</v>
      </c>
      <c r="W17" s="147">
        <f t="shared" si="12"/>
        <v>1.2629564341374168E-2</v>
      </c>
      <c r="X17" s="147">
        <f t="shared" si="12"/>
        <v>2.2692499383620356E-2</v>
      </c>
      <c r="Y17" s="147">
        <f t="shared" si="12"/>
        <v>1.5136612580441211E-2</v>
      </c>
      <c r="Z17" s="147">
        <f t="shared" si="12"/>
        <v>2.4923899226344536E-2</v>
      </c>
      <c r="AA17" s="147">
        <f t="shared" si="12"/>
        <v>1.1284295955767432E-2</v>
      </c>
    </row>
    <row r="18" spans="2:27" x14ac:dyDescent="0.25">
      <c r="S18" t="s">
        <v>43</v>
      </c>
      <c r="T18" s="147">
        <f>(CORREL(T3:T15,$B$3:$B$15))^2</f>
        <v>0.14639047798470151</v>
      </c>
      <c r="U18" s="147">
        <f t="shared" ref="U18:AA18" si="13">(CORREL(U3:U15,$B$3:$B$15))^2</f>
        <v>0.84798315243177325</v>
      </c>
      <c r="V18" s="147">
        <f t="shared" si="13"/>
        <v>0.94698018180472454</v>
      </c>
      <c r="W18" s="147">
        <f t="shared" si="13"/>
        <v>0.9779497698054308</v>
      </c>
      <c r="X18" s="147">
        <f t="shared" si="13"/>
        <v>0.99392785547011475</v>
      </c>
      <c r="Y18" s="147">
        <f t="shared" si="13"/>
        <v>0.71303644254819087</v>
      </c>
      <c r="Z18" s="147">
        <f t="shared" si="13"/>
        <v>0.71264307468193255</v>
      </c>
      <c r="AA18" s="147">
        <f t="shared" si="13"/>
        <v>0.96974147034453251</v>
      </c>
    </row>
    <row r="19" spans="2:27" x14ac:dyDescent="0.25">
      <c r="B19" s="82"/>
      <c r="C19" s="37"/>
      <c r="D19" s="37"/>
      <c r="E19" s="37"/>
      <c r="F19" s="37"/>
      <c r="G19" s="37"/>
      <c r="H19" s="37"/>
      <c r="I19" s="37"/>
      <c r="J19" s="37"/>
      <c r="K19" s="27"/>
      <c r="L19" s="27"/>
      <c r="S19" t="s">
        <v>46</v>
      </c>
      <c r="T19" s="148">
        <f>(T17*($K$3/1000000))/Constants!$K$8</f>
        <v>-2.2274192938836533E-4</v>
      </c>
      <c r="U19" s="148">
        <f>(U17*($K$3/1000000))/Constants!$K$8</f>
        <v>2.6461437518721667E-4</v>
      </c>
      <c r="V19" s="148">
        <f>(V17*($K$3/1000000))/Constants!$K$8</f>
        <v>5.8787287051510284E-4</v>
      </c>
      <c r="W19" s="148">
        <f>(W17*($K$3/1000000))/Constants!$K$8</f>
        <v>4.2959354401210476E-4</v>
      </c>
      <c r="X19" s="148">
        <f>(X17*($K$3/1000000))/Constants!$K$8</f>
        <v>7.7188341333088884E-4</v>
      </c>
      <c r="Y19" s="148">
        <f>(Y17*($K$3/1000000))/Constants!$K$8</f>
        <v>5.1487057407575087E-4</v>
      </c>
      <c r="Z19" s="148">
        <f>(Z17*($K$3/1000000))/Constants!$K$8</f>
        <v>8.4778428691871304E-4</v>
      </c>
      <c r="AA19" s="148">
        <f>(AA17*($K$3/1000000))/Constants!$K$8</f>
        <v>3.8383435566647099E-4</v>
      </c>
    </row>
    <row r="20" spans="2:27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S20" t="s">
        <v>47</v>
      </c>
      <c r="T20" s="148">
        <f>T19/3600</f>
        <v>-6.1872758163434818E-8</v>
      </c>
      <c r="U20" s="148">
        <f t="shared" ref="U20:AA20" si="14">U19/3600</f>
        <v>7.3503993107560183E-8</v>
      </c>
      <c r="V20" s="148">
        <f t="shared" si="14"/>
        <v>1.6329801958752858E-7</v>
      </c>
      <c r="W20" s="148">
        <f t="shared" si="14"/>
        <v>1.1933154000336243E-7</v>
      </c>
      <c r="X20" s="148">
        <f t="shared" si="14"/>
        <v>2.1441205925858024E-7</v>
      </c>
      <c r="Y20" s="148">
        <f t="shared" si="14"/>
        <v>1.4301960390993079E-7</v>
      </c>
      <c r="Z20" s="148">
        <f t="shared" si="14"/>
        <v>2.3549563525519806E-7</v>
      </c>
      <c r="AA20" s="148">
        <f t="shared" si="14"/>
        <v>1.0662065435179749E-7</v>
      </c>
    </row>
    <row r="21" spans="2:27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S21" s="1" t="s">
        <v>64</v>
      </c>
      <c r="T21" s="153">
        <f>T20*10^6</f>
        <v>-6.1872758163434821E-2</v>
      </c>
      <c r="U21" s="153">
        <f t="shared" ref="U21:AA21" si="15">U20*10^6</f>
        <v>7.3503993107560187E-2</v>
      </c>
      <c r="V21" s="153">
        <f t="shared" si="15"/>
        <v>0.16329801958752857</v>
      </c>
      <c r="W21" s="153">
        <f t="shared" si="15"/>
        <v>0.11933154000336242</v>
      </c>
      <c r="X21" s="153">
        <f t="shared" si="15"/>
        <v>0.21441205925858023</v>
      </c>
      <c r="Y21" s="153">
        <f t="shared" si="15"/>
        <v>0.14301960390993079</v>
      </c>
      <c r="Z21" s="153">
        <f t="shared" si="15"/>
        <v>0.23549563525519807</v>
      </c>
      <c r="AA21" s="153">
        <f t="shared" si="15"/>
        <v>0.10662065435179749</v>
      </c>
    </row>
    <row r="23" spans="2:27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27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</row>
  </sheetData>
  <mergeCells count="6">
    <mergeCell ref="T1:AA1"/>
    <mergeCell ref="A1:A2"/>
    <mergeCell ref="B1:B2"/>
    <mergeCell ref="C1:J1"/>
    <mergeCell ref="K1:L1"/>
    <mergeCell ref="M1:S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4"/>
  <sheetViews>
    <sheetView workbookViewId="0">
      <selection sqref="A1:A2"/>
    </sheetView>
  </sheetViews>
  <sheetFormatPr defaultRowHeight="15" x14ac:dyDescent="0.25"/>
  <cols>
    <col min="20" max="27" width="9.140625" style="3"/>
  </cols>
  <sheetData>
    <row r="1" spans="1:27" s="3" customFormat="1" x14ac:dyDescent="0.25">
      <c r="A1" s="269" t="s">
        <v>31</v>
      </c>
      <c r="B1" s="271" t="s">
        <v>32</v>
      </c>
      <c r="C1" s="274" t="s">
        <v>34</v>
      </c>
      <c r="D1" s="274"/>
      <c r="E1" s="274"/>
      <c r="F1" s="274"/>
      <c r="G1" s="274"/>
      <c r="H1" s="274"/>
      <c r="I1" s="274"/>
      <c r="J1" s="271"/>
      <c r="K1" s="273" t="s">
        <v>35</v>
      </c>
      <c r="L1" s="271"/>
      <c r="M1" s="273" t="s">
        <v>44</v>
      </c>
      <c r="N1" s="274"/>
      <c r="O1" s="274"/>
      <c r="P1" s="274"/>
      <c r="Q1" s="274"/>
      <c r="R1" s="274"/>
      <c r="S1" s="271"/>
      <c r="T1" s="278" t="s">
        <v>72</v>
      </c>
      <c r="U1" s="279"/>
      <c r="V1" s="279"/>
      <c r="W1" s="279"/>
      <c r="X1" s="279"/>
      <c r="Y1" s="279"/>
      <c r="Z1" s="279"/>
      <c r="AA1" s="280"/>
    </row>
    <row r="2" spans="1:27" s="3" customFormat="1" x14ac:dyDescent="0.25">
      <c r="A2" s="281"/>
      <c r="B2" s="282"/>
      <c r="C2" s="39" t="s">
        <v>39</v>
      </c>
      <c r="D2" s="39" t="s">
        <v>66</v>
      </c>
      <c r="E2" s="39" t="s">
        <v>68</v>
      </c>
      <c r="F2" s="39" t="s">
        <v>69</v>
      </c>
      <c r="G2" s="39" t="s">
        <v>70</v>
      </c>
      <c r="H2" s="39" t="s">
        <v>71</v>
      </c>
      <c r="I2" s="39" t="s">
        <v>67</v>
      </c>
      <c r="J2" s="40" t="s">
        <v>23</v>
      </c>
      <c r="K2" s="38" t="s">
        <v>42</v>
      </c>
      <c r="L2" s="40" t="s">
        <v>38</v>
      </c>
      <c r="M2" s="45" t="s">
        <v>39</v>
      </c>
      <c r="N2" s="46" t="s">
        <v>66</v>
      </c>
      <c r="O2" s="46" t="s">
        <v>68</v>
      </c>
      <c r="P2" s="46" t="s">
        <v>69</v>
      </c>
      <c r="Q2" s="46" t="s">
        <v>70</v>
      </c>
      <c r="R2" s="46" t="s">
        <v>71</v>
      </c>
      <c r="S2" s="46" t="s">
        <v>67</v>
      </c>
      <c r="T2" s="52" t="s">
        <v>39</v>
      </c>
      <c r="U2" s="51" t="s">
        <v>66</v>
      </c>
      <c r="V2" s="51" t="s">
        <v>68</v>
      </c>
      <c r="W2" s="51" t="s">
        <v>69</v>
      </c>
      <c r="X2" s="51" t="s">
        <v>70</v>
      </c>
      <c r="Y2" s="51" t="s">
        <v>71</v>
      </c>
      <c r="Z2" s="51" t="s">
        <v>67</v>
      </c>
      <c r="AA2" s="154" t="s">
        <v>23</v>
      </c>
    </row>
    <row r="3" spans="1:27" x14ac:dyDescent="0.25">
      <c r="A3" s="63">
        <v>0</v>
      </c>
      <c r="B3" s="31">
        <v>0</v>
      </c>
      <c r="C3" s="3">
        <v>12.95</v>
      </c>
      <c r="D3" s="3">
        <v>3.55</v>
      </c>
      <c r="E3" s="3">
        <v>2.15</v>
      </c>
      <c r="F3" s="3">
        <v>11.1</v>
      </c>
      <c r="G3" s="3">
        <v>3.6</v>
      </c>
      <c r="H3" s="3">
        <v>0.5</v>
      </c>
      <c r="I3" s="3">
        <v>0.3</v>
      </c>
      <c r="J3" s="31">
        <v>34.15</v>
      </c>
      <c r="K3" s="25">
        <v>200</v>
      </c>
      <c r="L3" s="26">
        <v>200</v>
      </c>
      <c r="M3" s="56">
        <f t="shared" ref="M3:M15" si="0">C3/$J3</f>
        <v>0.37920937042459735</v>
      </c>
      <c r="N3" s="57">
        <f t="shared" ref="N3:N15" si="1">D3/$J3</f>
        <v>0.10395314787701318</v>
      </c>
      <c r="O3" s="57">
        <f t="shared" ref="O3:O15" si="2">E3/$J3</f>
        <v>6.2957540263543194E-2</v>
      </c>
      <c r="P3" s="57">
        <f t="shared" ref="P3:P15" si="3">F3/$J3</f>
        <v>0.32503660322108346</v>
      </c>
      <c r="Q3" s="57">
        <f t="shared" ref="Q3:Q15" si="4">G3/$J3</f>
        <v>0.10541727672035139</v>
      </c>
      <c r="R3" s="57">
        <f t="shared" ref="R3:R15" si="5">H3/$J3</f>
        <v>1.4641288433382138E-2</v>
      </c>
      <c r="S3" s="58">
        <f t="shared" ref="S3:S15" si="6">I3/$J3</f>
        <v>8.7847730600292828E-3</v>
      </c>
      <c r="T3" s="48">
        <f t="shared" ref="T3:AA7" si="7">LN((C3-C$15)/(C$3/C$15))</f>
        <v>-0.83387484005506451</v>
      </c>
      <c r="U3" s="49">
        <f t="shared" si="7"/>
        <v>-0.33085424431698957</v>
      </c>
      <c r="V3" s="49">
        <f t="shared" si="7"/>
        <v>-0.62570589976441282</v>
      </c>
      <c r="W3" s="49">
        <f t="shared" si="7"/>
        <v>1.0205695816612403</v>
      </c>
      <c r="X3" s="49">
        <f t="shared" si="7"/>
        <v>-0.10845170822749911</v>
      </c>
      <c r="Y3" s="49">
        <f t="shared" si="7"/>
        <v>-2.0794415416798357</v>
      </c>
      <c r="Z3" s="49">
        <f t="shared" si="7"/>
        <v>-2.7080502011022101</v>
      </c>
      <c r="AA3" s="50">
        <f t="shared" si="7"/>
        <v>1.9813144405351062</v>
      </c>
    </row>
    <row r="4" spans="1:27" x14ac:dyDescent="0.25">
      <c r="A4" s="63">
        <v>1</v>
      </c>
      <c r="B4" s="31">
        <v>4.3666666665812954</v>
      </c>
      <c r="C4" s="3">
        <v>12.8</v>
      </c>
      <c r="D4" s="3">
        <v>3.55</v>
      </c>
      <c r="E4" s="3">
        <v>2.1</v>
      </c>
      <c r="F4" s="3">
        <v>10.9</v>
      </c>
      <c r="G4" s="3">
        <v>3.4</v>
      </c>
      <c r="H4" s="3">
        <v>0.4</v>
      </c>
      <c r="I4" s="3">
        <v>0.25</v>
      </c>
      <c r="J4" s="31">
        <v>33.4</v>
      </c>
      <c r="K4" s="25">
        <v>197</v>
      </c>
      <c r="L4" s="25">
        <v>197</v>
      </c>
      <c r="M4" s="56">
        <f t="shared" si="0"/>
        <v>0.38323353293413176</v>
      </c>
      <c r="N4" s="57">
        <f t="shared" si="1"/>
        <v>0.1062874251497006</v>
      </c>
      <c r="O4" s="57">
        <f t="shared" si="2"/>
        <v>6.2874251497005998E-2</v>
      </c>
      <c r="P4" s="57">
        <f t="shared" si="3"/>
        <v>0.32634730538922158</v>
      </c>
      <c r="Q4" s="57">
        <f t="shared" si="4"/>
        <v>0.10179640718562874</v>
      </c>
      <c r="R4" s="57">
        <f t="shared" si="5"/>
        <v>1.1976047904191617E-2</v>
      </c>
      <c r="S4" s="58">
        <f t="shared" si="6"/>
        <v>7.4850299401197605E-3</v>
      </c>
      <c r="T4" s="48">
        <f t="shared" si="7"/>
        <v>-1.2393399481632248</v>
      </c>
      <c r="U4" s="49">
        <f t="shared" si="7"/>
        <v>-0.33085424431698957</v>
      </c>
      <c r="V4" s="49">
        <f t="shared" si="7"/>
        <v>-0.67015766233524654</v>
      </c>
      <c r="W4" s="49">
        <f t="shared" si="7"/>
        <v>0.98352830998089136</v>
      </c>
      <c r="X4" s="49">
        <f t="shared" si="7"/>
        <v>-0.21967734333772362</v>
      </c>
      <c r="Y4" s="49">
        <f t="shared" si="7"/>
        <v>-2.5902671654458262</v>
      </c>
      <c r="Z4" s="49">
        <f t="shared" si="7"/>
        <v>-2.9957322735539909</v>
      </c>
      <c r="AA4" s="50">
        <f t="shared" si="7"/>
        <v>1.9068383476336235</v>
      </c>
    </row>
    <row r="5" spans="1:27" x14ac:dyDescent="0.25">
      <c r="A5" s="63">
        <v>2</v>
      </c>
      <c r="B5" s="31">
        <v>21.033333333267365</v>
      </c>
      <c r="C5" s="3">
        <v>12.9</v>
      </c>
      <c r="D5" s="3">
        <v>3.4</v>
      </c>
      <c r="E5" s="3">
        <v>1.85</v>
      </c>
      <c r="F5" s="3">
        <v>9.6999999999999993</v>
      </c>
      <c r="G5" s="3">
        <v>2.65</v>
      </c>
      <c r="H5" s="3">
        <v>0.35</v>
      </c>
      <c r="I5" s="3">
        <v>0.15</v>
      </c>
      <c r="J5" s="31">
        <v>31</v>
      </c>
      <c r="K5" s="25">
        <v>195</v>
      </c>
      <c r="L5" s="25">
        <v>195</v>
      </c>
      <c r="M5" s="56">
        <f t="shared" si="0"/>
        <v>0.41612903225806452</v>
      </c>
      <c r="N5" s="57">
        <f t="shared" si="1"/>
        <v>0.10967741935483871</v>
      </c>
      <c r="O5" s="57">
        <f t="shared" si="2"/>
        <v>5.9677419354838709E-2</v>
      </c>
      <c r="P5" s="57">
        <f t="shared" si="3"/>
        <v>0.31290322580645158</v>
      </c>
      <c r="Q5" s="57">
        <f t="shared" si="4"/>
        <v>8.5483870967741932E-2</v>
      </c>
      <c r="R5" s="57">
        <f t="shared" si="5"/>
        <v>1.1290322580645161E-2</v>
      </c>
      <c r="S5" s="58">
        <f t="shared" si="6"/>
        <v>4.8387096774193551E-3</v>
      </c>
      <c r="T5" s="48">
        <f t="shared" si="7"/>
        <v>-0.95165787571144556</v>
      </c>
      <c r="U5" s="49">
        <f t="shared" si="7"/>
        <v>-0.49337317381476442</v>
      </c>
      <c r="V5" s="49">
        <f t="shared" si="7"/>
        <v>-0.92798677163734622</v>
      </c>
      <c r="W5" s="49">
        <f t="shared" si="7"/>
        <v>0.72680846313307712</v>
      </c>
      <c r="X5" s="49">
        <f t="shared" si="7"/>
        <v>-0.80159888878744456</v>
      </c>
      <c r="Y5" s="49">
        <f t="shared" si="7"/>
        <v>-2.9957322735539913</v>
      </c>
      <c r="Z5" s="49">
        <f t="shared" si="7"/>
        <v>-4.0943445622221004</v>
      </c>
      <c r="AA5" s="50">
        <f t="shared" si="7"/>
        <v>1.6225868102786321</v>
      </c>
    </row>
    <row r="6" spans="1:27" x14ac:dyDescent="0.25">
      <c r="A6" s="63">
        <v>3</v>
      </c>
      <c r="B6" s="31">
        <v>27.883333333244082</v>
      </c>
      <c r="C6" s="3">
        <v>13.6</v>
      </c>
      <c r="D6" s="3">
        <v>3.5</v>
      </c>
      <c r="E6" s="3">
        <v>1.85</v>
      </c>
      <c r="F6" s="3">
        <v>9.8000000000000007</v>
      </c>
      <c r="G6" s="3">
        <v>2.7</v>
      </c>
      <c r="H6" s="3">
        <v>0.35</v>
      </c>
      <c r="I6" s="3">
        <v>0.15</v>
      </c>
      <c r="J6" s="31">
        <v>31.950000000000003</v>
      </c>
      <c r="K6" s="25">
        <v>192</v>
      </c>
      <c r="L6" s="25">
        <v>192</v>
      </c>
      <c r="M6" s="56">
        <f t="shared" si="0"/>
        <v>0.42566510172143968</v>
      </c>
      <c r="N6" s="57">
        <f t="shared" si="1"/>
        <v>0.10954616588419404</v>
      </c>
      <c r="O6" s="57">
        <f t="shared" si="2"/>
        <v>5.7902973395931139E-2</v>
      </c>
      <c r="P6" s="57">
        <f t="shared" si="3"/>
        <v>0.30672926447574334</v>
      </c>
      <c r="Q6" s="57">
        <f t="shared" si="4"/>
        <v>8.4507042253521125E-2</v>
      </c>
      <c r="R6" s="57">
        <f t="shared" si="5"/>
        <v>1.0954616588419404E-2</v>
      </c>
      <c r="S6" s="58">
        <f t="shared" si="6"/>
        <v>4.6948356807511729E-3</v>
      </c>
      <c r="T6" s="48">
        <f t="shared" si="7"/>
        <v>5.9943035967033216E-2</v>
      </c>
      <c r="U6" s="49">
        <f t="shared" si="7"/>
        <v>-0.38214753870453988</v>
      </c>
      <c r="V6" s="49">
        <f t="shared" si="7"/>
        <v>-0.92798677163734622</v>
      </c>
      <c r="W6" s="49">
        <f t="shared" si="7"/>
        <v>0.75090601471213803</v>
      </c>
      <c r="X6" s="49">
        <f t="shared" si="7"/>
        <v>-0.75030559439989375</v>
      </c>
      <c r="Y6" s="49">
        <f t="shared" si="7"/>
        <v>-2.9957322735539913</v>
      </c>
      <c r="Z6" s="49">
        <f t="shared" si="7"/>
        <v>-4.0943445622221004</v>
      </c>
      <c r="AA6" s="50">
        <f t="shared" si="7"/>
        <v>1.7449256624708764</v>
      </c>
    </row>
    <row r="7" spans="1:27" x14ac:dyDescent="0.25">
      <c r="A7" s="63">
        <v>4</v>
      </c>
      <c r="B7" s="31">
        <v>44.566666666651145</v>
      </c>
      <c r="C7" s="3">
        <v>13.2</v>
      </c>
      <c r="D7" s="3">
        <v>3.35</v>
      </c>
      <c r="E7" s="3">
        <v>1.65</v>
      </c>
      <c r="F7" s="3">
        <v>8.6999999999999993</v>
      </c>
      <c r="G7" s="3">
        <v>2.2000000000000002</v>
      </c>
      <c r="H7" s="3">
        <v>0.3</v>
      </c>
      <c r="I7" s="3">
        <v>0.15</v>
      </c>
      <c r="J7" s="31">
        <v>29.549999999999997</v>
      </c>
      <c r="K7" s="25">
        <v>190</v>
      </c>
      <c r="L7" s="25">
        <v>190</v>
      </c>
      <c r="M7" s="56">
        <f t="shared" si="0"/>
        <v>0.4467005076142132</v>
      </c>
      <c r="N7" s="57">
        <f t="shared" si="1"/>
        <v>0.11336717428087988</v>
      </c>
      <c r="O7" s="57">
        <f t="shared" si="2"/>
        <v>5.5837563451776651E-2</v>
      </c>
      <c r="P7" s="57">
        <f t="shared" si="3"/>
        <v>0.29441624365482233</v>
      </c>
      <c r="Q7" s="57">
        <f t="shared" si="4"/>
        <v>7.4450084602368877E-2</v>
      </c>
      <c r="R7" s="57">
        <f t="shared" si="5"/>
        <v>1.0152284263959392E-2</v>
      </c>
      <c r="S7" s="58">
        <f t="shared" si="6"/>
        <v>5.0761421319796959E-3</v>
      </c>
      <c r="T7" s="48">
        <f t="shared" si="7"/>
        <v>-0.39204208777602473</v>
      </c>
      <c r="U7" s="49">
        <f t="shared" si="7"/>
        <v>-0.553997795631199</v>
      </c>
      <c r="V7" s="49">
        <f t="shared" si="7"/>
        <v>-1.1962507582320256</v>
      </c>
      <c r="W7" s="49">
        <f t="shared" si="7"/>
        <v>0.44722360091391555</v>
      </c>
      <c r="X7" s="49">
        <f t="shared" si="7"/>
        <v>-1.4434527749598387</v>
      </c>
      <c r="Y7" s="49">
        <f t="shared" si="7"/>
        <v>-3.6888794541139367</v>
      </c>
      <c r="Z7" s="49">
        <f t="shared" si="7"/>
        <v>-4.0943445622221004</v>
      </c>
      <c r="AA7" s="50">
        <f t="shared" si="7"/>
        <v>1.4011541233680511</v>
      </c>
    </row>
    <row r="8" spans="1:27" x14ac:dyDescent="0.25">
      <c r="A8" s="63">
        <v>5</v>
      </c>
      <c r="B8" s="31">
        <v>51.999999999941792</v>
      </c>
      <c r="C8" s="3">
        <v>12.95</v>
      </c>
      <c r="D8" s="3">
        <v>3.25</v>
      </c>
      <c r="E8" s="3">
        <v>1.55</v>
      </c>
      <c r="F8" s="3">
        <v>8.3000000000000007</v>
      </c>
      <c r="G8" s="3">
        <v>2</v>
      </c>
      <c r="H8" s="3">
        <v>0.3</v>
      </c>
      <c r="I8" s="3">
        <v>0.1</v>
      </c>
      <c r="J8" s="31">
        <v>28.450000000000003</v>
      </c>
      <c r="K8" s="25">
        <v>187</v>
      </c>
      <c r="L8" s="25">
        <v>187</v>
      </c>
      <c r="M8" s="56">
        <f t="shared" si="0"/>
        <v>0.4551845342706502</v>
      </c>
      <c r="N8" s="57">
        <f t="shared" si="1"/>
        <v>0.11423550087873462</v>
      </c>
      <c r="O8" s="57">
        <f t="shared" si="2"/>
        <v>5.4481546572934969E-2</v>
      </c>
      <c r="P8" s="57">
        <f t="shared" si="3"/>
        <v>0.29173989455184535</v>
      </c>
      <c r="Q8" s="57">
        <f t="shared" si="4"/>
        <v>7.0298769771528991E-2</v>
      </c>
      <c r="R8" s="57">
        <f t="shared" si="5"/>
        <v>1.0544815465729348E-2</v>
      </c>
      <c r="S8" s="58">
        <f t="shared" si="6"/>
        <v>3.5149384885764497E-3</v>
      </c>
      <c r="T8" s="48">
        <f t="shared" ref="T8:Y8" si="8">LN((C8-C$15)/(C$3/C$15))</f>
        <v>-0.83387484005506451</v>
      </c>
      <c r="U8" s="49">
        <f t="shared" si="8"/>
        <v>-0.68752918825572185</v>
      </c>
      <c r="V8" s="49">
        <f t="shared" si="8"/>
        <v>-1.3633048428951919</v>
      </c>
      <c r="W8" s="49">
        <f t="shared" si="8"/>
        <v>0.30907326243309885</v>
      </c>
      <c r="X8" s="49">
        <f t="shared" si="8"/>
        <v>-1.9542783987258296</v>
      </c>
      <c r="Y8" s="49">
        <f t="shared" si="8"/>
        <v>-3.6888794541139367</v>
      </c>
      <c r="Z8" s="49"/>
      <c r="AA8" s="50">
        <f t="shared" ref="AA8:AA14" si="9">LN((J8-J$15)/(J$3/J$15))</f>
        <v>1.1928570801708369</v>
      </c>
    </row>
    <row r="9" spans="1:27" x14ac:dyDescent="0.25">
      <c r="A9" s="63">
        <v>6</v>
      </c>
      <c r="B9" s="31">
        <v>68.433333333407063</v>
      </c>
      <c r="C9" s="3">
        <v>13.1</v>
      </c>
      <c r="D9" s="3">
        <v>3.15</v>
      </c>
      <c r="E9" s="3">
        <v>1.45</v>
      </c>
      <c r="F9" s="3">
        <v>7.8</v>
      </c>
      <c r="G9" s="3">
        <v>1.9</v>
      </c>
      <c r="H9" s="3">
        <v>0.25</v>
      </c>
      <c r="I9" s="3">
        <v>0.15</v>
      </c>
      <c r="J9" s="31">
        <v>27.799999999999997</v>
      </c>
      <c r="K9" s="25">
        <v>185</v>
      </c>
      <c r="L9" s="25">
        <v>185</v>
      </c>
      <c r="M9" s="56">
        <f t="shared" si="0"/>
        <v>0.47122302158273383</v>
      </c>
      <c r="N9" s="57">
        <f t="shared" si="1"/>
        <v>0.11330935251798561</v>
      </c>
      <c r="O9" s="57">
        <f t="shared" si="2"/>
        <v>5.2158273381294966E-2</v>
      </c>
      <c r="P9" s="57">
        <f t="shared" si="3"/>
        <v>0.28057553956834536</v>
      </c>
      <c r="Q9" s="57">
        <f t="shared" si="4"/>
        <v>6.83453237410072E-2</v>
      </c>
      <c r="R9" s="57">
        <f t="shared" si="5"/>
        <v>8.9928057553956848E-3</v>
      </c>
      <c r="S9" s="58">
        <f t="shared" si="6"/>
        <v>5.3956834532374104E-3</v>
      </c>
      <c r="T9" s="48">
        <f t="shared" ref="T9:X10" si="10">LN((C9-C$15)/(C$3/C$15))</f>
        <v>-0.54619276760328261</v>
      </c>
      <c r="U9" s="49">
        <f t="shared" si="10"/>
        <v>-0.84167986808298012</v>
      </c>
      <c r="V9" s="49">
        <f t="shared" si="10"/>
        <v>-1.563975538357343</v>
      </c>
      <c r="W9" s="49">
        <f t="shared" si="10"/>
        <v>0.10427884978708525</v>
      </c>
      <c r="X9" s="49">
        <f t="shared" si="10"/>
        <v>-2.3597435068339943</v>
      </c>
      <c r="Y9" s="49"/>
      <c r="Z9" s="49">
        <f>LN((I9-I$15)/(I$3/I$15))</f>
        <v>-4.0943445622221004</v>
      </c>
      <c r="AA9" s="50">
        <f t="shared" si="9"/>
        <v>1.0456994358345479</v>
      </c>
    </row>
    <row r="10" spans="1:27" x14ac:dyDescent="0.25">
      <c r="A10" s="63">
        <v>7</v>
      </c>
      <c r="B10" s="31">
        <v>75.583333333313931</v>
      </c>
      <c r="C10" s="3">
        <v>12.8</v>
      </c>
      <c r="D10" s="3">
        <v>3.05</v>
      </c>
      <c r="E10" s="3">
        <v>1.35</v>
      </c>
      <c r="F10" s="3">
        <v>7.45</v>
      </c>
      <c r="G10" s="3">
        <v>1.8</v>
      </c>
      <c r="H10" s="3">
        <v>0.25</v>
      </c>
      <c r="I10" s="3">
        <v>0.1</v>
      </c>
      <c r="J10" s="31">
        <v>26.800000000000004</v>
      </c>
      <c r="K10" s="25">
        <v>182</v>
      </c>
      <c r="L10" s="25">
        <v>182</v>
      </c>
      <c r="M10" s="56">
        <f t="shared" si="0"/>
        <v>0.4776119402985074</v>
      </c>
      <c r="N10" s="57">
        <f t="shared" si="1"/>
        <v>0.11380597014925371</v>
      </c>
      <c r="O10" s="57">
        <f t="shared" si="2"/>
        <v>5.0373134328358202E-2</v>
      </c>
      <c r="P10" s="57">
        <f t="shared" si="3"/>
        <v>0.27798507462686561</v>
      </c>
      <c r="Q10" s="57">
        <f t="shared" si="4"/>
        <v>6.7164179104477598E-2</v>
      </c>
      <c r="R10" s="57">
        <f t="shared" si="5"/>
        <v>9.3283582089552231E-3</v>
      </c>
      <c r="S10" s="58">
        <f t="shared" si="6"/>
        <v>3.731343283582089E-3</v>
      </c>
      <c r="T10" s="48">
        <f t="shared" si="10"/>
        <v>-1.2393399481632248</v>
      </c>
      <c r="U10" s="49">
        <f t="shared" si="10"/>
        <v>-1.0240014248769349</v>
      </c>
      <c r="V10" s="49">
        <f t="shared" si="10"/>
        <v>-1.8152899666382489</v>
      </c>
      <c r="W10" s="49">
        <f t="shared" si="10"/>
        <v>-6.8992871486951199E-2</v>
      </c>
      <c r="X10" s="240">
        <f t="shared" si="10"/>
        <v>-3.0528906873939388</v>
      </c>
      <c r="Y10" s="49"/>
      <c r="Z10" s="49"/>
      <c r="AA10" s="50">
        <f t="shared" si="9"/>
        <v>0.76611457361538859</v>
      </c>
    </row>
    <row r="11" spans="1:27" x14ac:dyDescent="0.25">
      <c r="A11" s="63">
        <v>8</v>
      </c>
      <c r="B11" s="31">
        <v>140.95000000001164</v>
      </c>
      <c r="C11" s="3">
        <v>12.3</v>
      </c>
      <c r="D11" s="3">
        <v>2.7</v>
      </c>
      <c r="E11" s="3">
        <v>1.1000000000000001</v>
      </c>
      <c r="F11" s="3">
        <v>5.9</v>
      </c>
      <c r="G11" s="3">
        <v>1.6</v>
      </c>
      <c r="H11" s="3">
        <v>0.25</v>
      </c>
      <c r="I11" s="3">
        <v>0.1</v>
      </c>
      <c r="J11" s="31">
        <v>23.950000000000003</v>
      </c>
      <c r="K11" s="25">
        <v>180</v>
      </c>
      <c r="L11" s="25">
        <v>180</v>
      </c>
      <c r="M11" s="56">
        <f t="shared" si="0"/>
        <v>0.51356993736951984</v>
      </c>
      <c r="N11" s="57">
        <f t="shared" si="1"/>
        <v>0.11273486430062631</v>
      </c>
      <c r="O11" s="57">
        <f t="shared" si="2"/>
        <v>4.5929018789144051E-2</v>
      </c>
      <c r="P11" s="57">
        <f t="shared" si="3"/>
        <v>0.24634655532359079</v>
      </c>
      <c r="Q11" s="57">
        <f t="shared" si="4"/>
        <v>6.6805845511482248E-2</v>
      </c>
      <c r="R11" s="57">
        <f t="shared" si="5"/>
        <v>1.04384133611691E-2</v>
      </c>
      <c r="S11" s="58">
        <f t="shared" si="6"/>
        <v>4.1753653444676405E-3</v>
      </c>
      <c r="T11" s="48"/>
      <c r="U11" s="49">
        <f t="shared" ref="U11:W14" si="11">LN((D11-D$15)/(D$3/D$15))</f>
        <v>-2.2279742292028684</v>
      </c>
      <c r="V11" s="49">
        <f t="shared" si="11"/>
        <v>-3.0680529351336161</v>
      </c>
      <c r="W11" s="49">
        <f t="shared" si="11"/>
        <v>-1.8881513149031186</v>
      </c>
      <c r="X11" s="49"/>
      <c r="Y11" s="49"/>
      <c r="Z11" s="49"/>
      <c r="AA11" s="50">
        <f t="shared" si="9"/>
        <v>-1.75158189899559</v>
      </c>
    </row>
    <row r="12" spans="1:27" x14ac:dyDescent="0.25">
      <c r="A12" s="63">
        <v>9</v>
      </c>
      <c r="B12" s="31">
        <v>148.31666666659294</v>
      </c>
      <c r="C12" s="3">
        <v>12.45</v>
      </c>
      <c r="D12" s="3">
        <v>2.6</v>
      </c>
      <c r="E12" s="3">
        <v>1.05</v>
      </c>
      <c r="F12" s="3">
        <v>5.85</v>
      </c>
      <c r="G12" s="3">
        <v>1.6</v>
      </c>
      <c r="H12" s="3">
        <v>0.25</v>
      </c>
      <c r="I12" s="3">
        <v>0.1</v>
      </c>
      <c r="J12" s="31">
        <v>23.9</v>
      </c>
      <c r="K12" s="25">
        <v>177</v>
      </c>
      <c r="L12" s="25">
        <v>177</v>
      </c>
      <c r="M12" s="56">
        <f t="shared" si="0"/>
        <v>0.52092050209205021</v>
      </c>
      <c r="N12" s="57">
        <f t="shared" si="1"/>
        <v>0.10878661087866109</v>
      </c>
      <c r="O12" s="57">
        <f t="shared" si="2"/>
        <v>4.3933054393305443E-2</v>
      </c>
      <c r="P12" s="57">
        <f t="shared" si="3"/>
        <v>0.24476987447698745</v>
      </c>
      <c r="Q12" s="57">
        <f t="shared" si="4"/>
        <v>6.6945606694560678E-2</v>
      </c>
      <c r="R12" s="57">
        <f t="shared" si="5"/>
        <v>1.0460251046025106E-2</v>
      </c>
      <c r="S12" s="58">
        <f t="shared" si="6"/>
        <v>4.1841004184100423E-3</v>
      </c>
      <c r="T12" s="48"/>
      <c r="U12" s="49">
        <f t="shared" si="11"/>
        <v>-3.3265865178709753</v>
      </c>
      <c r="V12" s="49">
        <f t="shared" si="11"/>
        <v>-3.7612001156935615</v>
      </c>
      <c r="W12" s="49">
        <f t="shared" si="11"/>
        <v>-2.0704728716970755</v>
      </c>
      <c r="X12" s="49"/>
      <c r="Y12" s="49"/>
      <c r="Z12" s="49"/>
      <c r="AA12" s="50">
        <f t="shared" si="9"/>
        <v>-1.9747254503098175</v>
      </c>
    </row>
    <row r="13" spans="1:27" x14ac:dyDescent="0.25">
      <c r="A13" s="63">
        <v>10</v>
      </c>
      <c r="B13" s="31">
        <v>164.58333333337214</v>
      </c>
      <c r="C13" s="3">
        <v>12.5</v>
      </c>
      <c r="D13" s="3">
        <v>2.65</v>
      </c>
      <c r="E13" s="3">
        <v>1.05</v>
      </c>
      <c r="F13" s="3">
        <v>5.8</v>
      </c>
      <c r="G13" s="3">
        <v>1.65</v>
      </c>
      <c r="H13" s="3">
        <v>0.25</v>
      </c>
      <c r="I13" s="3">
        <v>0.1</v>
      </c>
      <c r="J13" s="31">
        <v>24</v>
      </c>
      <c r="K13" s="25">
        <v>175</v>
      </c>
      <c r="L13" s="25">
        <v>175</v>
      </c>
      <c r="M13" s="56">
        <f t="shared" si="0"/>
        <v>0.52083333333333337</v>
      </c>
      <c r="N13" s="57">
        <f t="shared" si="1"/>
        <v>0.11041666666666666</v>
      </c>
      <c r="O13" s="57">
        <f t="shared" si="2"/>
        <v>4.3750000000000004E-2</v>
      </c>
      <c r="P13" s="57">
        <f t="shared" si="3"/>
        <v>0.24166666666666667</v>
      </c>
      <c r="Q13" s="57">
        <f t="shared" si="4"/>
        <v>6.8749999999999992E-2</v>
      </c>
      <c r="R13" s="57">
        <f t="shared" si="5"/>
        <v>1.0416666666666666E-2</v>
      </c>
      <c r="S13" s="58">
        <f t="shared" si="6"/>
        <v>4.1666666666666666E-3</v>
      </c>
      <c r="T13" s="48"/>
      <c r="U13" s="49">
        <f t="shared" si="11"/>
        <v>-2.6334393373110343</v>
      </c>
      <c r="V13" s="49">
        <f t="shared" si="11"/>
        <v>-3.7612001156935615</v>
      </c>
      <c r="W13" s="49">
        <f t="shared" si="11"/>
        <v>-2.2936164230112843</v>
      </c>
      <c r="X13" s="49"/>
      <c r="Y13" s="49"/>
      <c r="Z13" s="49"/>
      <c r="AA13" s="50">
        <f t="shared" si="9"/>
        <v>-1.5692603422016471</v>
      </c>
    </row>
    <row r="14" spans="1:27" x14ac:dyDescent="0.25">
      <c r="A14" s="63">
        <v>11</v>
      </c>
      <c r="B14" s="31">
        <v>171.70000000001164</v>
      </c>
      <c r="C14" s="3">
        <v>12.5</v>
      </c>
      <c r="D14" s="3">
        <v>2.65</v>
      </c>
      <c r="E14" s="3">
        <v>1.05</v>
      </c>
      <c r="F14" s="3">
        <v>5.85</v>
      </c>
      <c r="G14" s="3">
        <v>1.75</v>
      </c>
      <c r="H14" s="3">
        <v>0.25</v>
      </c>
      <c r="I14" s="3">
        <v>0.15</v>
      </c>
      <c r="J14" s="31">
        <v>24.199999999999996</v>
      </c>
      <c r="K14" s="25">
        <v>172</v>
      </c>
      <c r="L14" s="25">
        <v>172</v>
      </c>
      <c r="M14" s="56">
        <f t="shared" si="0"/>
        <v>0.51652892561983477</v>
      </c>
      <c r="N14" s="57">
        <f t="shared" si="1"/>
        <v>0.10950413223140497</v>
      </c>
      <c r="O14" s="57">
        <f t="shared" si="2"/>
        <v>4.3388429752066124E-2</v>
      </c>
      <c r="P14" s="57">
        <f t="shared" si="3"/>
        <v>0.24173553719008267</v>
      </c>
      <c r="Q14" s="57">
        <f t="shared" si="4"/>
        <v>7.2314049586776868E-2</v>
      </c>
      <c r="R14" s="57">
        <f t="shared" si="5"/>
        <v>1.0330578512396696E-2</v>
      </c>
      <c r="S14" s="58">
        <f t="shared" si="6"/>
        <v>6.1983471074380176E-3</v>
      </c>
      <c r="T14" s="48"/>
      <c r="U14" s="49">
        <f t="shared" si="11"/>
        <v>-2.6334393373110343</v>
      </c>
      <c r="V14" s="49">
        <f t="shared" si="11"/>
        <v>-3.7612001156935615</v>
      </c>
      <c r="W14" s="49">
        <f t="shared" si="11"/>
        <v>-2.0704728716970755</v>
      </c>
      <c r="X14" s="49">
        <f>LN((G14-G$15)/(G$3/G$15))</f>
        <v>-3.7460378679538842</v>
      </c>
      <c r="Y14" s="49"/>
      <c r="Z14" s="49">
        <f>LN((I14-I$15)/(I$3/I$15))</f>
        <v>-4.0943445622221004</v>
      </c>
      <c r="AA14" s="50">
        <f t="shared" si="9"/>
        <v>-1.0584347184356659</v>
      </c>
    </row>
    <row r="15" spans="1:27" x14ac:dyDescent="0.25">
      <c r="A15" s="64">
        <v>12</v>
      </c>
      <c r="B15" s="35">
        <v>188.65000000008149</v>
      </c>
      <c r="C15" s="39">
        <v>12.5</v>
      </c>
      <c r="D15" s="39">
        <v>2.5499999999999998</v>
      </c>
      <c r="E15" s="39">
        <v>1</v>
      </c>
      <c r="F15" s="39">
        <v>5.6</v>
      </c>
      <c r="G15" s="39">
        <v>1.7</v>
      </c>
      <c r="H15" s="39">
        <v>0.25</v>
      </c>
      <c r="I15" s="39">
        <v>0.1</v>
      </c>
      <c r="J15" s="35">
        <v>23.7</v>
      </c>
      <c r="K15" s="38">
        <v>170</v>
      </c>
      <c r="L15" s="38">
        <v>170</v>
      </c>
      <c r="M15" s="59">
        <f t="shared" si="0"/>
        <v>0.52742616033755274</v>
      </c>
      <c r="N15" s="60">
        <f t="shared" si="1"/>
        <v>0.10759493670886075</v>
      </c>
      <c r="O15" s="60">
        <f t="shared" si="2"/>
        <v>4.2194092827004218E-2</v>
      </c>
      <c r="P15" s="60">
        <f t="shared" si="3"/>
        <v>0.23628691983122363</v>
      </c>
      <c r="Q15" s="60">
        <f t="shared" si="4"/>
        <v>7.1729957805907171E-2</v>
      </c>
      <c r="R15" s="60">
        <f t="shared" si="5"/>
        <v>1.0548523206751054E-2</v>
      </c>
      <c r="S15" s="61">
        <f t="shared" si="6"/>
        <v>4.2194092827004225E-3</v>
      </c>
      <c r="T15" s="53"/>
      <c r="U15" s="54"/>
      <c r="V15" s="54"/>
      <c r="W15" s="54"/>
      <c r="X15" s="54"/>
      <c r="Y15" s="54"/>
      <c r="Z15" s="54"/>
      <c r="AA15" s="55"/>
    </row>
    <row r="16" spans="1:27" x14ac:dyDescent="0.25">
      <c r="T16" s="51"/>
      <c r="U16" s="51"/>
      <c r="V16" s="51"/>
      <c r="W16" s="51"/>
      <c r="X16" s="51"/>
      <c r="Y16" s="51"/>
      <c r="Z16" s="51"/>
      <c r="AA16" s="51"/>
    </row>
    <row r="17" spans="2:27" x14ac:dyDescent="0.25">
      <c r="B17" s="36" t="s">
        <v>164</v>
      </c>
      <c r="C17" s="27">
        <f t="shared" ref="C17:J17" si="12">(C3*($K$3/1000))/(($K$3+$L$3)/1000)</f>
        <v>6.4749999999999996</v>
      </c>
      <c r="D17" s="27">
        <f t="shared" si="12"/>
        <v>1.7749999999999999</v>
      </c>
      <c r="E17" s="27">
        <f t="shared" si="12"/>
        <v>1.075</v>
      </c>
      <c r="F17" s="27">
        <f t="shared" si="12"/>
        <v>5.55</v>
      </c>
      <c r="G17" s="27">
        <f t="shared" si="12"/>
        <v>1.8</v>
      </c>
      <c r="H17" s="27">
        <f t="shared" si="12"/>
        <v>0.25</v>
      </c>
      <c r="I17" s="27">
        <f t="shared" si="12"/>
        <v>0.15</v>
      </c>
      <c r="J17" s="27">
        <f t="shared" si="12"/>
        <v>17.074999999999999</v>
      </c>
      <c r="S17" t="s">
        <v>45</v>
      </c>
      <c r="T17" s="147">
        <f>-SLOPE(T3:T15,$B$3:$B$15)</f>
        <v>-7.0350926965232234E-4</v>
      </c>
      <c r="U17" s="147">
        <f t="shared" ref="U17:AA17" si="13">-SLOPE(U3:U15,$B$3:$B$15)</f>
        <v>1.6381842542643892E-2</v>
      </c>
      <c r="V17" s="147">
        <f t="shared" si="13"/>
        <v>1.9762708672163787E-2</v>
      </c>
      <c r="W17" s="147">
        <f t="shared" si="13"/>
        <v>2.0704669476801659E-2</v>
      </c>
      <c r="X17" s="147">
        <f t="shared" si="13"/>
        <v>2.271060931091675E-2</v>
      </c>
      <c r="Y17" s="147">
        <f t="shared" si="13"/>
        <v>2.9064102914036917E-2</v>
      </c>
      <c r="Z17" s="147">
        <f t="shared" si="13"/>
        <v>5.4666010924598911E-3</v>
      </c>
      <c r="AA17" s="147">
        <f t="shared" si="13"/>
        <v>2.3499724959408583E-2</v>
      </c>
    </row>
    <row r="18" spans="2:27" x14ac:dyDescent="0.25">
      <c r="S18" t="s">
        <v>43</v>
      </c>
      <c r="T18" s="147">
        <f>(CORREL(T3:T15,$B$3:$B$15))^2</f>
        <v>2.0137048528002994E-3</v>
      </c>
      <c r="U18" s="147">
        <f t="shared" ref="U18:AA18" si="14">(CORREL(U3:U15,$B$3:$B$15))^2</f>
        <v>0.9069707237804886</v>
      </c>
      <c r="V18" s="147">
        <f t="shared" si="14"/>
        <v>0.98052036639877949</v>
      </c>
      <c r="W18" s="147">
        <f t="shared" si="14"/>
        <v>0.97694127334666747</v>
      </c>
      <c r="X18" s="147">
        <f t="shared" si="14"/>
        <v>0.86630319743717521</v>
      </c>
      <c r="Y18" s="147">
        <f t="shared" si="14"/>
        <v>0.94038030788210114</v>
      </c>
      <c r="Z18" s="147">
        <f t="shared" si="14"/>
        <v>0.28026397405487297</v>
      </c>
      <c r="AA18" s="147">
        <f t="shared" si="14"/>
        <v>0.92317089797941787</v>
      </c>
    </row>
    <row r="19" spans="2:27" x14ac:dyDescent="0.25">
      <c r="B19" s="82"/>
      <c r="C19" s="37"/>
      <c r="D19" s="37"/>
      <c r="E19" s="37"/>
      <c r="F19" s="37"/>
      <c r="G19" s="37"/>
      <c r="H19" s="37"/>
      <c r="I19" s="37"/>
      <c r="J19" s="37"/>
      <c r="K19" s="27"/>
      <c r="L19" s="27"/>
      <c r="S19" t="s">
        <v>46</v>
      </c>
      <c r="T19" s="148">
        <f>(T17*($K$3/1000000))/Constants!$K$8</f>
        <v>-2.392980725433519E-5</v>
      </c>
      <c r="U19" s="148">
        <f>(U17*($K$3/1000000))/Constants!$K$8</f>
        <v>5.5722696405986522E-4</v>
      </c>
      <c r="V19" s="148">
        <f>(V17*($K$3/1000000))/Constants!$K$8</f>
        <v>6.7222683445546669E-4</v>
      </c>
      <c r="W19" s="148">
        <f>(W17*($K$3/1000000))/Constants!$K$8</f>
        <v>7.0426755014818619E-4</v>
      </c>
      <c r="X19" s="148">
        <f>(X17*($K$3/1000000))/Constants!$K$8</f>
        <v>7.7249942094910669E-4</v>
      </c>
      <c r="Y19" s="148">
        <f>(Y17*($K$3/1000000))/Constants!$K$8</f>
        <v>9.8861295899737569E-4</v>
      </c>
      <c r="Z19" s="148">
        <f>(Z17*($K$3/1000000))/Constants!$K$8</f>
        <v>1.8594596563532506E-4</v>
      </c>
      <c r="AA19" s="148">
        <f>(AA17*($K$3/1000000))/Constants!$K$8</f>
        <v>7.9934112181130222E-4</v>
      </c>
    </row>
    <row r="20" spans="2:27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S20" t="s">
        <v>47</v>
      </c>
      <c r="T20" s="148">
        <f>T19/3600</f>
        <v>-6.6471686817597749E-9</v>
      </c>
      <c r="U20" s="148">
        <f t="shared" ref="U20:AA20" si="15">U19/3600</f>
        <v>1.5478526779440701E-7</v>
      </c>
      <c r="V20" s="148">
        <f t="shared" si="15"/>
        <v>1.8672967623762964E-7</v>
      </c>
      <c r="W20" s="148">
        <f t="shared" si="15"/>
        <v>1.9562987504116282E-7</v>
      </c>
      <c r="X20" s="148">
        <f t="shared" si="15"/>
        <v>2.1458317248586297E-7</v>
      </c>
      <c r="Y20" s="148">
        <f t="shared" si="15"/>
        <v>2.7461471083260436E-7</v>
      </c>
      <c r="Z20" s="148">
        <f t="shared" si="15"/>
        <v>5.1651657120923626E-8</v>
      </c>
      <c r="AA20" s="148">
        <f t="shared" si="15"/>
        <v>2.2203920050313951E-7</v>
      </c>
    </row>
    <row r="21" spans="2:27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S21" s="1" t="s">
        <v>64</v>
      </c>
      <c r="T21" s="153">
        <f>T20*10^6</f>
        <v>-6.6471686817597747E-3</v>
      </c>
      <c r="U21" s="153">
        <f t="shared" ref="U21:AA21" si="16">U20*10^6</f>
        <v>0.15478526779440702</v>
      </c>
      <c r="V21" s="153">
        <f t="shared" si="16"/>
        <v>0.18672967623762962</v>
      </c>
      <c r="W21" s="153">
        <f t="shared" si="16"/>
        <v>0.19562987504116283</v>
      </c>
      <c r="X21" s="153">
        <f t="shared" si="16"/>
        <v>0.21458317248586298</v>
      </c>
      <c r="Y21" s="153">
        <f t="shared" si="16"/>
        <v>0.27461471083260436</v>
      </c>
      <c r="Z21" s="153">
        <f t="shared" si="16"/>
        <v>5.1651657120923629E-2</v>
      </c>
      <c r="AA21" s="153">
        <f t="shared" si="16"/>
        <v>0.22203920050313949</v>
      </c>
    </row>
    <row r="23" spans="2:27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27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</row>
  </sheetData>
  <mergeCells count="6">
    <mergeCell ref="T1:AA1"/>
    <mergeCell ref="A1:A2"/>
    <mergeCell ref="B1:B2"/>
    <mergeCell ref="C1:J1"/>
    <mergeCell ref="K1:L1"/>
    <mergeCell ref="M1:S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4"/>
  <sheetViews>
    <sheetView workbookViewId="0">
      <selection sqref="A1:A2"/>
    </sheetView>
  </sheetViews>
  <sheetFormatPr defaultRowHeight="15" x14ac:dyDescent="0.25"/>
  <sheetData>
    <row r="1" spans="1:27" s="3" customFormat="1" x14ac:dyDescent="0.25">
      <c r="A1" s="269" t="s">
        <v>31</v>
      </c>
      <c r="B1" s="271" t="s">
        <v>32</v>
      </c>
      <c r="C1" s="273" t="s">
        <v>34</v>
      </c>
      <c r="D1" s="274"/>
      <c r="E1" s="274"/>
      <c r="F1" s="274"/>
      <c r="G1" s="274"/>
      <c r="H1" s="274"/>
      <c r="I1" s="274"/>
      <c r="J1" s="271"/>
      <c r="K1" s="273" t="s">
        <v>35</v>
      </c>
      <c r="L1" s="271"/>
      <c r="M1" s="273" t="s">
        <v>44</v>
      </c>
      <c r="N1" s="274"/>
      <c r="O1" s="274"/>
      <c r="P1" s="274"/>
      <c r="Q1" s="274"/>
      <c r="R1" s="274"/>
      <c r="S1" s="271"/>
      <c r="T1" s="278" t="s">
        <v>72</v>
      </c>
      <c r="U1" s="279"/>
      <c r="V1" s="279"/>
      <c r="W1" s="279"/>
      <c r="X1" s="279"/>
      <c r="Y1" s="279"/>
      <c r="Z1" s="279"/>
      <c r="AA1" s="280"/>
    </row>
    <row r="2" spans="1:27" s="3" customFormat="1" x14ac:dyDescent="0.25">
      <c r="A2" s="270"/>
      <c r="B2" s="272"/>
      <c r="C2" s="38" t="s">
        <v>39</v>
      </c>
      <c r="D2" s="39" t="s">
        <v>66</v>
      </c>
      <c r="E2" s="39" t="s">
        <v>68</v>
      </c>
      <c r="F2" s="39" t="s">
        <v>69</v>
      </c>
      <c r="G2" s="39" t="s">
        <v>70</v>
      </c>
      <c r="H2" s="39" t="s">
        <v>71</v>
      </c>
      <c r="I2" s="39" t="s">
        <v>67</v>
      </c>
      <c r="J2" s="40" t="s">
        <v>23</v>
      </c>
      <c r="K2" s="38" t="s">
        <v>42</v>
      </c>
      <c r="L2" s="40" t="s">
        <v>38</v>
      </c>
      <c r="M2" s="45" t="s">
        <v>39</v>
      </c>
      <c r="N2" s="46" t="s">
        <v>66</v>
      </c>
      <c r="O2" s="46" t="s">
        <v>68</v>
      </c>
      <c r="P2" s="46" t="s">
        <v>69</v>
      </c>
      <c r="Q2" s="46" t="s">
        <v>70</v>
      </c>
      <c r="R2" s="46" t="s">
        <v>71</v>
      </c>
      <c r="S2" s="46" t="s">
        <v>67</v>
      </c>
      <c r="T2" s="45" t="s">
        <v>39</v>
      </c>
      <c r="U2" s="46" t="s">
        <v>66</v>
      </c>
      <c r="V2" s="46" t="s">
        <v>68</v>
      </c>
      <c r="W2" s="46" t="s">
        <v>69</v>
      </c>
      <c r="X2" s="46" t="s">
        <v>70</v>
      </c>
      <c r="Y2" s="46" t="s">
        <v>71</v>
      </c>
      <c r="Z2" s="46" t="s">
        <v>67</v>
      </c>
      <c r="AA2" s="47" t="s">
        <v>23</v>
      </c>
    </row>
    <row r="3" spans="1:27" x14ac:dyDescent="0.25">
      <c r="A3" s="63">
        <v>0</v>
      </c>
      <c r="B3" s="77">
        <v>0</v>
      </c>
      <c r="C3" s="25">
        <v>9.9</v>
      </c>
      <c r="D3" s="3">
        <v>3.4</v>
      </c>
      <c r="E3" s="3">
        <v>2.35</v>
      </c>
      <c r="F3" s="3">
        <v>15.65</v>
      </c>
      <c r="G3" s="3">
        <v>4.2</v>
      </c>
      <c r="H3" s="3">
        <v>0.45</v>
      </c>
      <c r="I3" s="3">
        <v>0.45</v>
      </c>
      <c r="J3" s="31">
        <v>36.400000000000006</v>
      </c>
      <c r="K3" s="25">
        <v>200</v>
      </c>
      <c r="L3" s="26">
        <v>200</v>
      </c>
      <c r="M3" s="56">
        <f t="shared" ref="M3:M15" si="0">C3/$J3</f>
        <v>0.27197802197802196</v>
      </c>
      <c r="N3" s="57">
        <f t="shared" ref="N3:N15" si="1">D3/$J3</f>
        <v>9.3406593406593394E-2</v>
      </c>
      <c r="O3" s="57">
        <f t="shared" ref="O3:O15" si="2">E3/$J3</f>
        <v>6.4560439560439553E-2</v>
      </c>
      <c r="P3" s="57">
        <f t="shared" ref="P3:P15" si="3">F3/$J3</f>
        <v>0.42994505494505486</v>
      </c>
      <c r="Q3" s="57">
        <f t="shared" ref="Q3:Q15" si="4">G3/$J3</f>
        <v>0.11538461538461538</v>
      </c>
      <c r="R3" s="57">
        <f t="shared" ref="R3:R15" si="5">H3/$J3</f>
        <v>1.236263736263736E-2</v>
      </c>
      <c r="S3" s="58">
        <f t="shared" ref="S3:S15" si="6">I3/$J3</f>
        <v>1.236263736263736E-2</v>
      </c>
      <c r="T3" s="48" t="e">
        <f t="shared" ref="T3:T14" si="7">LN((C3-C$15)/(C$3/C$15))</f>
        <v>#NUM!</v>
      </c>
      <c r="U3" s="49" t="e">
        <f t="shared" ref="U3:U14" si="8">LN((D3-D$15)/(D$3/D$15))</f>
        <v>#NUM!</v>
      </c>
      <c r="V3" s="49" t="e">
        <f t="shared" ref="V3:V14" si="9">LN((E3-E$15)/(E$3/E$15))</f>
        <v>#NUM!</v>
      </c>
      <c r="W3" s="49" t="e">
        <f t="shared" ref="W3:W14" si="10">LN((F3-F$15)/(F$3/F$15))</f>
        <v>#NUM!</v>
      </c>
      <c r="X3" s="49" t="e">
        <f t="shared" ref="X3:X14" si="11">LN((G3-G$15)/(G$3/G$15))</f>
        <v>#NUM!</v>
      </c>
      <c r="Y3" s="49" t="e">
        <f t="shared" ref="Y3:Y14" si="12">LN((H3-H$15)/(H$3/H$15))</f>
        <v>#NUM!</v>
      </c>
      <c r="Z3" s="49" t="e">
        <f t="shared" ref="Z3:Z14" si="13">LN((I3-I$15)/(I$3/I$15))</f>
        <v>#NUM!</v>
      </c>
      <c r="AA3" s="50" t="e">
        <f t="shared" ref="AA3:AA14" si="14">LN((J3-J$15)/(J$3/J$15))</f>
        <v>#NUM!</v>
      </c>
    </row>
    <row r="4" spans="1:27" x14ac:dyDescent="0.25">
      <c r="A4" s="63">
        <v>1</v>
      </c>
      <c r="B4" s="77">
        <v>2.1166666667559184</v>
      </c>
      <c r="C4" s="25">
        <v>10.199999999999999</v>
      </c>
      <c r="D4" s="3">
        <v>3.5</v>
      </c>
      <c r="E4" s="3">
        <v>2.35</v>
      </c>
      <c r="F4" s="3">
        <v>15.8</v>
      </c>
      <c r="G4" s="3">
        <v>4.3</v>
      </c>
      <c r="H4" s="3">
        <v>0.45</v>
      </c>
      <c r="I4" s="3">
        <v>0.45</v>
      </c>
      <c r="J4" s="31">
        <v>37.050000000000004</v>
      </c>
      <c r="K4" s="25">
        <v>197</v>
      </c>
      <c r="L4" s="25">
        <v>197</v>
      </c>
      <c r="M4" s="56">
        <f t="shared" si="0"/>
        <v>0.27530364372469629</v>
      </c>
      <c r="N4" s="57">
        <f t="shared" si="1"/>
        <v>9.446693657219972E-2</v>
      </c>
      <c r="O4" s="57">
        <f t="shared" si="2"/>
        <v>6.3427800269905535E-2</v>
      </c>
      <c r="P4" s="57">
        <f t="shared" si="3"/>
        <v>0.4264507422402159</v>
      </c>
      <c r="Q4" s="57">
        <f t="shared" si="4"/>
        <v>0.11605937921727394</v>
      </c>
      <c r="R4" s="57">
        <f t="shared" si="5"/>
        <v>1.2145748987854249E-2</v>
      </c>
      <c r="S4" s="58">
        <f t="shared" si="6"/>
        <v>1.2145748987854249E-2</v>
      </c>
      <c r="T4" s="48" t="e">
        <f t="shared" si="7"/>
        <v>#NUM!</v>
      </c>
      <c r="U4" s="49" t="e">
        <f t="shared" si="8"/>
        <v>#NUM!</v>
      </c>
      <c r="V4" s="49" t="e">
        <f t="shared" si="9"/>
        <v>#NUM!</v>
      </c>
      <c r="W4" s="49" t="e">
        <f t="shared" si="10"/>
        <v>#NUM!</v>
      </c>
      <c r="X4" s="49" t="e">
        <f t="shared" si="11"/>
        <v>#NUM!</v>
      </c>
      <c r="Y4" s="49" t="e">
        <f t="shared" si="12"/>
        <v>#NUM!</v>
      </c>
      <c r="Z4" s="49" t="e">
        <f t="shared" si="13"/>
        <v>#NUM!</v>
      </c>
      <c r="AA4" s="50" t="e">
        <f t="shared" si="14"/>
        <v>#NUM!</v>
      </c>
    </row>
    <row r="5" spans="1:27" x14ac:dyDescent="0.25">
      <c r="A5" s="63">
        <v>2</v>
      </c>
      <c r="B5" s="77">
        <v>17.750000000058208</v>
      </c>
      <c r="C5" s="25">
        <v>9.5500000000000007</v>
      </c>
      <c r="D5" s="3">
        <v>3.25</v>
      </c>
      <c r="E5" s="3">
        <v>2.15</v>
      </c>
      <c r="F5" s="3">
        <v>14.75</v>
      </c>
      <c r="G5" s="3">
        <v>4</v>
      </c>
      <c r="H5" s="3">
        <v>0.4</v>
      </c>
      <c r="I5" s="3">
        <v>0.4</v>
      </c>
      <c r="J5" s="31">
        <v>34.5</v>
      </c>
      <c r="K5" s="25">
        <v>195</v>
      </c>
      <c r="L5" s="25">
        <v>195</v>
      </c>
      <c r="M5" s="56">
        <f t="shared" si="0"/>
        <v>0.27681159420289858</v>
      </c>
      <c r="N5" s="57">
        <f t="shared" si="1"/>
        <v>9.420289855072464E-2</v>
      </c>
      <c r="O5" s="57">
        <f t="shared" si="2"/>
        <v>6.2318840579710141E-2</v>
      </c>
      <c r="P5" s="57">
        <f t="shared" si="3"/>
        <v>0.42753623188405798</v>
      </c>
      <c r="Q5" s="57">
        <f t="shared" si="4"/>
        <v>0.11594202898550725</v>
      </c>
      <c r="R5" s="57">
        <f t="shared" si="5"/>
        <v>1.1594202898550725E-2</v>
      </c>
      <c r="S5" s="58">
        <f t="shared" si="6"/>
        <v>1.1594202898550725E-2</v>
      </c>
      <c r="T5" s="48" t="e">
        <f t="shared" si="7"/>
        <v>#NUM!</v>
      </c>
      <c r="U5" s="49" t="e">
        <f t="shared" si="8"/>
        <v>#NUM!</v>
      </c>
      <c r="V5" s="49" t="e">
        <f t="shared" si="9"/>
        <v>#NUM!</v>
      </c>
      <c r="W5" s="49" t="e">
        <f t="shared" si="10"/>
        <v>#NUM!</v>
      </c>
      <c r="X5" s="49" t="e">
        <f t="shared" si="11"/>
        <v>#NUM!</v>
      </c>
      <c r="Y5" s="49" t="e">
        <f t="shared" si="12"/>
        <v>#NUM!</v>
      </c>
      <c r="Z5" s="49" t="e">
        <f t="shared" si="13"/>
        <v>#NUM!</v>
      </c>
      <c r="AA5" s="50" t="e">
        <f t="shared" si="14"/>
        <v>#NUM!</v>
      </c>
    </row>
    <row r="6" spans="1:27" x14ac:dyDescent="0.25">
      <c r="A6" s="63">
        <v>3</v>
      </c>
      <c r="B6" s="77">
        <v>25.950000000069849</v>
      </c>
      <c r="C6" s="25">
        <v>10.55</v>
      </c>
      <c r="D6" s="3">
        <v>3.65</v>
      </c>
      <c r="E6" s="3">
        <v>2.4</v>
      </c>
      <c r="F6" s="3">
        <v>16.350000000000001</v>
      </c>
      <c r="G6" s="3">
        <v>4.4000000000000004</v>
      </c>
      <c r="H6" s="3">
        <v>0.45</v>
      </c>
      <c r="I6" s="3">
        <v>0.45</v>
      </c>
      <c r="J6" s="31">
        <v>38.250000000000007</v>
      </c>
      <c r="K6" s="25">
        <v>192</v>
      </c>
      <c r="L6" s="25">
        <v>192</v>
      </c>
      <c r="M6" s="56">
        <f t="shared" si="0"/>
        <v>0.27581699346405225</v>
      </c>
      <c r="N6" s="57">
        <f t="shared" si="1"/>
        <v>9.542483660130717E-2</v>
      </c>
      <c r="O6" s="57">
        <f t="shared" si="2"/>
        <v>6.2745098039215672E-2</v>
      </c>
      <c r="P6" s="57">
        <f t="shared" si="3"/>
        <v>0.42745098039215684</v>
      </c>
      <c r="Q6" s="57">
        <f t="shared" si="4"/>
        <v>0.11503267973856209</v>
      </c>
      <c r="R6" s="57">
        <f t="shared" si="5"/>
        <v>1.1764705882352939E-2</v>
      </c>
      <c r="S6" s="58">
        <f t="shared" si="6"/>
        <v>1.1764705882352939E-2</v>
      </c>
      <c r="T6" s="48" t="e">
        <f t="shared" si="7"/>
        <v>#NUM!</v>
      </c>
      <c r="U6" s="49" t="e">
        <f t="shared" si="8"/>
        <v>#NUM!</v>
      </c>
      <c r="V6" s="49" t="e">
        <f t="shared" si="9"/>
        <v>#NUM!</v>
      </c>
      <c r="W6" s="49" t="e">
        <f t="shared" si="10"/>
        <v>#NUM!</v>
      </c>
      <c r="X6" s="49" t="e">
        <f t="shared" si="11"/>
        <v>#NUM!</v>
      </c>
      <c r="Y6" s="49" t="e">
        <f t="shared" si="12"/>
        <v>#NUM!</v>
      </c>
      <c r="Z6" s="49" t="e">
        <f t="shared" si="13"/>
        <v>#NUM!</v>
      </c>
      <c r="AA6" s="50" t="e">
        <f t="shared" si="14"/>
        <v>#NUM!</v>
      </c>
    </row>
    <row r="7" spans="1:27" x14ac:dyDescent="0.25">
      <c r="A7" s="63">
        <v>4</v>
      </c>
      <c r="B7" s="77">
        <v>41.683333333348855</v>
      </c>
      <c r="C7" s="25">
        <v>10.4</v>
      </c>
      <c r="D7" s="3">
        <v>3.5</v>
      </c>
      <c r="E7" s="3">
        <v>2.35</v>
      </c>
      <c r="F7" s="3">
        <v>15.85</v>
      </c>
      <c r="G7" s="3">
        <v>4.3</v>
      </c>
      <c r="H7" s="3">
        <v>0.45</v>
      </c>
      <c r="I7" s="3">
        <v>0.45</v>
      </c>
      <c r="J7" s="31">
        <v>37.300000000000004</v>
      </c>
      <c r="K7" s="25">
        <v>190</v>
      </c>
      <c r="L7" s="25">
        <v>190</v>
      </c>
      <c r="M7" s="56">
        <f t="shared" si="0"/>
        <v>0.27882037533512061</v>
      </c>
      <c r="N7" s="57">
        <f t="shared" si="1"/>
        <v>9.3833780160857902E-2</v>
      </c>
      <c r="O7" s="57">
        <f t="shared" si="2"/>
        <v>6.3002680965147453E-2</v>
      </c>
      <c r="P7" s="57">
        <f t="shared" si="3"/>
        <v>0.42493297587131362</v>
      </c>
      <c r="Q7" s="57">
        <f t="shared" si="4"/>
        <v>0.11528150134048255</v>
      </c>
      <c r="R7" s="57">
        <f t="shared" si="5"/>
        <v>1.2064343163538873E-2</v>
      </c>
      <c r="S7" s="58">
        <f t="shared" si="6"/>
        <v>1.2064343163538873E-2</v>
      </c>
      <c r="T7" s="48" t="e">
        <f t="shared" si="7"/>
        <v>#NUM!</v>
      </c>
      <c r="U7" s="49" t="e">
        <f t="shared" si="8"/>
        <v>#NUM!</v>
      </c>
      <c r="V7" s="49" t="e">
        <f t="shared" si="9"/>
        <v>#NUM!</v>
      </c>
      <c r="W7" s="49" t="e">
        <f t="shared" si="10"/>
        <v>#NUM!</v>
      </c>
      <c r="X7" s="49" t="e">
        <f t="shared" si="11"/>
        <v>#NUM!</v>
      </c>
      <c r="Y7" s="49" t="e">
        <f t="shared" si="12"/>
        <v>#NUM!</v>
      </c>
      <c r="Z7" s="49" t="e">
        <f t="shared" si="13"/>
        <v>#NUM!</v>
      </c>
      <c r="AA7" s="50" t="e">
        <f t="shared" si="14"/>
        <v>#NUM!</v>
      </c>
    </row>
    <row r="8" spans="1:27" x14ac:dyDescent="0.25">
      <c r="A8" s="63">
        <v>5</v>
      </c>
      <c r="B8" s="77">
        <v>49.96666666661622</v>
      </c>
      <c r="C8" s="25">
        <v>10.35</v>
      </c>
      <c r="D8" s="3">
        <v>3.55</v>
      </c>
      <c r="E8" s="3">
        <v>2.4500000000000002</v>
      </c>
      <c r="F8" s="3">
        <v>16</v>
      </c>
      <c r="G8" s="3">
        <v>4.3499999999999996</v>
      </c>
      <c r="H8" s="3">
        <v>0.4</v>
      </c>
      <c r="I8" s="3">
        <v>0.45</v>
      </c>
      <c r="J8" s="31">
        <v>37.549999999999997</v>
      </c>
      <c r="K8" s="25">
        <v>187</v>
      </c>
      <c r="L8" s="25">
        <v>187</v>
      </c>
      <c r="M8" s="56">
        <f t="shared" si="0"/>
        <v>0.27563249001331558</v>
      </c>
      <c r="N8" s="57">
        <f t="shared" si="1"/>
        <v>9.4540612516644473E-2</v>
      </c>
      <c r="O8" s="57">
        <f t="shared" si="2"/>
        <v>6.5246338215712393E-2</v>
      </c>
      <c r="P8" s="57">
        <f t="shared" si="3"/>
        <v>0.426098535286285</v>
      </c>
      <c r="Q8" s="57">
        <f t="shared" si="4"/>
        <v>0.11584553928095873</v>
      </c>
      <c r="R8" s="57">
        <f t="shared" si="5"/>
        <v>1.0652463382157125E-2</v>
      </c>
      <c r="S8" s="58">
        <f t="shared" si="6"/>
        <v>1.1984021304926765E-2</v>
      </c>
      <c r="T8" s="48" t="e">
        <f t="shared" si="7"/>
        <v>#NUM!</v>
      </c>
      <c r="U8" s="49" t="e">
        <f t="shared" si="8"/>
        <v>#NUM!</v>
      </c>
      <c r="V8" s="49" t="e">
        <f t="shared" si="9"/>
        <v>#NUM!</v>
      </c>
      <c r="W8" s="49" t="e">
        <f t="shared" si="10"/>
        <v>#NUM!</v>
      </c>
      <c r="X8" s="49" t="e">
        <f t="shared" si="11"/>
        <v>#NUM!</v>
      </c>
      <c r="Y8" s="49" t="e">
        <f t="shared" si="12"/>
        <v>#NUM!</v>
      </c>
      <c r="Z8" s="49" t="e">
        <f t="shared" si="13"/>
        <v>#NUM!</v>
      </c>
      <c r="AA8" s="50" t="e">
        <f t="shared" si="14"/>
        <v>#NUM!</v>
      </c>
    </row>
    <row r="9" spans="1:27" x14ac:dyDescent="0.25">
      <c r="A9" s="63">
        <v>6</v>
      </c>
      <c r="B9" s="77">
        <v>65.666666666627862</v>
      </c>
      <c r="C9" s="25">
        <v>10.199999999999999</v>
      </c>
      <c r="D9" s="3">
        <v>3.55</v>
      </c>
      <c r="E9" s="3">
        <v>2.35</v>
      </c>
      <c r="F9" s="3">
        <v>15.95</v>
      </c>
      <c r="G9" s="3">
        <v>4.3</v>
      </c>
      <c r="H9" s="3">
        <v>0.45</v>
      </c>
      <c r="I9" s="3">
        <v>0.45</v>
      </c>
      <c r="J9" s="31">
        <v>37.25</v>
      </c>
      <c r="K9" s="25">
        <v>185</v>
      </c>
      <c r="L9" s="25">
        <v>185</v>
      </c>
      <c r="M9" s="56">
        <f t="shared" si="0"/>
        <v>0.27382550335570466</v>
      </c>
      <c r="N9" s="57">
        <f t="shared" si="1"/>
        <v>9.5302013422818785E-2</v>
      </c>
      <c r="O9" s="57">
        <f t="shared" si="2"/>
        <v>6.3087248322147654E-2</v>
      </c>
      <c r="P9" s="57">
        <f t="shared" si="3"/>
        <v>0.42818791946308721</v>
      </c>
      <c r="Q9" s="57">
        <f t="shared" si="4"/>
        <v>0.11543624161073825</v>
      </c>
      <c r="R9" s="57">
        <f t="shared" si="5"/>
        <v>1.2080536912751677E-2</v>
      </c>
      <c r="S9" s="58">
        <f t="shared" si="6"/>
        <v>1.2080536912751677E-2</v>
      </c>
      <c r="T9" s="48" t="e">
        <f t="shared" si="7"/>
        <v>#NUM!</v>
      </c>
      <c r="U9" s="49" t="e">
        <f t="shared" si="8"/>
        <v>#NUM!</v>
      </c>
      <c r="V9" s="49" t="e">
        <f t="shared" si="9"/>
        <v>#NUM!</v>
      </c>
      <c r="W9" s="49" t="e">
        <f t="shared" si="10"/>
        <v>#NUM!</v>
      </c>
      <c r="X9" s="49" t="e">
        <f t="shared" si="11"/>
        <v>#NUM!</v>
      </c>
      <c r="Y9" s="49" t="e">
        <f t="shared" si="12"/>
        <v>#NUM!</v>
      </c>
      <c r="Z9" s="49" t="e">
        <f t="shared" si="13"/>
        <v>#NUM!</v>
      </c>
      <c r="AA9" s="50" t="e">
        <f t="shared" si="14"/>
        <v>#NUM!</v>
      </c>
    </row>
    <row r="10" spans="1:27" x14ac:dyDescent="0.25">
      <c r="A10" s="63">
        <v>7</v>
      </c>
      <c r="B10" s="77">
        <v>73.583333333430346</v>
      </c>
      <c r="C10" s="25">
        <v>10.1</v>
      </c>
      <c r="D10" s="3">
        <v>3.45</v>
      </c>
      <c r="E10" s="3">
        <v>2.35</v>
      </c>
      <c r="F10" s="3">
        <v>15.55</v>
      </c>
      <c r="G10" s="3">
        <v>4.25</v>
      </c>
      <c r="H10" s="3">
        <v>0.45</v>
      </c>
      <c r="I10" s="3">
        <v>0.45</v>
      </c>
      <c r="J10" s="31">
        <v>36.600000000000009</v>
      </c>
      <c r="K10" s="25">
        <v>182</v>
      </c>
      <c r="L10" s="25">
        <v>182</v>
      </c>
      <c r="M10" s="56">
        <f t="shared" si="0"/>
        <v>0.27595628415300538</v>
      </c>
      <c r="N10" s="57">
        <f t="shared" si="1"/>
        <v>9.4262295081967193E-2</v>
      </c>
      <c r="O10" s="57">
        <f t="shared" si="2"/>
        <v>6.4207650273224032E-2</v>
      </c>
      <c r="P10" s="57">
        <f t="shared" si="3"/>
        <v>0.42486338797814199</v>
      </c>
      <c r="Q10" s="57">
        <f t="shared" si="4"/>
        <v>0.11612021857923495</v>
      </c>
      <c r="R10" s="57">
        <f t="shared" si="5"/>
        <v>1.2295081967213113E-2</v>
      </c>
      <c r="S10" s="58">
        <f t="shared" si="6"/>
        <v>1.2295081967213113E-2</v>
      </c>
      <c r="T10" s="48" t="e">
        <f t="shared" si="7"/>
        <v>#NUM!</v>
      </c>
      <c r="U10" s="49" t="e">
        <f t="shared" si="8"/>
        <v>#NUM!</v>
      </c>
      <c r="V10" s="49" t="e">
        <f t="shared" si="9"/>
        <v>#NUM!</v>
      </c>
      <c r="W10" s="49" t="e">
        <f t="shared" si="10"/>
        <v>#NUM!</v>
      </c>
      <c r="X10" s="49" t="e">
        <f t="shared" si="11"/>
        <v>#NUM!</v>
      </c>
      <c r="Y10" s="49" t="e">
        <f t="shared" si="12"/>
        <v>#NUM!</v>
      </c>
      <c r="Z10" s="49" t="e">
        <f t="shared" si="13"/>
        <v>#NUM!</v>
      </c>
      <c r="AA10" s="50" t="e">
        <f t="shared" si="14"/>
        <v>#NUM!</v>
      </c>
    </row>
    <row r="11" spans="1:27" x14ac:dyDescent="0.25">
      <c r="A11" s="63">
        <v>8</v>
      </c>
      <c r="B11" s="77">
        <v>89.816666666592937</v>
      </c>
      <c r="C11" s="25">
        <v>9.6999999999999993</v>
      </c>
      <c r="D11" s="3">
        <v>3.35</v>
      </c>
      <c r="E11" s="3">
        <v>2.25</v>
      </c>
      <c r="F11" s="3">
        <v>15.2</v>
      </c>
      <c r="G11" s="3">
        <v>4.05</v>
      </c>
      <c r="H11" s="3">
        <v>0.4</v>
      </c>
      <c r="I11" s="3">
        <v>0.4</v>
      </c>
      <c r="J11" s="31">
        <v>35.349999999999994</v>
      </c>
      <c r="K11" s="25">
        <v>180</v>
      </c>
      <c r="L11" s="25">
        <v>180</v>
      </c>
      <c r="M11" s="56">
        <f t="shared" si="0"/>
        <v>0.27439886845827444</v>
      </c>
      <c r="N11" s="57">
        <f t="shared" si="1"/>
        <v>9.4766619519094791E-2</v>
      </c>
      <c r="O11" s="57">
        <f t="shared" si="2"/>
        <v>6.3649222065063654E-2</v>
      </c>
      <c r="P11" s="57">
        <f t="shared" si="3"/>
        <v>0.42998585572843001</v>
      </c>
      <c r="Q11" s="57">
        <f t="shared" si="4"/>
        <v>0.11456859971711458</v>
      </c>
      <c r="R11" s="57">
        <f t="shared" si="5"/>
        <v>1.1315417256011318E-2</v>
      </c>
      <c r="S11" s="58">
        <f t="shared" si="6"/>
        <v>1.1315417256011318E-2</v>
      </c>
      <c r="T11" s="48" t="e">
        <f t="shared" si="7"/>
        <v>#NUM!</v>
      </c>
      <c r="U11" s="49" t="e">
        <f t="shared" si="8"/>
        <v>#NUM!</v>
      </c>
      <c r="V11" s="49" t="e">
        <f t="shared" si="9"/>
        <v>#NUM!</v>
      </c>
      <c r="W11" s="49" t="e">
        <f t="shared" si="10"/>
        <v>#NUM!</v>
      </c>
      <c r="X11" s="49" t="e">
        <f t="shared" si="11"/>
        <v>#NUM!</v>
      </c>
      <c r="Y11" s="49" t="e">
        <f t="shared" si="12"/>
        <v>#NUM!</v>
      </c>
      <c r="Z11" s="49" t="e">
        <f t="shared" si="13"/>
        <v>#NUM!</v>
      </c>
      <c r="AA11" s="50" t="e">
        <f t="shared" si="14"/>
        <v>#NUM!</v>
      </c>
    </row>
    <row r="12" spans="1:27" x14ac:dyDescent="0.25">
      <c r="A12" s="63">
        <v>9</v>
      </c>
      <c r="B12" s="77">
        <v>97.583333333430346</v>
      </c>
      <c r="C12" s="25">
        <v>10.55</v>
      </c>
      <c r="D12" s="3">
        <v>3.55</v>
      </c>
      <c r="E12" s="3">
        <v>2.4500000000000002</v>
      </c>
      <c r="F12" s="3">
        <v>16.399999999999999</v>
      </c>
      <c r="G12" s="3">
        <v>4.45</v>
      </c>
      <c r="H12" s="3">
        <v>0.45</v>
      </c>
      <c r="I12" s="3">
        <v>0.45</v>
      </c>
      <c r="J12" s="31">
        <v>38.300000000000011</v>
      </c>
      <c r="K12" s="25">
        <v>177</v>
      </c>
      <c r="L12" s="25">
        <v>177</v>
      </c>
      <c r="M12" s="56">
        <f t="shared" si="0"/>
        <v>0.27545691906005215</v>
      </c>
      <c r="N12" s="57">
        <f t="shared" si="1"/>
        <v>9.2689295039164454E-2</v>
      </c>
      <c r="O12" s="57">
        <f t="shared" si="2"/>
        <v>6.3968668407310691E-2</v>
      </c>
      <c r="P12" s="57">
        <f t="shared" si="3"/>
        <v>0.4281984334203654</v>
      </c>
      <c r="Q12" s="57">
        <f t="shared" si="4"/>
        <v>0.11618798955613574</v>
      </c>
      <c r="R12" s="57">
        <f t="shared" si="5"/>
        <v>1.1749347258485636E-2</v>
      </c>
      <c r="S12" s="58">
        <f t="shared" si="6"/>
        <v>1.1749347258485636E-2</v>
      </c>
      <c r="T12" s="48" t="e">
        <f t="shared" si="7"/>
        <v>#NUM!</v>
      </c>
      <c r="U12" s="49" t="e">
        <f t="shared" si="8"/>
        <v>#NUM!</v>
      </c>
      <c r="V12" s="49" t="e">
        <f t="shared" si="9"/>
        <v>#NUM!</v>
      </c>
      <c r="W12" s="49" t="e">
        <f t="shared" si="10"/>
        <v>#NUM!</v>
      </c>
      <c r="X12" s="49" t="e">
        <f t="shared" si="11"/>
        <v>#NUM!</v>
      </c>
      <c r="Y12" s="49" t="e">
        <f t="shared" si="12"/>
        <v>#NUM!</v>
      </c>
      <c r="Z12" s="49" t="e">
        <f t="shared" si="13"/>
        <v>#NUM!</v>
      </c>
      <c r="AA12" s="50" t="e">
        <f t="shared" si="14"/>
        <v>#NUM!</v>
      </c>
    </row>
    <row r="13" spans="1:27" x14ac:dyDescent="0.25">
      <c r="A13" s="63">
        <v>10</v>
      </c>
      <c r="B13" s="77">
        <v>161.48333333339542</v>
      </c>
      <c r="C13" s="25">
        <v>10.75</v>
      </c>
      <c r="D13" s="3">
        <v>3.6</v>
      </c>
      <c r="E13" s="3">
        <v>2.4</v>
      </c>
      <c r="F13" s="3">
        <v>16.45</v>
      </c>
      <c r="G13" s="3">
        <v>4.45</v>
      </c>
      <c r="H13" s="3">
        <v>0.5</v>
      </c>
      <c r="I13" s="3">
        <v>0.5</v>
      </c>
      <c r="J13" s="31">
        <v>38.650000000000006</v>
      </c>
      <c r="K13" s="25">
        <v>175</v>
      </c>
      <c r="L13" s="25">
        <v>175</v>
      </c>
      <c r="M13" s="56">
        <f t="shared" si="0"/>
        <v>0.27813712807244501</v>
      </c>
      <c r="N13" s="57">
        <f t="shared" si="1"/>
        <v>9.3143596377749022E-2</v>
      </c>
      <c r="O13" s="57">
        <f t="shared" si="2"/>
        <v>6.2095730918499341E-2</v>
      </c>
      <c r="P13" s="57">
        <f t="shared" si="3"/>
        <v>0.42561448900388088</v>
      </c>
      <c r="Q13" s="57">
        <f t="shared" si="4"/>
        <v>0.11513583441138421</v>
      </c>
      <c r="R13" s="57">
        <f t="shared" si="5"/>
        <v>1.2936610608020697E-2</v>
      </c>
      <c r="S13" s="58">
        <f t="shared" si="6"/>
        <v>1.2936610608020697E-2</v>
      </c>
      <c r="T13" s="48">
        <f t="shared" si="7"/>
        <v>-2.9180232892266607</v>
      </c>
      <c r="U13" s="49" t="e">
        <f t="shared" si="8"/>
        <v>#NUM!</v>
      </c>
      <c r="V13" s="49" t="e">
        <f t="shared" si="9"/>
        <v>#NUM!</v>
      </c>
      <c r="W13" s="49" t="e">
        <f t="shared" si="10"/>
        <v>#NUM!</v>
      </c>
      <c r="X13" s="49" t="e">
        <f t="shared" si="11"/>
        <v>#NUM!</v>
      </c>
      <c r="Y13" s="49">
        <f t="shared" si="12"/>
        <v>-2.9957322735539913</v>
      </c>
      <c r="Z13" s="49">
        <f t="shared" si="13"/>
        <v>-2.9957322735539913</v>
      </c>
      <c r="AA13" s="50" t="e">
        <f t="shared" si="14"/>
        <v>#NUM!</v>
      </c>
    </row>
    <row r="14" spans="1:27" x14ac:dyDescent="0.25">
      <c r="A14" s="63">
        <v>11</v>
      </c>
      <c r="B14" s="77">
        <v>169.66666666668607</v>
      </c>
      <c r="C14" s="25">
        <v>10.25</v>
      </c>
      <c r="D14" s="3">
        <v>3.55</v>
      </c>
      <c r="E14" s="3">
        <v>2.4</v>
      </c>
      <c r="F14" s="3">
        <v>16.05</v>
      </c>
      <c r="G14" s="3">
        <v>4.3</v>
      </c>
      <c r="H14" s="3">
        <v>0.45</v>
      </c>
      <c r="I14" s="3">
        <v>0.45</v>
      </c>
      <c r="J14" s="31">
        <v>37.450000000000003</v>
      </c>
      <c r="K14" s="25">
        <v>172</v>
      </c>
      <c r="L14" s="25">
        <v>172</v>
      </c>
      <c r="M14" s="56">
        <f t="shared" si="0"/>
        <v>0.27369826435246997</v>
      </c>
      <c r="N14" s="57">
        <f t="shared" si="1"/>
        <v>9.4793057409879825E-2</v>
      </c>
      <c r="O14" s="57">
        <f t="shared" si="2"/>
        <v>6.4085447263017348E-2</v>
      </c>
      <c r="P14" s="57">
        <f t="shared" si="3"/>
        <v>0.42857142857142855</v>
      </c>
      <c r="Q14" s="57">
        <f t="shared" si="4"/>
        <v>0.11481975967957275</v>
      </c>
      <c r="R14" s="57">
        <f t="shared" si="5"/>
        <v>1.2016021361815754E-2</v>
      </c>
      <c r="S14" s="58">
        <f t="shared" si="6"/>
        <v>1.2016021361815754E-2</v>
      </c>
      <c r="T14" s="48" t="e">
        <f t="shared" si="7"/>
        <v>#NUM!</v>
      </c>
      <c r="U14" s="49" t="e">
        <f t="shared" si="8"/>
        <v>#NUM!</v>
      </c>
      <c r="V14" s="49" t="e">
        <f t="shared" si="9"/>
        <v>#NUM!</v>
      </c>
      <c r="W14" s="49" t="e">
        <f t="shared" si="10"/>
        <v>#NUM!</v>
      </c>
      <c r="X14" s="49" t="e">
        <f t="shared" si="11"/>
        <v>#NUM!</v>
      </c>
      <c r="Y14" s="49" t="e">
        <f t="shared" si="12"/>
        <v>#NUM!</v>
      </c>
      <c r="Z14" s="49" t="e">
        <f t="shared" si="13"/>
        <v>#NUM!</v>
      </c>
      <c r="AA14" s="50" t="e">
        <f t="shared" si="14"/>
        <v>#NUM!</v>
      </c>
    </row>
    <row r="15" spans="1:27" ht="15.75" thickBot="1" x14ac:dyDescent="0.3">
      <c r="A15" s="64">
        <v>12</v>
      </c>
      <c r="B15" s="78">
        <v>187.51666666672099</v>
      </c>
      <c r="C15" s="38">
        <v>10.7</v>
      </c>
      <c r="D15" s="39">
        <v>3.7</v>
      </c>
      <c r="E15" s="39">
        <v>2.4500000000000002</v>
      </c>
      <c r="F15" s="39">
        <v>16.600000000000001</v>
      </c>
      <c r="G15" s="39">
        <v>4.45</v>
      </c>
      <c r="H15" s="39">
        <v>0.45</v>
      </c>
      <c r="I15" s="39">
        <v>0.45</v>
      </c>
      <c r="J15" s="35">
        <v>38.800000000000011</v>
      </c>
      <c r="K15" s="38">
        <v>170</v>
      </c>
      <c r="L15" s="38">
        <v>170</v>
      </c>
      <c r="M15" s="59">
        <f t="shared" si="0"/>
        <v>0.27577319587628857</v>
      </c>
      <c r="N15" s="60">
        <f t="shared" si="1"/>
        <v>9.5360824742268022E-2</v>
      </c>
      <c r="O15" s="60">
        <f t="shared" si="2"/>
        <v>6.31443298969072E-2</v>
      </c>
      <c r="P15" s="60">
        <f t="shared" si="3"/>
        <v>0.42783505154639168</v>
      </c>
      <c r="Q15" s="60">
        <f t="shared" si="4"/>
        <v>0.1146907216494845</v>
      </c>
      <c r="R15" s="60">
        <f t="shared" si="5"/>
        <v>1.1597938144329894E-2</v>
      </c>
      <c r="S15" s="61">
        <f t="shared" si="6"/>
        <v>1.1597938144329894E-2</v>
      </c>
      <c r="T15" s="53"/>
      <c r="U15" s="54"/>
      <c r="V15" s="54"/>
      <c r="W15" s="54"/>
      <c r="X15" s="54"/>
      <c r="Y15" s="54"/>
      <c r="Z15" s="54"/>
      <c r="AA15" s="55"/>
    </row>
    <row r="16" spans="1:27" x14ac:dyDescent="0.25">
      <c r="T16" s="51"/>
      <c r="U16" s="51"/>
      <c r="V16" s="51"/>
      <c r="W16" s="51"/>
      <c r="X16" s="51"/>
      <c r="Y16" s="51"/>
      <c r="Z16" s="51"/>
      <c r="AA16" s="51"/>
    </row>
    <row r="17" spans="2:27" x14ac:dyDescent="0.25">
      <c r="B17" s="36" t="s">
        <v>164</v>
      </c>
      <c r="C17" s="28">
        <f t="shared" ref="C17:J17" si="15">(C3*($K$3/1000))/(($K$3+$L$3)/1000)</f>
        <v>4.95</v>
      </c>
      <c r="D17" s="28">
        <f t="shared" si="15"/>
        <v>1.7</v>
      </c>
      <c r="E17" s="28">
        <f t="shared" si="15"/>
        <v>1.175</v>
      </c>
      <c r="F17" s="28">
        <f t="shared" si="15"/>
        <v>7.8250000000000002</v>
      </c>
      <c r="G17" s="28">
        <f t="shared" si="15"/>
        <v>2.1</v>
      </c>
      <c r="H17" s="28">
        <f t="shared" si="15"/>
        <v>0.22500000000000001</v>
      </c>
      <c r="I17" s="28">
        <f t="shared" si="15"/>
        <v>0.22500000000000001</v>
      </c>
      <c r="J17" s="28">
        <f t="shared" si="15"/>
        <v>18.200000000000003</v>
      </c>
      <c r="S17" t="s">
        <v>45</v>
      </c>
      <c r="T17" s="147" t="e">
        <f>-SLOPE(T3:T15,$B$3:$B$15)</f>
        <v>#NUM!</v>
      </c>
      <c r="U17" s="147" t="e">
        <f t="shared" ref="U17:AA17" si="16">-SLOPE(U3:U15,$B$3:$B$15)</f>
        <v>#NUM!</v>
      </c>
      <c r="V17" s="147" t="e">
        <f t="shared" si="16"/>
        <v>#NUM!</v>
      </c>
      <c r="W17" s="147" t="e">
        <f t="shared" si="16"/>
        <v>#NUM!</v>
      </c>
      <c r="X17" s="147" t="e">
        <f t="shared" si="16"/>
        <v>#NUM!</v>
      </c>
      <c r="Y17" s="147" t="e">
        <f t="shared" si="16"/>
        <v>#NUM!</v>
      </c>
      <c r="Z17" s="147" t="e">
        <f t="shared" si="16"/>
        <v>#NUM!</v>
      </c>
      <c r="AA17" s="147" t="e">
        <f t="shared" si="16"/>
        <v>#NUM!</v>
      </c>
    </row>
    <row r="18" spans="2:27" x14ac:dyDescent="0.25">
      <c r="S18" t="s">
        <v>43</v>
      </c>
      <c r="T18" s="147" t="e">
        <f>(CORREL(T3:T15,$B$3:$B$15))^2</f>
        <v>#NUM!</v>
      </c>
      <c r="U18" s="147" t="e">
        <f t="shared" ref="U18:AA18" si="17">(CORREL(U3:U15,$B$3:$B$15))^2</f>
        <v>#NUM!</v>
      </c>
      <c r="V18" s="147" t="e">
        <f t="shared" si="17"/>
        <v>#NUM!</v>
      </c>
      <c r="W18" s="147" t="e">
        <f t="shared" si="17"/>
        <v>#NUM!</v>
      </c>
      <c r="X18" s="147" t="e">
        <f t="shared" si="17"/>
        <v>#NUM!</v>
      </c>
      <c r="Y18" s="147" t="e">
        <f t="shared" si="17"/>
        <v>#NUM!</v>
      </c>
      <c r="Z18" s="147" t="e">
        <f t="shared" si="17"/>
        <v>#NUM!</v>
      </c>
      <c r="AA18" s="147" t="e">
        <f t="shared" si="17"/>
        <v>#NUM!</v>
      </c>
    </row>
    <row r="19" spans="2:27" x14ac:dyDescent="0.25">
      <c r="B19" s="27"/>
      <c r="C19" s="37"/>
      <c r="D19" s="37"/>
      <c r="E19" s="37"/>
      <c r="F19" s="37"/>
      <c r="G19" s="37"/>
      <c r="H19" s="37"/>
      <c r="I19" s="37"/>
      <c r="J19" s="37"/>
      <c r="K19" s="27"/>
      <c r="L19" s="27"/>
      <c r="S19" t="s">
        <v>46</v>
      </c>
      <c r="T19" s="148" t="e">
        <f>(T17*($K$3/1000000))/Constants!$K$8</f>
        <v>#NUM!</v>
      </c>
      <c r="U19" s="148" t="e">
        <f>(U17*($K$3/1000000))/Constants!$K$8</f>
        <v>#NUM!</v>
      </c>
      <c r="V19" s="148" t="e">
        <f>(V17*($K$3/1000000))/Constants!$K$8</f>
        <v>#NUM!</v>
      </c>
      <c r="W19" s="148" t="e">
        <f>(W17*($K$3/1000000))/Constants!$K$8</f>
        <v>#NUM!</v>
      </c>
      <c r="X19" s="148" t="e">
        <f>(X17*($K$3/1000000))/Constants!$K$8</f>
        <v>#NUM!</v>
      </c>
      <c r="Y19" s="148" t="e">
        <f>(Y17*($K$3/1000000))/Constants!$K$8</f>
        <v>#NUM!</v>
      </c>
      <c r="Z19" s="148" t="e">
        <f>(Z17*($K$3/1000000))/Constants!$K$8</f>
        <v>#NUM!</v>
      </c>
      <c r="AA19" s="148" t="e">
        <f>(AA17*($K$3/1000000))/Constants!$K$8</f>
        <v>#NUM!</v>
      </c>
    </row>
    <row r="20" spans="2:27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S20" t="s">
        <v>47</v>
      </c>
      <c r="T20" s="148" t="e">
        <f>T19/3600</f>
        <v>#NUM!</v>
      </c>
      <c r="U20" s="148" t="e">
        <f t="shared" ref="U20:AA20" si="18">U19/3600</f>
        <v>#NUM!</v>
      </c>
      <c r="V20" s="148" t="e">
        <f t="shared" si="18"/>
        <v>#NUM!</v>
      </c>
      <c r="W20" s="148" t="e">
        <f t="shared" si="18"/>
        <v>#NUM!</v>
      </c>
      <c r="X20" s="148" t="e">
        <f t="shared" si="18"/>
        <v>#NUM!</v>
      </c>
      <c r="Y20" s="148" t="e">
        <f t="shared" si="18"/>
        <v>#NUM!</v>
      </c>
      <c r="Z20" s="148" t="e">
        <f t="shared" si="18"/>
        <v>#NUM!</v>
      </c>
      <c r="AA20" s="148" t="e">
        <f t="shared" si="18"/>
        <v>#NUM!</v>
      </c>
    </row>
    <row r="21" spans="2:27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S21" s="1" t="s">
        <v>64</v>
      </c>
      <c r="T21" s="153" t="e">
        <f>T20*10^6</f>
        <v>#NUM!</v>
      </c>
      <c r="U21" s="153" t="e">
        <f t="shared" ref="U21:AA21" si="19">U20*10^6</f>
        <v>#NUM!</v>
      </c>
      <c r="V21" s="153" t="e">
        <f t="shared" si="19"/>
        <v>#NUM!</v>
      </c>
      <c r="W21" s="153" t="e">
        <f t="shared" si="19"/>
        <v>#NUM!</v>
      </c>
      <c r="X21" s="153" t="e">
        <f t="shared" si="19"/>
        <v>#NUM!</v>
      </c>
      <c r="Y21" s="153" t="e">
        <f t="shared" si="19"/>
        <v>#NUM!</v>
      </c>
      <c r="Z21" s="153" t="e">
        <f t="shared" si="19"/>
        <v>#NUM!</v>
      </c>
      <c r="AA21" s="153" t="e">
        <f t="shared" si="19"/>
        <v>#NUM!</v>
      </c>
    </row>
    <row r="23" spans="2:27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27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</row>
  </sheetData>
  <mergeCells count="6">
    <mergeCell ref="T1:AA1"/>
    <mergeCell ref="A1:A2"/>
    <mergeCell ref="B1:B2"/>
    <mergeCell ref="C1:J1"/>
    <mergeCell ref="K1:L1"/>
    <mergeCell ref="M1:S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7"/>
  <sheetViews>
    <sheetView workbookViewId="0">
      <selection sqref="A1:A2"/>
    </sheetView>
  </sheetViews>
  <sheetFormatPr defaultRowHeight="15" x14ac:dyDescent="0.25"/>
  <sheetData>
    <row r="1" spans="1:27" s="3" customFormat="1" x14ac:dyDescent="0.25">
      <c r="A1" s="269" t="s">
        <v>31</v>
      </c>
      <c r="B1" s="274" t="s">
        <v>32</v>
      </c>
      <c r="C1" s="273" t="s">
        <v>34</v>
      </c>
      <c r="D1" s="274"/>
      <c r="E1" s="274"/>
      <c r="F1" s="274"/>
      <c r="G1" s="274"/>
      <c r="H1" s="274"/>
      <c r="I1" s="274"/>
      <c r="J1" s="271"/>
      <c r="K1" s="273" t="s">
        <v>35</v>
      </c>
      <c r="L1" s="271"/>
      <c r="M1" s="273" t="s">
        <v>44</v>
      </c>
      <c r="N1" s="274"/>
      <c r="O1" s="274"/>
      <c r="P1" s="274"/>
      <c r="Q1" s="274"/>
      <c r="R1" s="274"/>
      <c r="S1" s="271"/>
      <c r="T1" s="278" t="s">
        <v>72</v>
      </c>
      <c r="U1" s="279"/>
      <c r="V1" s="279"/>
      <c r="W1" s="279"/>
      <c r="X1" s="279"/>
      <c r="Y1" s="279"/>
      <c r="Z1" s="279"/>
      <c r="AA1" s="280"/>
    </row>
    <row r="2" spans="1:27" s="3" customFormat="1" x14ac:dyDescent="0.25">
      <c r="A2" s="270"/>
      <c r="B2" s="283"/>
      <c r="C2" s="38" t="s">
        <v>39</v>
      </c>
      <c r="D2" s="39" t="s">
        <v>66</v>
      </c>
      <c r="E2" s="39" t="s">
        <v>68</v>
      </c>
      <c r="F2" s="39" t="s">
        <v>69</v>
      </c>
      <c r="G2" s="39" t="s">
        <v>70</v>
      </c>
      <c r="H2" s="39" t="s">
        <v>71</v>
      </c>
      <c r="I2" s="39" t="s">
        <v>67</v>
      </c>
      <c r="J2" s="40" t="s">
        <v>23</v>
      </c>
      <c r="K2" s="38" t="s">
        <v>42</v>
      </c>
      <c r="L2" s="40" t="s">
        <v>38</v>
      </c>
      <c r="M2" s="45" t="s">
        <v>39</v>
      </c>
      <c r="N2" s="46" t="s">
        <v>66</v>
      </c>
      <c r="O2" s="46" t="s">
        <v>68</v>
      </c>
      <c r="P2" s="46" t="s">
        <v>69</v>
      </c>
      <c r="Q2" s="46" t="s">
        <v>70</v>
      </c>
      <c r="R2" s="46" t="s">
        <v>71</v>
      </c>
      <c r="S2" s="47" t="s">
        <v>67</v>
      </c>
      <c r="T2" s="45" t="s">
        <v>39</v>
      </c>
      <c r="U2" s="46" t="s">
        <v>66</v>
      </c>
      <c r="V2" s="46" t="s">
        <v>68</v>
      </c>
      <c r="W2" s="46" t="s">
        <v>69</v>
      </c>
      <c r="X2" s="46" t="s">
        <v>70</v>
      </c>
      <c r="Y2" s="46" t="s">
        <v>71</v>
      </c>
      <c r="Z2" s="46" t="s">
        <v>67</v>
      </c>
      <c r="AA2" s="47" t="s">
        <v>23</v>
      </c>
    </row>
    <row r="3" spans="1:27" x14ac:dyDescent="0.25">
      <c r="A3" s="63">
        <v>0</v>
      </c>
      <c r="B3" s="30">
        <v>0</v>
      </c>
      <c r="C3" s="25">
        <v>13.6</v>
      </c>
      <c r="D3" s="3">
        <v>3.75</v>
      </c>
      <c r="E3" s="3">
        <v>2.4</v>
      </c>
      <c r="F3" s="3">
        <v>12.4</v>
      </c>
      <c r="G3" s="3">
        <v>4.5</v>
      </c>
      <c r="H3" s="3">
        <v>0.6</v>
      </c>
      <c r="I3" s="3">
        <v>0.5</v>
      </c>
      <c r="J3" s="31">
        <v>37.75</v>
      </c>
      <c r="K3" s="25">
        <v>200</v>
      </c>
      <c r="L3" s="26">
        <v>200</v>
      </c>
      <c r="M3" s="56">
        <f t="shared" ref="M3:M15" si="0">C3/$J3</f>
        <v>0.36026490066225164</v>
      </c>
      <c r="N3" s="57">
        <f t="shared" ref="N3:N15" si="1">D3/$J3</f>
        <v>9.9337748344370855E-2</v>
      </c>
      <c r="O3" s="57">
        <f t="shared" ref="O3:O15" si="2">E3/$J3</f>
        <v>6.3576158940397351E-2</v>
      </c>
      <c r="P3" s="57">
        <f t="shared" ref="P3:P15" si="3">F3/$J3</f>
        <v>0.32847682119205301</v>
      </c>
      <c r="Q3" s="57">
        <f t="shared" ref="Q3:Q15" si="4">G3/$J3</f>
        <v>0.11920529801324503</v>
      </c>
      <c r="R3" s="57">
        <f t="shared" ref="R3:R15" si="5">H3/$J3</f>
        <v>1.5894039735099338E-2</v>
      </c>
      <c r="S3" s="58">
        <f t="shared" ref="S3:S15" si="6">I3/$J3</f>
        <v>1.3245033112582781E-2</v>
      </c>
      <c r="T3" s="48" t="e">
        <f t="shared" ref="T3:T14" si="7">LN((C3-C$15)/(C$3/C$15))</f>
        <v>#NUM!</v>
      </c>
      <c r="U3" s="49" t="e">
        <f t="shared" ref="U3:U14" si="8">LN((D3-D$15)/(D$3/D$15))</f>
        <v>#NUM!</v>
      </c>
      <c r="V3" s="49" t="e">
        <f t="shared" ref="V3:V14" si="9">LN((E3-E$15)/(E$3/E$15))</f>
        <v>#NUM!</v>
      </c>
      <c r="W3" s="49" t="e">
        <f t="shared" ref="W3:W14" si="10">LN((F3-F$15)/(F$3/F$15))</f>
        <v>#NUM!</v>
      </c>
      <c r="X3" s="49" t="e">
        <f t="shared" ref="X3:X14" si="11">LN((G3-G$15)/(G$3/G$15))</f>
        <v>#NUM!</v>
      </c>
      <c r="Y3" s="49" t="e">
        <f t="shared" ref="Y3:Y14" si="12">LN((H3-H$15)/(H$3/H$15))</f>
        <v>#NUM!</v>
      </c>
      <c r="Z3" s="49" t="e">
        <f t="shared" ref="Z3:Z14" si="13">LN((I3-I$15)/(I$3/I$15))</f>
        <v>#NUM!</v>
      </c>
      <c r="AA3" s="50" t="e">
        <f t="shared" ref="AA3:AA14" si="14">LN((J3-J$15)/(J$3/J$15))</f>
        <v>#NUM!</v>
      </c>
    </row>
    <row r="4" spans="1:27" x14ac:dyDescent="0.25">
      <c r="A4" s="63">
        <v>1</v>
      </c>
      <c r="B4" s="30">
        <v>4.3666666665812954</v>
      </c>
      <c r="C4" s="25">
        <v>14.2</v>
      </c>
      <c r="D4" s="3">
        <v>3.9</v>
      </c>
      <c r="E4" s="3">
        <v>2.5</v>
      </c>
      <c r="F4" s="3">
        <v>12.8</v>
      </c>
      <c r="G4" s="3">
        <v>4.6500000000000004</v>
      </c>
      <c r="H4" s="3">
        <v>0.6</v>
      </c>
      <c r="I4" s="3">
        <v>0.5</v>
      </c>
      <c r="J4" s="31">
        <v>39.15</v>
      </c>
      <c r="K4" s="25">
        <v>197</v>
      </c>
      <c r="L4" s="26">
        <v>197</v>
      </c>
      <c r="M4" s="56">
        <f t="shared" si="0"/>
        <v>0.3627075351213282</v>
      </c>
      <c r="N4" s="57">
        <f t="shared" si="1"/>
        <v>9.9616858237547901E-2</v>
      </c>
      <c r="O4" s="57">
        <f t="shared" si="2"/>
        <v>6.3856960408684549E-2</v>
      </c>
      <c r="P4" s="57">
        <f t="shared" si="3"/>
        <v>0.3269476372924649</v>
      </c>
      <c r="Q4" s="57">
        <f t="shared" si="4"/>
        <v>0.11877394636015327</v>
      </c>
      <c r="R4" s="57">
        <f t="shared" si="5"/>
        <v>1.532567049808429E-2</v>
      </c>
      <c r="S4" s="58">
        <f t="shared" si="6"/>
        <v>1.277139208173691E-2</v>
      </c>
      <c r="T4" s="48" t="e">
        <f t="shared" si="7"/>
        <v>#NUM!</v>
      </c>
      <c r="U4" s="49" t="e">
        <f t="shared" si="8"/>
        <v>#NUM!</v>
      </c>
      <c r="V4" s="49" t="e">
        <f t="shared" si="9"/>
        <v>#NUM!</v>
      </c>
      <c r="W4" s="49" t="e">
        <f t="shared" si="10"/>
        <v>#NUM!</v>
      </c>
      <c r="X4" s="49" t="e">
        <f t="shared" si="11"/>
        <v>#NUM!</v>
      </c>
      <c r="Y4" s="49" t="e">
        <f t="shared" si="12"/>
        <v>#NUM!</v>
      </c>
      <c r="Z4" s="49" t="e">
        <f t="shared" si="13"/>
        <v>#NUM!</v>
      </c>
      <c r="AA4" s="50" t="e">
        <f t="shared" si="14"/>
        <v>#NUM!</v>
      </c>
    </row>
    <row r="5" spans="1:27" x14ac:dyDescent="0.25">
      <c r="A5" s="63">
        <v>2</v>
      </c>
      <c r="B5" s="30">
        <v>21.033333333267365</v>
      </c>
      <c r="C5" s="25">
        <v>14</v>
      </c>
      <c r="D5" s="3">
        <v>3.85</v>
      </c>
      <c r="E5" s="3">
        <v>2.5</v>
      </c>
      <c r="F5" s="3">
        <v>12.6</v>
      </c>
      <c r="G5" s="3">
        <v>4.5999999999999996</v>
      </c>
      <c r="H5" s="3">
        <v>0.55000000000000004</v>
      </c>
      <c r="I5" s="3">
        <v>0.5</v>
      </c>
      <c r="J5" s="31">
        <v>38.6</v>
      </c>
      <c r="K5" s="25">
        <v>195</v>
      </c>
      <c r="L5" s="26">
        <v>195</v>
      </c>
      <c r="M5" s="56">
        <f t="shared" si="0"/>
        <v>0.36269430051813473</v>
      </c>
      <c r="N5" s="57">
        <f t="shared" si="1"/>
        <v>9.974093264248704E-2</v>
      </c>
      <c r="O5" s="57">
        <f t="shared" si="2"/>
        <v>6.4766839378238336E-2</v>
      </c>
      <c r="P5" s="57">
        <f t="shared" si="3"/>
        <v>0.32642487046632124</v>
      </c>
      <c r="Q5" s="57">
        <f t="shared" si="4"/>
        <v>0.11917098445595854</v>
      </c>
      <c r="R5" s="57">
        <f t="shared" si="5"/>
        <v>1.4248704663212436E-2</v>
      </c>
      <c r="S5" s="58">
        <f t="shared" si="6"/>
        <v>1.2953367875647668E-2</v>
      </c>
      <c r="T5" s="48" t="e">
        <f t="shared" si="7"/>
        <v>#NUM!</v>
      </c>
      <c r="U5" s="49" t="e">
        <f t="shared" si="8"/>
        <v>#NUM!</v>
      </c>
      <c r="V5" s="49" t="e">
        <f t="shared" si="9"/>
        <v>#NUM!</v>
      </c>
      <c r="W5" s="49" t="e">
        <f t="shared" si="10"/>
        <v>#NUM!</v>
      </c>
      <c r="X5" s="49" t="e">
        <f t="shared" si="11"/>
        <v>#NUM!</v>
      </c>
      <c r="Y5" s="49" t="e">
        <f t="shared" si="12"/>
        <v>#NUM!</v>
      </c>
      <c r="Z5" s="49" t="e">
        <f t="shared" si="13"/>
        <v>#NUM!</v>
      </c>
      <c r="AA5" s="50" t="e">
        <f t="shared" si="14"/>
        <v>#NUM!</v>
      </c>
    </row>
    <row r="6" spans="1:27" x14ac:dyDescent="0.25">
      <c r="A6" s="63">
        <v>3</v>
      </c>
      <c r="B6" s="30">
        <v>27.883333333244082</v>
      </c>
      <c r="C6" s="25">
        <v>14.85</v>
      </c>
      <c r="D6" s="3">
        <v>4.0999999999999996</v>
      </c>
      <c r="E6" s="3">
        <v>2.65</v>
      </c>
      <c r="F6" s="3">
        <v>13.4</v>
      </c>
      <c r="G6" s="3">
        <v>4.9000000000000004</v>
      </c>
      <c r="H6" s="3">
        <v>0.6</v>
      </c>
      <c r="I6" s="3">
        <v>0.55000000000000004</v>
      </c>
      <c r="J6" s="31">
        <v>41.05</v>
      </c>
      <c r="K6" s="25">
        <v>192</v>
      </c>
      <c r="L6" s="26">
        <v>192</v>
      </c>
      <c r="M6" s="56">
        <f t="shared" si="0"/>
        <v>0.36175395858708892</v>
      </c>
      <c r="N6" s="57">
        <f t="shared" si="1"/>
        <v>9.9878197320341047E-2</v>
      </c>
      <c r="O6" s="57">
        <f t="shared" si="2"/>
        <v>6.4555420219244819E-2</v>
      </c>
      <c r="P6" s="57">
        <f t="shared" si="3"/>
        <v>0.32643118148599271</v>
      </c>
      <c r="Q6" s="57">
        <f t="shared" si="4"/>
        <v>0.11936662606577346</v>
      </c>
      <c r="R6" s="57">
        <f t="shared" si="5"/>
        <v>1.4616321559074301E-2</v>
      </c>
      <c r="S6" s="58">
        <f t="shared" si="6"/>
        <v>1.3398294762484777E-2</v>
      </c>
      <c r="T6" s="48">
        <f t="shared" si="7"/>
        <v>-1.5350673697130337</v>
      </c>
      <c r="U6" s="49" t="e">
        <f t="shared" si="8"/>
        <v>#NUM!</v>
      </c>
      <c r="V6" s="49" t="e">
        <f t="shared" si="9"/>
        <v>#NUM!</v>
      </c>
      <c r="W6" s="49">
        <f t="shared" si="10"/>
        <v>-1.1490570467298189</v>
      </c>
      <c r="X6" s="49" t="e">
        <f t="shared" si="11"/>
        <v>#NUM!</v>
      </c>
      <c r="Y6" s="49" t="e">
        <f t="shared" si="12"/>
        <v>#NUM!</v>
      </c>
      <c r="Z6" s="49">
        <f t="shared" si="13"/>
        <v>-2.99573227355399</v>
      </c>
      <c r="AA6" s="50">
        <f t="shared" si="14"/>
        <v>-0.97457950774515811</v>
      </c>
    </row>
    <row r="7" spans="1:27" x14ac:dyDescent="0.25">
      <c r="A7" s="63">
        <v>4</v>
      </c>
      <c r="B7" s="30">
        <v>44.566666666651145</v>
      </c>
      <c r="C7" s="25">
        <v>14.8</v>
      </c>
      <c r="D7" s="3">
        <v>4.05</v>
      </c>
      <c r="E7" s="3">
        <v>2.6</v>
      </c>
      <c r="F7" s="3">
        <v>13.1</v>
      </c>
      <c r="G7" s="3">
        <v>4.8499999999999996</v>
      </c>
      <c r="H7" s="3">
        <v>0.6</v>
      </c>
      <c r="I7" s="3">
        <v>0.55000000000000004</v>
      </c>
      <c r="J7" s="31">
        <v>40.550000000000004</v>
      </c>
      <c r="K7" s="25">
        <v>190</v>
      </c>
      <c r="L7" s="26">
        <v>190</v>
      </c>
      <c r="M7" s="56">
        <f t="shared" si="0"/>
        <v>0.36498150431565968</v>
      </c>
      <c r="N7" s="57">
        <f t="shared" si="1"/>
        <v>9.9876695437731186E-2</v>
      </c>
      <c r="O7" s="57">
        <f t="shared" si="2"/>
        <v>6.4118372379778049E-2</v>
      </c>
      <c r="P7" s="57">
        <f t="shared" si="3"/>
        <v>0.32305795314426627</v>
      </c>
      <c r="Q7" s="57">
        <f t="shared" si="4"/>
        <v>0.1196054254007398</v>
      </c>
      <c r="R7" s="57">
        <f t="shared" si="5"/>
        <v>1.4796547472256472E-2</v>
      </c>
      <c r="S7" s="58">
        <f t="shared" si="6"/>
        <v>1.3563501849568433E-2</v>
      </c>
      <c r="T7" s="48">
        <f t="shared" si="7"/>
        <v>-1.8227494421648089</v>
      </c>
      <c r="U7" s="49" t="e">
        <f t="shared" si="8"/>
        <v>#NUM!</v>
      </c>
      <c r="V7" s="49" t="e">
        <f t="shared" si="9"/>
        <v>#NUM!</v>
      </c>
      <c r="W7" s="49" t="e">
        <f t="shared" si="10"/>
        <v>#NUM!</v>
      </c>
      <c r="X7" s="49" t="e">
        <f t="shared" si="11"/>
        <v>#NUM!</v>
      </c>
      <c r="Y7" s="49" t="e">
        <f t="shared" si="12"/>
        <v>#NUM!</v>
      </c>
      <c r="Z7" s="49">
        <f t="shared" si="13"/>
        <v>-2.99573227355399</v>
      </c>
      <c r="AA7" s="50" t="e">
        <f t="shared" si="14"/>
        <v>#NUM!</v>
      </c>
    </row>
    <row r="8" spans="1:27" x14ac:dyDescent="0.25">
      <c r="A8" s="63">
        <v>5</v>
      </c>
      <c r="B8" s="30">
        <v>51.999999999941792</v>
      </c>
      <c r="C8" s="25">
        <v>14.9</v>
      </c>
      <c r="D8" s="3">
        <v>4.2</v>
      </c>
      <c r="E8" s="3">
        <v>2.65</v>
      </c>
      <c r="F8" s="3">
        <v>13.25</v>
      </c>
      <c r="G8" s="3">
        <v>4.95</v>
      </c>
      <c r="H8" s="3">
        <v>0.6</v>
      </c>
      <c r="I8" s="3">
        <v>0.5</v>
      </c>
      <c r="J8" s="31">
        <v>41.050000000000004</v>
      </c>
      <c r="K8" s="25">
        <v>187</v>
      </c>
      <c r="L8" s="26">
        <v>187</v>
      </c>
      <c r="M8" s="56">
        <f t="shared" si="0"/>
        <v>0.36297198538367842</v>
      </c>
      <c r="N8" s="57">
        <f t="shared" si="1"/>
        <v>0.10231425091352009</v>
      </c>
      <c r="O8" s="57">
        <f t="shared" si="2"/>
        <v>6.4555420219244819E-2</v>
      </c>
      <c r="P8" s="57">
        <f t="shared" si="3"/>
        <v>0.32277710109622409</v>
      </c>
      <c r="Q8" s="57">
        <f t="shared" si="4"/>
        <v>0.12058465286236296</v>
      </c>
      <c r="R8" s="57">
        <f t="shared" si="5"/>
        <v>1.4616321559074297E-2</v>
      </c>
      <c r="S8" s="58">
        <f t="shared" si="6"/>
        <v>1.2180267965895249E-2</v>
      </c>
      <c r="T8" s="48">
        <f t="shared" si="7"/>
        <v>-1.3119238183988204</v>
      </c>
      <c r="U8" s="49">
        <f t="shared" si="8"/>
        <v>-2.2133539592660978</v>
      </c>
      <c r="V8" s="49" t="e">
        <f t="shared" si="9"/>
        <v>#NUM!</v>
      </c>
      <c r="W8" s="49">
        <f t="shared" si="10"/>
        <v>-1.8422042272897643</v>
      </c>
      <c r="X8" s="49" t="e">
        <f t="shared" si="11"/>
        <v>#NUM!</v>
      </c>
      <c r="Y8" s="49" t="e">
        <f t="shared" si="12"/>
        <v>#NUM!</v>
      </c>
      <c r="Z8" s="49" t="e">
        <f t="shared" si="13"/>
        <v>#NUM!</v>
      </c>
      <c r="AA8" s="50">
        <f t="shared" si="14"/>
        <v>-0.9745795077451378</v>
      </c>
    </row>
    <row r="9" spans="1:27" x14ac:dyDescent="0.25">
      <c r="A9" s="63">
        <v>6</v>
      </c>
      <c r="B9" s="30">
        <v>68.433333333407063</v>
      </c>
      <c r="C9" s="25">
        <v>14.35</v>
      </c>
      <c r="D9" s="3">
        <v>4</v>
      </c>
      <c r="E9" s="3">
        <v>2.5</v>
      </c>
      <c r="F9" s="3">
        <v>12.75</v>
      </c>
      <c r="G9" s="3">
        <v>4.8</v>
      </c>
      <c r="H9" s="3">
        <v>0.65</v>
      </c>
      <c r="I9" s="3">
        <v>0.55000000000000004</v>
      </c>
      <c r="J9" s="31">
        <v>39.599999999999994</v>
      </c>
      <c r="K9" s="25">
        <v>185</v>
      </c>
      <c r="L9" s="26">
        <v>185</v>
      </c>
      <c r="M9" s="56">
        <f t="shared" si="0"/>
        <v>0.3623737373737374</v>
      </c>
      <c r="N9" s="57">
        <f t="shared" si="1"/>
        <v>0.10101010101010102</v>
      </c>
      <c r="O9" s="57">
        <f t="shared" si="2"/>
        <v>6.3131313131313135E-2</v>
      </c>
      <c r="P9" s="57">
        <f t="shared" si="3"/>
        <v>0.32196969696969702</v>
      </c>
      <c r="Q9" s="57">
        <f t="shared" si="4"/>
        <v>0.12121212121212123</v>
      </c>
      <c r="R9" s="57">
        <f t="shared" si="5"/>
        <v>1.6414141414141416E-2</v>
      </c>
      <c r="S9" s="58">
        <f t="shared" si="6"/>
        <v>1.3888888888888892E-2</v>
      </c>
      <c r="T9" s="48" t="e">
        <f t="shared" si="7"/>
        <v>#NUM!</v>
      </c>
      <c r="U9" s="49" t="e">
        <f t="shared" si="8"/>
        <v>#NUM!</v>
      </c>
      <c r="V9" s="49" t="e">
        <f t="shared" si="9"/>
        <v>#NUM!</v>
      </c>
      <c r="W9" s="49" t="e">
        <f t="shared" si="10"/>
        <v>#NUM!</v>
      </c>
      <c r="X9" s="49" t="e">
        <f t="shared" si="11"/>
        <v>#NUM!</v>
      </c>
      <c r="Y9" s="49">
        <f t="shared" si="12"/>
        <v>-2.99573227355399</v>
      </c>
      <c r="Z9" s="49">
        <f t="shared" si="13"/>
        <v>-2.99573227355399</v>
      </c>
      <c r="AA9" s="50" t="e">
        <f t="shared" si="14"/>
        <v>#NUM!</v>
      </c>
    </row>
    <row r="10" spans="1:27" x14ac:dyDescent="0.25">
      <c r="A10" s="63">
        <v>7</v>
      </c>
      <c r="B10" s="30">
        <v>75.583333333313931</v>
      </c>
      <c r="C10" s="25">
        <v>14.55</v>
      </c>
      <c r="D10" s="3">
        <v>4.05</v>
      </c>
      <c r="E10" s="3">
        <v>2.6</v>
      </c>
      <c r="F10" s="3">
        <v>12.95</v>
      </c>
      <c r="G10" s="3">
        <v>4.8499999999999996</v>
      </c>
      <c r="H10" s="3">
        <v>0.6</v>
      </c>
      <c r="I10" s="3">
        <v>0.55000000000000004</v>
      </c>
      <c r="J10" s="31">
        <v>40.150000000000006</v>
      </c>
      <c r="K10" s="25">
        <v>182</v>
      </c>
      <c r="L10" s="26">
        <v>182</v>
      </c>
      <c r="M10" s="56">
        <f t="shared" si="0"/>
        <v>0.36239103362391029</v>
      </c>
      <c r="N10" s="57">
        <f t="shared" si="1"/>
        <v>0.1008717310087173</v>
      </c>
      <c r="O10" s="57">
        <f t="shared" si="2"/>
        <v>6.4757160647571602E-2</v>
      </c>
      <c r="P10" s="57">
        <f t="shared" si="3"/>
        <v>0.32254047322540469</v>
      </c>
      <c r="Q10" s="57">
        <f t="shared" si="4"/>
        <v>0.12079701120797008</v>
      </c>
      <c r="R10" s="57">
        <f t="shared" si="5"/>
        <v>1.4943960149439599E-2</v>
      </c>
      <c r="S10" s="58">
        <f t="shared" si="6"/>
        <v>1.3698630136986301E-2</v>
      </c>
      <c r="T10" s="48" t="e">
        <f t="shared" si="7"/>
        <v>#NUM!</v>
      </c>
      <c r="U10" s="49" t="e">
        <f t="shared" si="8"/>
        <v>#NUM!</v>
      </c>
      <c r="V10" s="49" t="e">
        <f t="shared" si="9"/>
        <v>#NUM!</v>
      </c>
      <c r="W10" s="49" t="e">
        <f t="shared" si="10"/>
        <v>#NUM!</v>
      </c>
      <c r="X10" s="49" t="e">
        <f t="shared" si="11"/>
        <v>#NUM!</v>
      </c>
      <c r="Y10" s="49" t="e">
        <f t="shared" si="12"/>
        <v>#NUM!</v>
      </c>
      <c r="Z10" s="49">
        <f t="shared" si="13"/>
        <v>-2.99573227355399</v>
      </c>
      <c r="AA10" s="50" t="e">
        <f t="shared" si="14"/>
        <v>#NUM!</v>
      </c>
    </row>
    <row r="11" spans="1:27" x14ac:dyDescent="0.25">
      <c r="A11" s="63">
        <v>8</v>
      </c>
      <c r="B11" s="30">
        <v>140.95000000001164</v>
      </c>
      <c r="C11" s="25">
        <v>14</v>
      </c>
      <c r="D11" s="3">
        <v>3.9</v>
      </c>
      <c r="E11" s="3">
        <v>2.5</v>
      </c>
      <c r="F11" s="3">
        <v>12.45</v>
      </c>
      <c r="G11" s="3">
        <v>4.8</v>
      </c>
      <c r="H11" s="3">
        <v>0.6</v>
      </c>
      <c r="I11" s="3">
        <v>0.5</v>
      </c>
      <c r="J11" s="31">
        <v>38.749999999999993</v>
      </c>
      <c r="K11" s="25">
        <v>180</v>
      </c>
      <c r="L11" s="26">
        <v>180</v>
      </c>
      <c r="M11" s="56">
        <f t="shared" si="0"/>
        <v>0.36129032258064525</v>
      </c>
      <c r="N11" s="57">
        <f t="shared" si="1"/>
        <v>0.1006451612903226</v>
      </c>
      <c r="O11" s="57">
        <f t="shared" si="2"/>
        <v>6.4516129032258077E-2</v>
      </c>
      <c r="P11" s="57">
        <f t="shared" si="3"/>
        <v>0.32129032258064522</v>
      </c>
      <c r="Q11" s="57">
        <f t="shared" si="4"/>
        <v>0.1238709677419355</v>
      </c>
      <c r="R11" s="57">
        <f t="shared" si="5"/>
        <v>1.5483870967741937E-2</v>
      </c>
      <c r="S11" s="58">
        <f t="shared" si="6"/>
        <v>1.2903225806451615E-2</v>
      </c>
      <c r="T11" s="48" t="e">
        <f t="shared" si="7"/>
        <v>#NUM!</v>
      </c>
      <c r="U11" s="49" t="e">
        <f t="shared" si="8"/>
        <v>#NUM!</v>
      </c>
      <c r="V11" s="49" t="e">
        <f t="shared" si="9"/>
        <v>#NUM!</v>
      </c>
      <c r="W11" s="49" t="e">
        <f t="shared" si="10"/>
        <v>#NUM!</v>
      </c>
      <c r="X11" s="49" t="e">
        <f t="shared" si="11"/>
        <v>#NUM!</v>
      </c>
      <c r="Y11" s="49" t="e">
        <f t="shared" si="12"/>
        <v>#NUM!</v>
      </c>
      <c r="Z11" s="49" t="e">
        <f t="shared" si="13"/>
        <v>#NUM!</v>
      </c>
      <c r="AA11" s="50" t="e">
        <f t="shared" si="14"/>
        <v>#NUM!</v>
      </c>
    </row>
    <row r="12" spans="1:27" x14ac:dyDescent="0.25">
      <c r="A12" s="63">
        <v>9</v>
      </c>
      <c r="B12" s="30">
        <v>148.31666666659294</v>
      </c>
      <c r="C12" s="25">
        <v>14.45</v>
      </c>
      <c r="D12" s="3">
        <v>4.05</v>
      </c>
      <c r="E12" s="3">
        <v>2.6</v>
      </c>
      <c r="F12" s="3">
        <v>12.8</v>
      </c>
      <c r="G12" s="3">
        <v>4.9000000000000004</v>
      </c>
      <c r="H12" s="3">
        <v>0.6</v>
      </c>
      <c r="I12" s="3">
        <v>0.5</v>
      </c>
      <c r="J12" s="31">
        <v>39.900000000000006</v>
      </c>
      <c r="K12" s="25">
        <v>177</v>
      </c>
      <c r="L12" s="26">
        <v>177</v>
      </c>
      <c r="M12" s="56">
        <f t="shared" si="0"/>
        <v>0.3621553884711779</v>
      </c>
      <c r="N12" s="57">
        <f t="shared" si="1"/>
        <v>0.10150375939849622</v>
      </c>
      <c r="O12" s="57">
        <f t="shared" si="2"/>
        <v>6.5162907268170422E-2</v>
      </c>
      <c r="P12" s="57">
        <f t="shared" si="3"/>
        <v>0.32080200501253131</v>
      </c>
      <c r="Q12" s="57">
        <f t="shared" si="4"/>
        <v>0.12280701754385964</v>
      </c>
      <c r="R12" s="57">
        <f t="shared" si="5"/>
        <v>1.5037593984962403E-2</v>
      </c>
      <c r="S12" s="58">
        <f t="shared" si="6"/>
        <v>1.2531328320802003E-2</v>
      </c>
      <c r="T12" s="48" t="e">
        <f t="shared" si="7"/>
        <v>#NUM!</v>
      </c>
      <c r="U12" s="49" t="e">
        <f t="shared" si="8"/>
        <v>#NUM!</v>
      </c>
      <c r="V12" s="49" t="e">
        <f t="shared" si="9"/>
        <v>#NUM!</v>
      </c>
      <c r="W12" s="49" t="e">
        <f t="shared" si="10"/>
        <v>#NUM!</v>
      </c>
      <c r="X12" s="49" t="e">
        <f t="shared" si="11"/>
        <v>#NUM!</v>
      </c>
      <c r="Y12" s="49" t="e">
        <f t="shared" si="12"/>
        <v>#NUM!</v>
      </c>
      <c r="Z12" s="49" t="e">
        <f t="shared" si="13"/>
        <v>#NUM!</v>
      </c>
      <c r="AA12" s="50" t="e">
        <f t="shared" si="14"/>
        <v>#NUM!</v>
      </c>
    </row>
    <row r="13" spans="1:27" x14ac:dyDescent="0.25">
      <c r="A13" s="63">
        <v>10</v>
      </c>
      <c r="B13" s="30">
        <v>164.58333333337214</v>
      </c>
      <c r="C13" s="25">
        <v>14.7</v>
      </c>
      <c r="D13" s="3">
        <v>4.05</v>
      </c>
      <c r="E13" s="3">
        <v>2.65</v>
      </c>
      <c r="F13" s="3">
        <v>13.05</v>
      </c>
      <c r="G13" s="3">
        <v>5.05</v>
      </c>
      <c r="H13" s="3">
        <v>0.6</v>
      </c>
      <c r="I13" s="3">
        <v>0.5</v>
      </c>
      <c r="J13" s="31">
        <v>40.6</v>
      </c>
      <c r="K13" s="25">
        <v>175</v>
      </c>
      <c r="L13" s="26">
        <v>175</v>
      </c>
      <c r="M13" s="56">
        <f t="shared" si="0"/>
        <v>0.36206896551724133</v>
      </c>
      <c r="N13" s="57">
        <f t="shared" si="1"/>
        <v>9.9753694581280777E-2</v>
      </c>
      <c r="O13" s="57">
        <f t="shared" si="2"/>
        <v>6.5270935960591123E-2</v>
      </c>
      <c r="P13" s="57">
        <f t="shared" si="3"/>
        <v>0.32142857142857145</v>
      </c>
      <c r="Q13" s="57">
        <f t="shared" si="4"/>
        <v>0.12438423645320196</v>
      </c>
      <c r="R13" s="57">
        <f t="shared" si="5"/>
        <v>1.4778325123152709E-2</v>
      </c>
      <c r="S13" s="58">
        <f t="shared" si="6"/>
        <v>1.231527093596059E-2</v>
      </c>
      <c r="T13" s="48">
        <f t="shared" si="7"/>
        <v>-2.9213617308329423</v>
      </c>
      <c r="U13" s="49" t="e">
        <f t="shared" si="8"/>
        <v>#NUM!</v>
      </c>
      <c r="V13" s="49" t="e">
        <f t="shared" si="9"/>
        <v>#NUM!</v>
      </c>
      <c r="W13" s="49" t="e">
        <f t="shared" si="10"/>
        <v>#NUM!</v>
      </c>
      <c r="X13" s="49" t="e">
        <f t="shared" si="11"/>
        <v>#NUM!</v>
      </c>
      <c r="Y13" s="49" t="e">
        <f t="shared" si="12"/>
        <v>#NUM!</v>
      </c>
      <c r="Z13" s="49" t="e">
        <f t="shared" si="13"/>
        <v>#NUM!</v>
      </c>
      <c r="AA13" s="50" t="e">
        <f t="shared" si="14"/>
        <v>#NUM!</v>
      </c>
    </row>
    <row r="14" spans="1:27" x14ac:dyDescent="0.25">
      <c r="A14" s="63">
        <v>11</v>
      </c>
      <c r="B14" s="30">
        <v>171.70000000001164</v>
      </c>
      <c r="C14" s="25">
        <v>14.9</v>
      </c>
      <c r="D14" s="3">
        <v>4.1500000000000004</v>
      </c>
      <c r="E14" s="3">
        <v>2.75</v>
      </c>
      <c r="F14" s="3">
        <v>13.2</v>
      </c>
      <c r="G14" s="3">
        <v>5.15</v>
      </c>
      <c r="H14" s="3">
        <v>0.6</v>
      </c>
      <c r="I14" s="3">
        <v>0.55000000000000004</v>
      </c>
      <c r="J14" s="31">
        <v>41.3</v>
      </c>
      <c r="K14" s="25">
        <v>172</v>
      </c>
      <c r="L14" s="26">
        <v>172</v>
      </c>
      <c r="M14" s="56">
        <f t="shared" si="0"/>
        <v>0.36077481840193709</v>
      </c>
      <c r="N14" s="57">
        <f t="shared" si="1"/>
        <v>0.10048426150121068</v>
      </c>
      <c r="O14" s="57">
        <f t="shared" si="2"/>
        <v>6.6585956416464892E-2</v>
      </c>
      <c r="P14" s="57">
        <f t="shared" si="3"/>
        <v>0.31961259079903148</v>
      </c>
      <c r="Q14" s="57">
        <f t="shared" si="4"/>
        <v>0.12469733656174335</v>
      </c>
      <c r="R14" s="57">
        <f t="shared" si="5"/>
        <v>1.4527845036319613E-2</v>
      </c>
      <c r="S14" s="58">
        <f t="shared" si="6"/>
        <v>1.331719128329298E-2</v>
      </c>
      <c r="T14" s="48">
        <f t="shared" si="7"/>
        <v>-1.3119238183988204</v>
      </c>
      <c r="U14" s="49">
        <f t="shared" si="8"/>
        <v>-2.9065011398260343</v>
      </c>
      <c r="V14" s="49">
        <f t="shared" si="9"/>
        <v>-2.877949237897611</v>
      </c>
      <c r="W14" s="49">
        <f t="shared" si="10"/>
        <v>-2.2476693353979345</v>
      </c>
      <c r="X14" s="49">
        <f t="shared" si="11"/>
        <v>-2.1872742464830459</v>
      </c>
      <c r="Y14" s="49" t="e">
        <f t="shared" si="12"/>
        <v>#NUM!</v>
      </c>
      <c r="Z14" s="49">
        <f t="shared" si="13"/>
        <v>-2.99573227355399</v>
      </c>
      <c r="AA14" s="50">
        <f t="shared" si="14"/>
        <v>-0.43558300701247288</v>
      </c>
    </row>
    <row r="15" spans="1:27" x14ac:dyDescent="0.25">
      <c r="A15" s="64">
        <v>12</v>
      </c>
      <c r="B15" s="34">
        <v>188.65000000008149</v>
      </c>
      <c r="C15" s="38">
        <v>14.65</v>
      </c>
      <c r="D15" s="39">
        <v>4.0999999999999996</v>
      </c>
      <c r="E15" s="39">
        <v>2.7</v>
      </c>
      <c r="F15" s="39">
        <v>13.1</v>
      </c>
      <c r="G15" s="39">
        <v>5.05</v>
      </c>
      <c r="H15" s="39">
        <v>0.6</v>
      </c>
      <c r="I15" s="39">
        <v>0.5</v>
      </c>
      <c r="J15" s="35">
        <v>40.699999999999996</v>
      </c>
      <c r="K15" s="38">
        <v>170</v>
      </c>
      <c r="L15" s="40">
        <v>170</v>
      </c>
      <c r="M15" s="59">
        <f t="shared" si="0"/>
        <v>0.35995085995086001</v>
      </c>
      <c r="N15" s="60">
        <f t="shared" si="1"/>
        <v>0.10073710073710074</v>
      </c>
      <c r="O15" s="60">
        <f t="shared" si="2"/>
        <v>6.6339066339066347E-2</v>
      </c>
      <c r="P15" s="60">
        <f t="shared" si="3"/>
        <v>0.32186732186732187</v>
      </c>
      <c r="Q15" s="60">
        <f t="shared" si="4"/>
        <v>0.12407862407862409</v>
      </c>
      <c r="R15" s="60">
        <f t="shared" si="5"/>
        <v>1.4742014742014743E-2</v>
      </c>
      <c r="S15" s="61">
        <f t="shared" si="6"/>
        <v>1.2285012285012286E-2</v>
      </c>
      <c r="T15" s="53"/>
      <c r="U15" s="54"/>
      <c r="V15" s="54"/>
      <c r="W15" s="54"/>
      <c r="X15" s="54"/>
      <c r="Y15" s="54"/>
      <c r="Z15" s="54"/>
      <c r="AA15" s="55"/>
    </row>
    <row r="16" spans="1:2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51"/>
      <c r="U16" s="51"/>
      <c r="V16" s="51"/>
      <c r="W16" s="51"/>
      <c r="X16" s="51"/>
      <c r="Y16" s="51"/>
      <c r="Z16" s="51"/>
      <c r="AA16" s="51"/>
    </row>
    <row r="17" spans="1:27" x14ac:dyDescent="0.25">
      <c r="A17" s="3"/>
      <c r="B17" s="149" t="s">
        <v>164</v>
      </c>
      <c r="C17" s="30">
        <f t="shared" ref="C17:J17" si="15">(C3*($K$3/1000))/(($K$3+$L$3)/1000)</f>
        <v>6.8</v>
      </c>
      <c r="D17" s="30">
        <f t="shared" si="15"/>
        <v>1.875</v>
      </c>
      <c r="E17" s="30">
        <f t="shared" si="15"/>
        <v>1.2</v>
      </c>
      <c r="F17" s="30">
        <f t="shared" si="15"/>
        <v>6.2000000000000011</v>
      </c>
      <c r="G17" s="30">
        <f t="shared" si="15"/>
        <v>2.25</v>
      </c>
      <c r="H17" s="30">
        <f t="shared" si="15"/>
        <v>0.3</v>
      </c>
      <c r="I17" s="30">
        <f t="shared" si="15"/>
        <v>0.25</v>
      </c>
      <c r="J17" s="30">
        <f t="shared" si="15"/>
        <v>18.875</v>
      </c>
      <c r="K17" s="3"/>
      <c r="L17" s="3"/>
      <c r="M17" s="3"/>
      <c r="N17" s="3"/>
      <c r="O17" s="3"/>
      <c r="P17" s="3"/>
      <c r="Q17" s="3"/>
      <c r="R17" s="3"/>
      <c r="S17" s="3" t="s">
        <v>45</v>
      </c>
      <c r="T17" s="147" t="e">
        <f>-SLOPE(T3:T15,$B$3:$B$15)</f>
        <v>#NUM!</v>
      </c>
      <c r="U17" s="147" t="e">
        <f t="shared" ref="U17:AA17" si="16">-SLOPE(U3:U15,$B$3:$B$15)</f>
        <v>#NUM!</v>
      </c>
      <c r="V17" s="147" t="e">
        <f t="shared" si="16"/>
        <v>#NUM!</v>
      </c>
      <c r="W17" s="147" t="e">
        <f t="shared" si="16"/>
        <v>#NUM!</v>
      </c>
      <c r="X17" s="147" t="e">
        <f t="shared" si="16"/>
        <v>#NUM!</v>
      </c>
      <c r="Y17" s="147" t="e">
        <f t="shared" si="16"/>
        <v>#NUM!</v>
      </c>
      <c r="Z17" s="147" t="e">
        <f t="shared" si="16"/>
        <v>#NUM!</v>
      </c>
      <c r="AA17" s="147" t="e">
        <f t="shared" si="16"/>
        <v>#NUM!</v>
      </c>
    </row>
    <row r="18" spans="1:2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 t="s">
        <v>43</v>
      </c>
      <c r="T18" s="147" t="e">
        <f>(CORREL(T3:T15,$B$3:$B$15))^2</f>
        <v>#NUM!</v>
      </c>
      <c r="U18" s="147" t="e">
        <f t="shared" ref="U18:AA18" si="17">(CORREL(U3:U15,$B$3:$B$15))^2</f>
        <v>#NUM!</v>
      </c>
      <c r="V18" s="147" t="e">
        <f t="shared" si="17"/>
        <v>#NUM!</v>
      </c>
      <c r="W18" s="147" t="e">
        <f t="shared" si="17"/>
        <v>#NUM!</v>
      </c>
      <c r="X18" s="147" t="e">
        <f t="shared" si="17"/>
        <v>#NUM!</v>
      </c>
      <c r="Y18" s="147" t="e">
        <f t="shared" si="17"/>
        <v>#NUM!</v>
      </c>
      <c r="Z18" s="147" t="e">
        <f t="shared" si="17"/>
        <v>#NUM!</v>
      </c>
      <c r="AA18" s="147" t="e">
        <f t="shared" si="17"/>
        <v>#NUM!</v>
      </c>
    </row>
    <row r="19" spans="1:27" x14ac:dyDescent="0.25">
      <c r="A19" s="3"/>
      <c r="B19" s="150"/>
      <c r="C19" s="151"/>
      <c r="D19" s="151"/>
      <c r="E19" s="151"/>
      <c r="F19" s="151"/>
      <c r="G19" s="151"/>
      <c r="H19" s="151"/>
      <c r="I19" s="151"/>
      <c r="J19" s="151"/>
      <c r="K19" s="30"/>
      <c r="L19" s="30"/>
      <c r="M19" s="3"/>
      <c r="N19" s="3"/>
      <c r="O19" s="3"/>
      <c r="P19" s="3"/>
      <c r="Q19" s="3"/>
      <c r="R19" s="3"/>
      <c r="S19" s="3" t="s">
        <v>46</v>
      </c>
      <c r="T19" s="148" t="e">
        <f>(T17*($K$3/1000000))/Constants!$K$8</f>
        <v>#NUM!</v>
      </c>
      <c r="U19" s="148" t="e">
        <f>(U17*($K$3/1000000))/Constants!$K$8</f>
        <v>#NUM!</v>
      </c>
      <c r="V19" s="148" t="e">
        <f>(V17*($K$3/1000000))/Constants!$K$8</f>
        <v>#NUM!</v>
      </c>
      <c r="W19" s="148" t="e">
        <f>(W17*($K$3/1000000))/Constants!$K$8</f>
        <v>#NUM!</v>
      </c>
      <c r="X19" s="148" t="e">
        <f>(X17*($K$3/1000000))/Constants!$K$8</f>
        <v>#NUM!</v>
      </c>
      <c r="Y19" s="148" t="e">
        <f>(Y17*($K$3/1000000))/Constants!$K$8</f>
        <v>#NUM!</v>
      </c>
      <c r="Z19" s="148" t="e">
        <f>(Z17*($K$3/1000000))/Constants!$K$8</f>
        <v>#NUM!</v>
      </c>
      <c r="AA19" s="148" t="e">
        <f>(AA17*($K$3/1000000))/Constants!$K$8</f>
        <v>#NUM!</v>
      </c>
    </row>
    <row r="20" spans="1:27" x14ac:dyDescent="0.25">
      <c r="A20" s="3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"/>
      <c r="N20" s="3"/>
      <c r="O20" s="3"/>
      <c r="P20" s="3"/>
      <c r="Q20" s="3"/>
      <c r="R20" s="3"/>
      <c r="S20" s="3" t="s">
        <v>47</v>
      </c>
      <c r="T20" s="148" t="e">
        <f>T19/3600</f>
        <v>#NUM!</v>
      </c>
      <c r="U20" s="148" t="e">
        <f t="shared" ref="U20:AA20" si="18">U19/3600</f>
        <v>#NUM!</v>
      </c>
      <c r="V20" s="148" t="e">
        <f t="shared" si="18"/>
        <v>#NUM!</v>
      </c>
      <c r="W20" s="148" t="e">
        <f t="shared" si="18"/>
        <v>#NUM!</v>
      </c>
      <c r="X20" s="148" t="e">
        <f t="shared" si="18"/>
        <v>#NUM!</v>
      </c>
      <c r="Y20" s="148" t="e">
        <f t="shared" si="18"/>
        <v>#NUM!</v>
      </c>
      <c r="Z20" s="148" t="e">
        <f t="shared" si="18"/>
        <v>#NUM!</v>
      </c>
      <c r="AA20" s="148" t="e">
        <f t="shared" si="18"/>
        <v>#NUM!</v>
      </c>
    </row>
    <row r="21" spans="1:27" x14ac:dyDescent="0.25">
      <c r="A21" s="3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"/>
      <c r="N21" s="3"/>
      <c r="O21" s="3"/>
      <c r="P21" s="3"/>
      <c r="Q21" s="3"/>
      <c r="R21" s="3"/>
      <c r="S21" s="152" t="s">
        <v>64</v>
      </c>
      <c r="T21" s="153" t="e">
        <f>T20*10^6</f>
        <v>#NUM!</v>
      </c>
      <c r="U21" s="153" t="e">
        <f t="shared" ref="U21:AA21" si="19">U20*10^6</f>
        <v>#NUM!</v>
      </c>
      <c r="V21" s="153" t="e">
        <f t="shared" si="19"/>
        <v>#NUM!</v>
      </c>
      <c r="W21" s="153" t="e">
        <f t="shared" si="19"/>
        <v>#NUM!</v>
      </c>
      <c r="X21" s="153" t="e">
        <f t="shared" si="19"/>
        <v>#NUM!</v>
      </c>
      <c r="Y21" s="153" t="e">
        <f t="shared" si="19"/>
        <v>#NUM!</v>
      </c>
      <c r="Z21" s="153" t="e">
        <f t="shared" si="19"/>
        <v>#NUM!</v>
      </c>
      <c r="AA21" s="153" t="e">
        <f t="shared" si="19"/>
        <v>#NUM!</v>
      </c>
    </row>
    <row r="23" spans="1:27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27" x14ac:dyDescent="0.25">
      <c r="C24" s="27"/>
      <c r="D24" s="28"/>
      <c r="E24" s="28"/>
      <c r="F24" s="27"/>
      <c r="G24" s="27"/>
      <c r="H24" s="27"/>
      <c r="I24" s="27"/>
      <c r="J24" s="27"/>
      <c r="K24" s="27"/>
      <c r="L24" s="27"/>
    </row>
    <row r="25" spans="1:27" x14ac:dyDescent="0.25">
      <c r="D25" s="28"/>
      <c r="E25" s="28"/>
    </row>
    <row r="27" spans="1:27" x14ac:dyDescent="0.25">
      <c r="D27" s="28"/>
      <c r="E27" s="28"/>
      <c r="F27" s="28"/>
    </row>
  </sheetData>
  <mergeCells count="6">
    <mergeCell ref="T1:AA1"/>
    <mergeCell ref="A1:A2"/>
    <mergeCell ref="B1:B2"/>
    <mergeCell ref="C1:J1"/>
    <mergeCell ref="K1:L1"/>
    <mergeCell ref="M1:S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4"/>
  <sheetViews>
    <sheetView workbookViewId="0">
      <selection sqref="A1:E1"/>
    </sheetView>
  </sheetViews>
  <sheetFormatPr defaultRowHeight="15" x14ac:dyDescent="0.25"/>
  <cols>
    <col min="1" max="1" width="27.28515625" bestFit="1" customWidth="1"/>
    <col min="2" max="2" width="10.140625" bestFit="1" customWidth="1"/>
    <col min="3" max="3" width="9.28515625" bestFit="1" customWidth="1"/>
    <col min="6" max="6" width="12.140625" bestFit="1" customWidth="1"/>
    <col min="7" max="13" width="10.5703125" bestFit="1" customWidth="1"/>
  </cols>
  <sheetData>
    <row r="1" spans="1:13" x14ac:dyDescent="0.25">
      <c r="A1" s="258" t="s">
        <v>0</v>
      </c>
      <c r="B1" s="259"/>
      <c r="C1" s="259"/>
      <c r="D1" s="259"/>
      <c r="E1" s="260"/>
      <c r="F1" s="258" t="s">
        <v>15</v>
      </c>
      <c r="G1" s="259"/>
      <c r="H1" s="259"/>
      <c r="I1" s="259"/>
      <c r="J1" s="259"/>
      <c r="K1" s="259"/>
      <c r="L1" s="259"/>
      <c r="M1" s="260"/>
    </row>
    <row r="2" spans="1:13" ht="15.75" thickBot="1" x14ac:dyDescent="0.3">
      <c r="A2" s="161"/>
      <c r="B2" s="152" t="s">
        <v>1</v>
      </c>
      <c r="C2" s="152" t="s">
        <v>4</v>
      </c>
      <c r="D2" s="152" t="s">
        <v>8</v>
      </c>
      <c r="E2" s="162" t="s">
        <v>14</v>
      </c>
      <c r="F2" s="161" t="s">
        <v>16</v>
      </c>
      <c r="G2" s="152" t="s">
        <v>17</v>
      </c>
      <c r="H2" s="152" t="s">
        <v>18</v>
      </c>
      <c r="I2" s="152" t="s">
        <v>19</v>
      </c>
      <c r="J2" s="152" t="s">
        <v>20</v>
      </c>
      <c r="K2" s="152" t="s">
        <v>21</v>
      </c>
      <c r="L2" s="152" t="s">
        <v>22</v>
      </c>
      <c r="M2" s="162" t="s">
        <v>24</v>
      </c>
    </row>
    <row r="3" spans="1:13" ht="15.75" thickBot="1" x14ac:dyDescent="0.3">
      <c r="A3" s="176" t="s">
        <v>29</v>
      </c>
      <c r="B3" s="181" t="s">
        <v>3</v>
      </c>
      <c r="C3" s="181" t="s">
        <v>7</v>
      </c>
      <c r="D3" s="181">
        <v>2.5</v>
      </c>
      <c r="E3" s="184">
        <v>663145596216230.75</v>
      </c>
      <c r="F3" s="182">
        <f>'Expt overview'!F22</f>
        <v>1.7274722958623969E-3</v>
      </c>
      <c r="G3" s="182">
        <f>'Expt overview'!G22</f>
        <v>7.5408960809643221E-3</v>
      </c>
      <c r="H3" s="182"/>
      <c r="I3" s="182">
        <f>'Expt overview'!I22</f>
        <v>1.6788256035667946E-2</v>
      </c>
      <c r="J3" s="182"/>
      <c r="K3" s="182">
        <f>'Expt overview'!K22</f>
        <v>5.3554844290542455E-2</v>
      </c>
      <c r="L3" s="182">
        <f>'Expt overview'!L22</f>
        <v>0.19909397719153921</v>
      </c>
      <c r="M3" s="185">
        <f>'Expt overview'!M22</f>
        <v>1.1497231542356483E-2</v>
      </c>
    </row>
    <row r="4" spans="1:13" ht="15.75" thickBot="1" x14ac:dyDescent="0.3">
      <c r="A4" s="177" t="s">
        <v>165</v>
      </c>
      <c r="B4" s="178"/>
      <c r="C4" s="178"/>
      <c r="D4" s="178"/>
      <c r="E4" s="178"/>
      <c r="F4" s="179">
        <f>(F5/3600)*10^6</f>
        <v>0.56388888888888888</v>
      </c>
      <c r="G4" s="179">
        <f>(G5/3600)*10^6</f>
        <v>0.71388888888888891</v>
      </c>
      <c r="H4" s="179"/>
      <c r="I4" s="179">
        <f>(I5/3600)*10^6</f>
        <v>0.97499999999999998</v>
      </c>
      <c r="J4" s="179"/>
      <c r="K4" s="179">
        <f>(K5/3600)*10^6</f>
        <v>1.2111111111111112</v>
      </c>
      <c r="L4" s="179">
        <f>(L5/3600)*10^6</f>
        <v>2.0777777777777779</v>
      </c>
      <c r="M4" s="180"/>
    </row>
    <row r="5" spans="1:13" ht="15.75" thickBot="1" x14ac:dyDescent="0.3">
      <c r="A5" s="176" t="s">
        <v>166</v>
      </c>
      <c r="B5" s="181"/>
      <c r="C5" s="181"/>
      <c r="D5" s="181"/>
      <c r="E5" s="181"/>
      <c r="F5" s="182">
        <v>2.0300000000000001E-3</v>
      </c>
      <c r="G5" s="182">
        <v>2.5699999999999998E-3</v>
      </c>
      <c r="H5" s="182"/>
      <c r="I5" s="182">
        <v>3.5100000000000001E-3</v>
      </c>
      <c r="J5" s="182"/>
      <c r="K5" s="182">
        <v>4.3600000000000002E-3</v>
      </c>
      <c r="L5" s="182">
        <v>7.4799999999999997E-3</v>
      </c>
      <c r="M5" s="183"/>
    </row>
    <row r="9" spans="1:13" ht="15.75" thickBot="1" x14ac:dyDescent="0.3"/>
    <row r="10" spans="1:13" x14ac:dyDescent="0.25">
      <c r="B10" s="258" t="s">
        <v>15</v>
      </c>
      <c r="C10" s="259"/>
      <c r="D10" s="259"/>
      <c r="E10" s="259"/>
      <c r="F10" s="260"/>
      <c r="G10" s="163"/>
      <c r="H10" s="163"/>
      <c r="I10" s="163"/>
    </row>
    <row r="11" spans="1:13" ht="15.75" thickBot="1" x14ac:dyDescent="0.3">
      <c r="B11" s="161" t="s">
        <v>16</v>
      </c>
      <c r="C11" s="152" t="s">
        <v>17</v>
      </c>
      <c r="D11" s="152" t="s">
        <v>19</v>
      </c>
      <c r="E11" s="152" t="s">
        <v>21</v>
      </c>
      <c r="F11" s="162" t="s">
        <v>22</v>
      </c>
      <c r="G11" s="3"/>
      <c r="H11" s="3"/>
      <c r="I11" s="3"/>
    </row>
    <row r="12" spans="1:13" x14ac:dyDescent="0.25">
      <c r="A12" s="164" t="s">
        <v>29</v>
      </c>
      <c r="B12" s="165">
        <f>F3</f>
        <v>1.7274722958623969E-3</v>
      </c>
      <c r="C12" s="166">
        <f>G3</f>
        <v>7.5408960809643221E-3</v>
      </c>
      <c r="D12" s="166">
        <f>I3</f>
        <v>1.6788256035667946E-2</v>
      </c>
      <c r="E12" s="166">
        <f>K3</f>
        <v>5.3554844290542455E-2</v>
      </c>
      <c r="F12" s="167">
        <f>L3</f>
        <v>0.19909397719153921</v>
      </c>
    </row>
    <row r="13" spans="1:13" ht="15.75" thickBot="1" x14ac:dyDescent="0.3">
      <c r="A13" s="5" t="s">
        <v>30</v>
      </c>
      <c r="B13" s="168">
        <f>F4</f>
        <v>0.56388888888888888</v>
      </c>
      <c r="C13" s="169">
        <f>G4</f>
        <v>0.71388888888888891</v>
      </c>
      <c r="D13" s="169">
        <f>I4</f>
        <v>0.97499999999999998</v>
      </c>
      <c r="E13" s="169">
        <f>K4</f>
        <v>1.2111111111111112</v>
      </c>
      <c r="F13" s="170">
        <f>L4</f>
        <v>2.0777777777777779</v>
      </c>
    </row>
    <row r="14" spans="1:13" x14ac:dyDescent="0.25">
      <c r="B14" s="186"/>
      <c r="C14" s="186"/>
      <c r="D14" s="186"/>
      <c r="E14" s="186"/>
      <c r="F14" s="186"/>
    </row>
  </sheetData>
  <mergeCells count="3">
    <mergeCell ref="A1:E1"/>
    <mergeCell ref="F1:M1"/>
    <mergeCell ref="B10:F10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7"/>
  <sheetViews>
    <sheetView workbookViewId="0"/>
  </sheetViews>
  <sheetFormatPr defaultRowHeight="15" x14ac:dyDescent="0.25"/>
  <cols>
    <col min="3" max="3" width="12" bestFit="1" customWidth="1"/>
    <col min="7" max="8" width="15.85546875" customWidth="1"/>
    <col min="9" max="9" width="13.28515625" customWidth="1"/>
    <col min="11" max="11" width="20.140625" bestFit="1" customWidth="1"/>
  </cols>
  <sheetData>
    <row r="1" spans="1:11" x14ac:dyDescent="0.25">
      <c r="A1" t="s">
        <v>181</v>
      </c>
    </row>
    <row r="2" spans="1:11" x14ac:dyDescent="0.25">
      <c r="A2" s="269" t="s">
        <v>31</v>
      </c>
      <c r="B2" s="271" t="s">
        <v>32</v>
      </c>
      <c r="C2" s="273" t="s">
        <v>8</v>
      </c>
      <c r="D2" s="271"/>
      <c r="E2" s="273" t="s">
        <v>35</v>
      </c>
      <c r="F2" s="274"/>
      <c r="G2" s="288" t="s">
        <v>76</v>
      </c>
      <c r="H2" s="287" t="s">
        <v>77</v>
      </c>
      <c r="I2" s="286" t="s">
        <v>78</v>
      </c>
      <c r="J2" s="284" t="s">
        <v>79</v>
      </c>
      <c r="K2" s="285" t="s">
        <v>80</v>
      </c>
    </row>
    <row r="3" spans="1:11" x14ac:dyDescent="0.25">
      <c r="A3" s="270"/>
      <c r="B3" s="272"/>
      <c r="C3" s="38" t="s">
        <v>37</v>
      </c>
      <c r="D3" s="40" t="s">
        <v>38</v>
      </c>
      <c r="E3" s="38" t="s">
        <v>42</v>
      </c>
      <c r="F3" s="39" t="s">
        <v>38</v>
      </c>
      <c r="G3" s="289"/>
      <c r="H3" s="287"/>
      <c r="I3" s="286"/>
      <c r="J3" s="284"/>
      <c r="K3" s="285"/>
    </row>
    <row r="4" spans="1:11" x14ac:dyDescent="0.25">
      <c r="A4" s="63">
        <v>0</v>
      </c>
      <c r="B4" s="77">
        <v>0</v>
      </c>
      <c r="C4" s="41">
        <v>7.16</v>
      </c>
      <c r="D4" s="42"/>
      <c r="E4" s="25">
        <v>200</v>
      </c>
      <c r="F4" s="3">
        <v>200</v>
      </c>
      <c r="G4" s="63">
        <v>15.65</v>
      </c>
      <c r="H4" s="18">
        <f t="shared" ref="H4:H10" si="0">G4/$C$18</f>
        <v>0.17761888548405402</v>
      </c>
      <c r="I4" s="62">
        <f>10^-C4</f>
        <v>6.9183097091893466E-8</v>
      </c>
      <c r="J4" s="62">
        <f t="shared" ref="J4:J10" si="1">(I4*H4)/($C$15+I4)</f>
        <v>8.0818084886230123E-4</v>
      </c>
      <c r="K4">
        <f>LN((J4-$J$12)/($J$4-$J$12))</f>
        <v>0</v>
      </c>
    </row>
    <row r="5" spans="1:11" x14ac:dyDescent="0.25">
      <c r="A5" s="63">
        <v>2</v>
      </c>
      <c r="B5" s="77">
        <v>17.750000000058208</v>
      </c>
      <c r="C5" s="41">
        <v>7.81</v>
      </c>
      <c r="D5" s="42"/>
      <c r="E5" s="25">
        <v>195</v>
      </c>
      <c r="F5" s="25">
        <v>195</v>
      </c>
      <c r="G5" s="63">
        <v>14.75</v>
      </c>
      <c r="H5" s="18">
        <f t="shared" si="0"/>
        <v>0.16740438088752696</v>
      </c>
      <c r="I5" s="62">
        <f t="shared" ref="I5:I10" si="2">10^-C5</f>
        <v>1.5488166189124814E-8</v>
      </c>
      <c r="J5" s="62">
        <f t="shared" si="1"/>
        <v>1.7112861512666707E-4</v>
      </c>
      <c r="K5">
        <f t="shared" ref="K5:K10" si="3">LN((J5-$J$12)/($J$4-$J$12))</f>
        <v>-1.6855990116640229</v>
      </c>
    </row>
    <row r="6" spans="1:11" x14ac:dyDescent="0.25">
      <c r="A6" s="63">
        <v>4</v>
      </c>
      <c r="B6" s="77">
        <v>41.683333333348855</v>
      </c>
      <c r="C6" s="41">
        <v>8.07</v>
      </c>
      <c r="D6" s="42"/>
      <c r="E6" s="25">
        <v>190</v>
      </c>
      <c r="F6" s="25">
        <v>190</v>
      </c>
      <c r="G6" s="63">
        <v>15.85</v>
      </c>
      <c r="H6" s="18">
        <f t="shared" si="0"/>
        <v>0.17988877539439338</v>
      </c>
      <c r="I6" s="62">
        <f t="shared" si="2"/>
        <v>8.5113803820237553E-9</v>
      </c>
      <c r="J6" s="62">
        <f t="shared" si="1"/>
        <v>1.0110203848784962E-4</v>
      </c>
      <c r="K6">
        <f t="shared" si="3"/>
        <v>-2.3456707771075447</v>
      </c>
    </row>
    <row r="7" spans="1:11" x14ac:dyDescent="0.25">
      <c r="A7" s="63">
        <v>6</v>
      </c>
      <c r="B7" s="77">
        <v>65.666666666627862</v>
      </c>
      <c r="C7" s="41">
        <v>8.35</v>
      </c>
      <c r="D7" s="42"/>
      <c r="E7" s="25">
        <v>185</v>
      </c>
      <c r="F7" s="25">
        <v>185</v>
      </c>
      <c r="G7" s="63">
        <v>15.95</v>
      </c>
      <c r="H7" s="18">
        <f t="shared" si="0"/>
        <v>0.18102372034956304</v>
      </c>
      <c r="I7" s="62">
        <f t="shared" si="2"/>
        <v>4.4668359215096219E-9</v>
      </c>
      <c r="J7" s="62">
        <f t="shared" si="1"/>
        <v>5.3408125518829584E-5</v>
      </c>
      <c r="K7">
        <f t="shared" si="3"/>
        <v>-3.3583781620485196</v>
      </c>
    </row>
    <row r="8" spans="1:11" x14ac:dyDescent="0.25">
      <c r="A8" s="63">
        <v>8</v>
      </c>
      <c r="B8" s="77">
        <v>89.816666666592937</v>
      </c>
      <c r="C8" s="41">
        <v>8.4700000000000006</v>
      </c>
      <c r="D8" s="42"/>
      <c r="E8" s="25">
        <v>180</v>
      </c>
      <c r="F8" s="25">
        <v>180</v>
      </c>
      <c r="G8" s="63">
        <v>15.2</v>
      </c>
      <c r="H8" s="18">
        <f t="shared" si="0"/>
        <v>0.17251163318579049</v>
      </c>
      <c r="I8" s="62">
        <f t="shared" si="2"/>
        <v>3.3884415613920108E-9</v>
      </c>
      <c r="J8" s="62">
        <f t="shared" si="1"/>
        <v>3.8611899858556213E-5</v>
      </c>
      <c r="K8">
        <f t="shared" si="3"/>
        <v>-4.1433166671706125</v>
      </c>
    </row>
    <row r="9" spans="1:11" x14ac:dyDescent="0.25">
      <c r="A9" s="63">
        <v>10</v>
      </c>
      <c r="B9" s="77">
        <v>161.48333333339542</v>
      </c>
      <c r="C9" s="41">
        <v>8.4600000000000009</v>
      </c>
      <c r="D9" s="42"/>
      <c r="E9" s="25">
        <v>175</v>
      </c>
      <c r="F9" s="25">
        <v>175</v>
      </c>
      <c r="G9" s="63">
        <v>16.45</v>
      </c>
      <c r="H9" s="18">
        <f t="shared" si="0"/>
        <v>0.18669844512541142</v>
      </c>
      <c r="I9" s="62">
        <f t="shared" si="2"/>
        <v>3.467368504525301E-9</v>
      </c>
      <c r="J9" s="62">
        <f t="shared" si="1"/>
        <v>4.2760347046397341E-5</v>
      </c>
      <c r="K9">
        <f t="shared" si="3"/>
        <v>-3.8549250683854805</v>
      </c>
    </row>
    <row r="10" spans="1:11" ht="15.75" thickBot="1" x14ac:dyDescent="0.3">
      <c r="A10" s="64">
        <v>12</v>
      </c>
      <c r="B10" s="78">
        <v>187.51666666672099</v>
      </c>
      <c r="C10" s="43">
        <v>8.35</v>
      </c>
      <c r="D10" s="44">
        <v>7.98</v>
      </c>
      <c r="E10" s="38">
        <v>170</v>
      </c>
      <c r="F10" s="38">
        <v>170</v>
      </c>
      <c r="G10" s="64">
        <v>16.600000000000001</v>
      </c>
      <c r="H10" s="18">
        <f t="shared" si="0"/>
        <v>0.18840086255816596</v>
      </c>
      <c r="I10" s="62">
        <f t="shared" si="2"/>
        <v>4.4668359215096219E-9</v>
      </c>
      <c r="J10" s="62">
        <f t="shared" si="1"/>
        <v>5.5584632201415121E-5</v>
      </c>
      <c r="K10">
        <f t="shared" si="3"/>
        <v>-3.2814171209123915</v>
      </c>
    </row>
    <row r="11" spans="1:11" x14ac:dyDescent="0.25">
      <c r="H11" s="18"/>
      <c r="I11" s="62"/>
      <c r="J11" s="62"/>
    </row>
    <row r="12" spans="1:11" x14ac:dyDescent="0.25">
      <c r="F12" s="36" t="s">
        <v>48</v>
      </c>
      <c r="G12" s="28">
        <f>(G4*($E$4/1000))/(($E$4+$F$4)/1000)</f>
        <v>7.8250000000000002</v>
      </c>
      <c r="H12" s="18">
        <f>G12/$C$18</f>
        <v>8.8809442742027012E-2</v>
      </c>
      <c r="I12" s="62">
        <f>10^-C10</f>
        <v>4.4668359215096219E-9</v>
      </c>
      <c r="J12" s="62">
        <f>(I12*H12)/($C$15+I12)</f>
        <v>2.620179198651044E-5</v>
      </c>
    </row>
    <row r="14" spans="1:11" x14ac:dyDescent="0.25">
      <c r="B14" t="s">
        <v>81</v>
      </c>
      <c r="C14">
        <v>4.82</v>
      </c>
    </row>
    <row r="15" spans="1:11" x14ac:dyDescent="0.25">
      <c r="B15" t="s">
        <v>82</v>
      </c>
      <c r="C15">
        <f>10^-C14</f>
        <v>1.5135612484362051E-5</v>
      </c>
      <c r="J15" t="s">
        <v>45</v>
      </c>
      <c r="K15" s="24">
        <f>-SLOPE(K4:K10,$B$4:$B$10)</f>
        <v>1.501884735651051E-2</v>
      </c>
    </row>
    <row r="16" spans="1:11" x14ac:dyDescent="0.25">
      <c r="J16" t="s">
        <v>43</v>
      </c>
      <c r="K16" s="24">
        <f>(CORREL(K4:K10,B4:B10))^2</f>
        <v>0.54030499603871729</v>
      </c>
    </row>
    <row r="17" spans="1:11" x14ac:dyDescent="0.25">
      <c r="J17" t="s">
        <v>46</v>
      </c>
      <c r="K17" s="62">
        <v>5.108648001201098E-4</v>
      </c>
    </row>
    <row r="18" spans="1:11" x14ac:dyDescent="0.25">
      <c r="B18" t="s">
        <v>83</v>
      </c>
      <c r="C18">
        <v>88.11</v>
      </c>
      <c r="D18" t="s">
        <v>84</v>
      </c>
      <c r="J18" t="s">
        <v>47</v>
      </c>
      <c r="K18" s="62">
        <f>K17/3600</f>
        <v>1.4190688892225272E-7</v>
      </c>
    </row>
    <row r="19" spans="1:11" x14ac:dyDescent="0.25">
      <c r="J19" s="1" t="s">
        <v>64</v>
      </c>
      <c r="K19" s="65">
        <f>K18*10^6</f>
        <v>0.14190688892225273</v>
      </c>
    </row>
    <row r="24" spans="1:11" x14ac:dyDescent="0.25">
      <c r="A24" t="s">
        <v>182</v>
      </c>
    </row>
    <row r="26" spans="1:11" x14ac:dyDescent="0.25">
      <c r="A26" s="269" t="s">
        <v>31</v>
      </c>
      <c r="B26" s="271" t="s">
        <v>32</v>
      </c>
      <c r="C26" s="273" t="s">
        <v>8</v>
      </c>
      <c r="D26" s="271"/>
      <c r="E26" s="273" t="s">
        <v>35</v>
      </c>
      <c r="F26" s="274"/>
      <c r="G26" s="288" t="s">
        <v>76</v>
      </c>
      <c r="H26" s="287" t="s">
        <v>77</v>
      </c>
      <c r="I26" s="286" t="s">
        <v>78</v>
      </c>
      <c r="J26" s="284" t="s">
        <v>79</v>
      </c>
      <c r="K26" s="285" t="s">
        <v>80</v>
      </c>
    </row>
    <row r="27" spans="1:11" x14ac:dyDescent="0.25">
      <c r="A27" s="270"/>
      <c r="B27" s="272"/>
      <c r="C27" s="38" t="s">
        <v>37</v>
      </c>
      <c r="D27" s="40" t="s">
        <v>38</v>
      </c>
      <c r="E27" s="38" t="s">
        <v>42</v>
      </c>
      <c r="F27" s="39" t="s">
        <v>38</v>
      </c>
      <c r="G27" s="289"/>
      <c r="H27" s="287"/>
      <c r="I27" s="286"/>
      <c r="J27" s="284"/>
      <c r="K27" s="285"/>
    </row>
    <row r="28" spans="1:11" x14ac:dyDescent="0.25">
      <c r="A28" s="63">
        <v>0</v>
      </c>
      <c r="B28" s="77">
        <v>0</v>
      </c>
      <c r="C28" s="41">
        <v>6.9</v>
      </c>
      <c r="D28" s="42"/>
      <c r="E28" s="25">
        <v>200</v>
      </c>
      <c r="F28" s="3">
        <v>200</v>
      </c>
      <c r="G28" s="63">
        <v>15.65</v>
      </c>
      <c r="H28" s="18">
        <f>G28/$C$18</f>
        <v>0.17761888548405402</v>
      </c>
      <c r="I28" s="62">
        <f>10^-C28</f>
        <v>1.2589254117941651E-7</v>
      </c>
      <c r="J28" s="62">
        <f>(I28*H28)/($C$15+I28)</f>
        <v>1.4651826813686082E-3</v>
      </c>
      <c r="K28">
        <f>LN((J28-$J$12)/($J$4-$J$12))</f>
        <v>0.60986246761626828</v>
      </c>
    </row>
    <row r="29" spans="1:11" x14ac:dyDescent="0.25">
      <c r="A29" s="63">
        <v>2</v>
      </c>
      <c r="B29" s="77">
        <v>21.033333333267365</v>
      </c>
      <c r="C29" s="41">
        <v>7.73</v>
      </c>
      <c r="D29" s="42"/>
      <c r="E29" s="25">
        <v>195</v>
      </c>
      <c r="F29" s="25">
        <v>195</v>
      </c>
      <c r="G29" s="63">
        <v>14.75</v>
      </c>
      <c r="H29" s="18">
        <f t="shared" ref="H29:H36" si="4">G29/$C$18</f>
        <v>0.16740438088752696</v>
      </c>
      <c r="I29" s="62">
        <f t="shared" ref="I29:I34" si="5">10^-C29</f>
        <v>1.8620871366628593E-8</v>
      </c>
      <c r="J29" s="62">
        <f t="shared" ref="J29:J34" si="6">(I29*H29)/($C$15+I29)</f>
        <v>2.0569931645788943E-4</v>
      </c>
      <c r="K29">
        <f t="shared" ref="K29:K34" si="7">LN((J29-$J$12)/($J$4-$J$12))</f>
        <v>-1.4716665421104882</v>
      </c>
    </row>
    <row r="30" spans="1:11" x14ac:dyDescent="0.25">
      <c r="A30" s="63">
        <v>4</v>
      </c>
      <c r="B30" s="77">
        <v>44.566666666651145</v>
      </c>
      <c r="C30" s="41">
        <v>7.97</v>
      </c>
      <c r="D30" s="42"/>
      <c r="E30" s="25">
        <v>190</v>
      </c>
      <c r="F30" s="25">
        <v>190</v>
      </c>
      <c r="G30" s="63">
        <v>15.85</v>
      </c>
      <c r="H30" s="18">
        <f t="shared" si="4"/>
        <v>0.17988877539439338</v>
      </c>
      <c r="I30" s="62">
        <f t="shared" si="5"/>
        <v>1.0715193052376043E-8</v>
      </c>
      <c r="J30" s="62">
        <f t="shared" si="6"/>
        <v>1.2726140602257736E-4</v>
      </c>
      <c r="K30">
        <f t="shared" si="7"/>
        <v>-2.0461173779977271</v>
      </c>
    </row>
    <row r="31" spans="1:11" x14ac:dyDescent="0.25">
      <c r="A31" s="63">
        <v>6</v>
      </c>
      <c r="B31" s="77">
        <v>68.433333333407063</v>
      </c>
      <c r="C31" s="41">
        <v>8.08</v>
      </c>
      <c r="D31" s="42"/>
      <c r="E31" s="25">
        <v>185</v>
      </c>
      <c r="F31" s="25">
        <v>185</v>
      </c>
      <c r="G31" s="63">
        <v>15.95</v>
      </c>
      <c r="H31" s="18">
        <f t="shared" si="4"/>
        <v>0.18102372034956304</v>
      </c>
      <c r="I31" s="62">
        <f t="shared" si="5"/>
        <v>8.3176377110267021E-9</v>
      </c>
      <c r="J31" s="62">
        <f t="shared" si="6"/>
        <v>9.9425295206246036E-5</v>
      </c>
      <c r="K31">
        <f t="shared" si="7"/>
        <v>-2.3683115070297012</v>
      </c>
    </row>
    <row r="32" spans="1:11" x14ac:dyDescent="0.25">
      <c r="A32" s="63">
        <v>8</v>
      </c>
      <c r="B32" s="77">
        <v>140.95000000001164</v>
      </c>
      <c r="C32" s="41">
        <v>8.2799999999999994</v>
      </c>
      <c r="D32" s="42"/>
      <c r="E32" s="25">
        <v>180</v>
      </c>
      <c r="F32" s="25">
        <v>180</v>
      </c>
      <c r="G32" s="63">
        <v>15.2</v>
      </c>
      <c r="H32" s="18">
        <f t="shared" si="4"/>
        <v>0.17251163318579049</v>
      </c>
      <c r="I32" s="62">
        <f t="shared" si="5"/>
        <v>5.2480746024977305E-9</v>
      </c>
      <c r="J32" s="62">
        <f t="shared" si="6"/>
        <v>5.9795407086139028E-5</v>
      </c>
      <c r="K32">
        <f t="shared" si="7"/>
        <v>-3.1474919365829108</v>
      </c>
    </row>
    <row r="33" spans="1:11" x14ac:dyDescent="0.25">
      <c r="A33" s="63">
        <v>10</v>
      </c>
      <c r="B33" s="77">
        <v>164.58333333337214</v>
      </c>
      <c r="C33" s="41">
        <v>8.3000000000000007</v>
      </c>
      <c r="D33" s="42"/>
      <c r="E33" s="25">
        <v>175</v>
      </c>
      <c r="F33" s="25">
        <v>175</v>
      </c>
      <c r="G33" s="63">
        <v>16.45</v>
      </c>
      <c r="H33" s="18">
        <f t="shared" si="4"/>
        <v>0.18669844512541142</v>
      </c>
      <c r="I33" s="62">
        <f t="shared" si="5"/>
        <v>5.0118723362727114E-9</v>
      </c>
      <c r="J33" s="62">
        <f t="shared" si="6"/>
        <v>6.180120121236704E-5</v>
      </c>
      <c r="K33">
        <f t="shared" si="7"/>
        <v>-3.0894989157569412</v>
      </c>
    </row>
    <row r="34" spans="1:11" ht="15.75" thickBot="1" x14ac:dyDescent="0.3">
      <c r="A34" s="64">
        <v>12</v>
      </c>
      <c r="B34" s="78">
        <v>188.65000000008149</v>
      </c>
      <c r="C34" s="43">
        <v>8.1300000000000008</v>
      </c>
      <c r="D34" s="44">
        <v>6.56</v>
      </c>
      <c r="E34" s="38">
        <v>170</v>
      </c>
      <c r="F34" s="38">
        <v>170</v>
      </c>
      <c r="G34" s="64">
        <v>16.600000000000001</v>
      </c>
      <c r="H34" s="18">
        <f t="shared" si="4"/>
        <v>0.18840086255816596</v>
      </c>
      <c r="I34" s="62">
        <f t="shared" si="5"/>
        <v>7.4131024130091451E-9</v>
      </c>
      <c r="J34" s="62">
        <f t="shared" si="6"/>
        <v>9.222957993696286E-5</v>
      </c>
      <c r="K34">
        <f t="shared" si="7"/>
        <v>-2.4717522757272588</v>
      </c>
    </row>
    <row r="35" spans="1:11" x14ac:dyDescent="0.25">
      <c r="H35" s="18"/>
      <c r="I35" s="62"/>
      <c r="J35" s="62"/>
    </row>
    <row r="36" spans="1:11" x14ac:dyDescent="0.25">
      <c r="F36" s="36" t="s">
        <v>48</v>
      </c>
      <c r="G36" s="28">
        <f>(G28*($E$4/1000))/(($E$4+$F$4)/1000)</f>
        <v>7.8250000000000002</v>
      </c>
      <c r="H36" s="18">
        <f t="shared" si="4"/>
        <v>8.8809442742027012E-2</v>
      </c>
      <c r="I36" s="62">
        <f>10^-C34</f>
        <v>7.4131024130091451E-9</v>
      </c>
      <c r="J36" s="62">
        <f>(I36*H36)/($C$15+I36)</f>
        <v>4.3475690542574355E-5</v>
      </c>
    </row>
    <row r="38" spans="1:11" x14ac:dyDescent="0.25">
      <c r="B38" t="s">
        <v>81</v>
      </c>
      <c r="C38">
        <v>4.82</v>
      </c>
    </row>
    <row r="39" spans="1:11" x14ac:dyDescent="0.25">
      <c r="B39" t="s">
        <v>82</v>
      </c>
      <c r="C39">
        <f>10^-C38</f>
        <v>1.5135612484362051E-5</v>
      </c>
      <c r="J39" t="s">
        <v>45</v>
      </c>
      <c r="K39" s="24">
        <f>-SLOPE(K28:K34,$B$4:$B$10)</f>
        <v>1.2743832642937842E-2</v>
      </c>
    </row>
    <row r="40" spans="1:11" x14ac:dyDescent="0.25">
      <c r="J40" t="s">
        <v>43</v>
      </c>
      <c r="K40" s="24">
        <f>(CORREL(K28:K34,B28:B34))^2</f>
        <v>0.60467654618526245</v>
      </c>
    </row>
    <row r="41" spans="1:11" x14ac:dyDescent="0.25">
      <c r="J41" t="s">
        <v>46</v>
      </c>
      <c r="K41" s="62">
        <v>4.3348037045442059E-4</v>
      </c>
    </row>
    <row r="42" spans="1:11" x14ac:dyDescent="0.25">
      <c r="B42" t="s">
        <v>83</v>
      </c>
      <c r="C42">
        <v>88.11</v>
      </c>
      <c r="D42" t="s">
        <v>84</v>
      </c>
      <c r="J42" t="s">
        <v>47</v>
      </c>
      <c r="K42" s="62">
        <f>K41/3600</f>
        <v>1.2041121401511683E-7</v>
      </c>
    </row>
    <row r="43" spans="1:11" x14ac:dyDescent="0.25">
      <c r="J43" s="1" t="s">
        <v>64</v>
      </c>
      <c r="K43" s="65">
        <f>K42*10^6</f>
        <v>0.12041121401511683</v>
      </c>
    </row>
    <row r="46" spans="1:11" x14ac:dyDescent="0.25">
      <c r="J46" t="s">
        <v>13</v>
      </c>
      <c r="K46" s="13">
        <f>AVERAGE(K43,K19)</f>
        <v>0.13115905146868478</v>
      </c>
    </row>
    <row r="47" spans="1:11" x14ac:dyDescent="0.25">
      <c r="J47" t="s">
        <v>85</v>
      </c>
      <c r="K47">
        <f>(K19-K43)/2</f>
        <v>1.074783745356795E-2</v>
      </c>
    </row>
  </sheetData>
  <mergeCells count="18">
    <mergeCell ref="H26:H27"/>
    <mergeCell ref="I26:I27"/>
    <mergeCell ref="A2:A3"/>
    <mergeCell ref="B2:B3"/>
    <mergeCell ref="C2:D2"/>
    <mergeCell ref="E2:F2"/>
    <mergeCell ref="G2:G3"/>
    <mergeCell ref="H2:H3"/>
    <mergeCell ref="A26:A27"/>
    <mergeCell ref="B26:B27"/>
    <mergeCell ref="C26:D26"/>
    <mergeCell ref="E26:F26"/>
    <mergeCell ref="G26:G27"/>
    <mergeCell ref="J26:J27"/>
    <mergeCell ref="K26:K27"/>
    <mergeCell ref="I2:I3"/>
    <mergeCell ref="J2:J3"/>
    <mergeCell ref="K2:K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19"/>
  <sheetViews>
    <sheetView workbookViewId="0"/>
  </sheetViews>
  <sheetFormatPr defaultRowHeight="15" x14ac:dyDescent="0.25"/>
  <sheetData>
    <row r="1" spans="1:12" x14ac:dyDescent="0.25">
      <c r="A1" t="s">
        <v>49</v>
      </c>
    </row>
    <row r="3" spans="1:12" x14ac:dyDescent="0.25">
      <c r="A3" t="s">
        <v>50</v>
      </c>
      <c r="B3">
        <v>50</v>
      </c>
      <c r="C3" t="s">
        <v>51</v>
      </c>
    </row>
    <row r="4" spans="1:12" x14ac:dyDescent="0.25">
      <c r="B4">
        <f>B3/100</f>
        <v>0.5</v>
      </c>
      <c r="C4" t="s">
        <v>52</v>
      </c>
    </row>
    <row r="6" spans="1:12" x14ac:dyDescent="0.25">
      <c r="A6" t="s">
        <v>53</v>
      </c>
      <c r="B6">
        <v>3</v>
      </c>
      <c r="C6" t="s">
        <v>54</v>
      </c>
      <c r="F6" t="s">
        <v>55</v>
      </c>
      <c r="G6">
        <f>2*PI()*(B7/2)*B4</f>
        <v>4.7123889803846897E-3</v>
      </c>
      <c r="H6" t="s">
        <v>56</v>
      </c>
    </row>
    <row r="7" spans="1:12" x14ac:dyDescent="0.25">
      <c r="B7">
        <f>B6/1000</f>
        <v>3.0000000000000001E-3</v>
      </c>
      <c r="C7" t="s">
        <v>52</v>
      </c>
    </row>
    <row r="8" spans="1:12" x14ac:dyDescent="0.25">
      <c r="J8" s="32" t="s">
        <v>57</v>
      </c>
      <c r="K8" s="32">
        <f>(G9-G6)/(LN(G9/G6))</f>
        <v>5.8797738082480601E-3</v>
      </c>
      <c r="L8" s="32" t="s">
        <v>56</v>
      </c>
    </row>
    <row r="9" spans="1:12" x14ac:dyDescent="0.25">
      <c r="A9" t="s">
        <v>58</v>
      </c>
      <c r="B9">
        <f>B6+1.6</f>
        <v>4.5999999999999996</v>
      </c>
      <c r="C9" t="s">
        <v>54</v>
      </c>
      <c r="F9" t="s">
        <v>59</v>
      </c>
      <c r="G9">
        <f>2*PI()*(B10/2)*B4</f>
        <v>7.2256631032565242E-3</v>
      </c>
      <c r="H9" t="s">
        <v>56</v>
      </c>
    </row>
    <row r="10" spans="1:12" x14ac:dyDescent="0.25">
      <c r="B10">
        <f>B9/1000</f>
        <v>4.5999999999999999E-3</v>
      </c>
      <c r="C10" t="s">
        <v>52</v>
      </c>
    </row>
    <row r="15" spans="1:12" x14ac:dyDescent="0.25">
      <c r="A15" t="s">
        <v>60</v>
      </c>
    </row>
    <row r="17" spans="1:2" x14ac:dyDescent="0.25">
      <c r="A17">
        <v>200</v>
      </c>
      <c r="B17" t="s">
        <v>61</v>
      </c>
    </row>
    <row r="18" spans="1:2" x14ac:dyDescent="0.25">
      <c r="A18">
        <f>A17/1000</f>
        <v>0.2</v>
      </c>
      <c r="B18" t="s">
        <v>62</v>
      </c>
    </row>
    <row r="19" spans="1:2" x14ac:dyDescent="0.25">
      <c r="A19">
        <f>A18/1000</f>
        <v>2.0000000000000001E-4</v>
      </c>
      <c r="B19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N49"/>
  <sheetViews>
    <sheetView workbookViewId="0"/>
  </sheetViews>
  <sheetFormatPr defaultRowHeight="15" x14ac:dyDescent="0.25"/>
  <cols>
    <col min="1" max="1" width="26" style="36" customWidth="1"/>
    <col min="2" max="2" width="18.28515625" style="81" bestFit="1" customWidth="1"/>
    <col min="3" max="3" width="12" bestFit="1" customWidth="1"/>
    <col min="4" max="4" width="11.42578125" bestFit="1" customWidth="1"/>
    <col min="5" max="5" width="22.42578125" bestFit="1" customWidth="1"/>
    <col min="6" max="7" width="19" bestFit="1" customWidth="1"/>
    <col min="8" max="8" width="18.7109375" bestFit="1" customWidth="1"/>
    <col min="9" max="10" width="19.140625" bestFit="1" customWidth="1"/>
    <col min="12" max="12" width="14.140625" bestFit="1" customWidth="1"/>
  </cols>
  <sheetData>
    <row r="1" spans="1:14" ht="21" x14ac:dyDescent="0.35">
      <c r="A1" s="86" t="s">
        <v>86</v>
      </c>
    </row>
    <row r="2" spans="1:14" ht="21" x14ac:dyDescent="0.35">
      <c r="A2" s="86"/>
    </row>
    <row r="3" spans="1:14" x14ac:dyDescent="0.25">
      <c r="A3" s="87" t="s">
        <v>87</v>
      </c>
      <c r="B3" s="88" t="s">
        <v>179</v>
      </c>
      <c r="C3" s="88" t="s">
        <v>88</v>
      </c>
      <c r="D3" s="89" t="s">
        <v>89</v>
      </c>
      <c r="E3" s="89" t="s">
        <v>90</v>
      </c>
      <c r="F3" s="89" t="s">
        <v>91</v>
      </c>
      <c r="G3" s="89" t="s">
        <v>92</v>
      </c>
      <c r="H3" s="89" t="s">
        <v>38</v>
      </c>
      <c r="I3" s="89" t="s">
        <v>93</v>
      </c>
      <c r="J3" s="89" t="s">
        <v>94</v>
      </c>
      <c r="K3" s="89" t="s">
        <v>95</v>
      </c>
      <c r="L3" s="83"/>
      <c r="M3" s="83"/>
      <c r="N3" s="83"/>
    </row>
    <row r="4" spans="1:14" x14ac:dyDescent="0.25">
      <c r="A4" s="87" t="s">
        <v>96</v>
      </c>
      <c r="B4" s="90">
        <f>'Expt overview'!I24</f>
        <v>0.15748070752226262</v>
      </c>
      <c r="C4" s="91">
        <f>((B4*3600)*24)*10^-6</f>
        <v>1.3606333129923489E-2</v>
      </c>
      <c r="D4" s="92">
        <f>C18/2</f>
        <v>6.7249999999999996</v>
      </c>
      <c r="E4" s="93">
        <f>C4*D4</f>
        <v>9.1502590298735462E-2</v>
      </c>
      <c r="F4" s="92">
        <f>$E$18/(C4*D4)</f>
        <v>24.326597714885491</v>
      </c>
      <c r="G4" s="94">
        <f>(F4*$N$11)/$N$12</f>
        <v>7602.0617859017157</v>
      </c>
      <c r="H4" s="83" t="s">
        <v>97</v>
      </c>
      <c r="I4" s="95">
        <f>(C42)/1000</f>
        <v>5.0000000000000001E-4</v>
      </c>
      <c r="J4" s="93">
        <f>C11</f>
        <v>1</v>
      </c>
      <c r="K4" s="95">
        <f>J4*I4</f>
        <v>5.0000000000000001E-4</v>
      </c>
      <c r="L4" s="83"/>
      <c r="M4" s="83"/>
      <c r="N4" s="83"/>
    </row>
    <row r="5" spans="1:14" x14ac:dyDescent="0.25">
      <c r="A5" s="87" t="s">
        <v>98</v>
      </c>
      <c r="B5" s="90">
        <v>1.444</v>
      </c>
      <c r="C5" s="91">
        <f t="shared" ref="C5:C6" si="0">((B5*3600)*24)*10^-6</f>
        <v>0.12476159999999999</v>
      </c>
      <c r="D5" s="92">
        <f>C18</f>
        <v>13.45</v>
      </c>
      <c r="E5" s="93">
        <f>C5*D5</f>
        <v>1.6780435199999997</v>
      </c>
      <c r="F5" s="92">
        <f t="shared" ref="F5:F6" si="1">$E$18/(C5*D5)</f>
        <v>1.3265130954811719</v>
      </c>
      <c r="G5" s="94">
        <f>(F5*$N$11)/$N$12</f>
        <v>414.53534233786615</v>
      </c>
      <c r="H5" s="83" t="s">
        <v>99</v>
      </c>
      <c r="I5" s="96">
        <f>D37</f>
        <v>6.3300000000000009E-2</v>
      </c>
      <c r="J5" s="93">
        <f>D41</f>
        <v>0.35008942938989918</v>
      </c>
      <c r="K5" s="96">
        <f>J5*I5</f>
        <v>2.2160660880380621E-2</v>
      </c>
      <c r="L5" s="83"/>
      <c r="M5" s="83"/>
      <c r="N5" s="83"/>
    </row>
    <row r="6" spans="1:14" x14ac:dyDescent="0.25">
      <c r="A6" s="87" t="s">
        <v>100</v>
      </c>
      <c r="B6" s="90">
        <v>0.29099999999999998</v>
      </c>
      <c r="C6" s="91">
        <f t="shared" si="0"/>
        <v>2.5142399999999995E-2</v>
      </c>
      <c r="D6" s="92">
        <f>C18</f>
        <v>13.45</v>
      </c>
      <c r="E6" s="93">
        <f>C6*D6</f>
        <v>0.3381652799999999</v>
      </c>
      <c r="F6" s="92">
        <f t="shared" si="1"/>
        <v>6.5824223707038225</v>
      </c>
      <c r="G6" s="94">
        <f>(F6*$N$11)/$N$12</f>
        <v>2057.0069908449445</v>
      </c>
      <c r="H6" s="83" t="s">
        <v>101</v>
      </c>
      <c r="I6" s="93">
        <f>(M36)</f>
        <v>5.6598736000000009</v>
      </c>
      <c r="J6" s="93">
        <f>H48</f>
        <v>1.508195067861684</v>
      </c>
      <c r="K6" s="93">
        <f>I6*J6</f>
        <v>8.5361934482405548</v>
      </c>
      <c r="L6" s="83"/>
      <c r="M6" s="83"/>
      <c r="N6" s="83"/>
    </row>
    <row r="7" spans="1:14" x14ac:dyDescent="0.25">
      <c r="F7" s="27"/>
    </row>
    <row r="8" spans="1:14" x14ac:dyDescent="0.25">
      <c r="F8" s="27"/>
    </row>
    <row r="9" spans="1:14" x14ac:dyDescent="0.25">
      <c r="A9" s="97" t="s">
        <v>102</v>
      </c>
      <c r="B9" s="98"/>
      <c r="C9" s="99"/>
      <c r="D9" s="99"/>
      <c r="E9" s="99"/>
      <c r="F9" s="263" t="s">
        <v>103</v>
      </c>
      <c r="G9" s="264"/>
      <c r="H9" s="265"/>
      <c r="I9" s="99"/>
      <c r="K9" s="100" t="s">
        <v>104</v>
      </c>
      <c r="L9" s="85"/>
      <c r="M9" s="85"/>
      <c r="N9" s="85"/>
    </row>
    <row r="10" spans="1:14" x14ac:dyDescent="0.25">
      <c r="A10" s="101" t="s">
        <v>105</v>
      </c>
      <c r="B10" s="98" t="s">
        <v>106</v>
      </c>
      <c r="C10" s="99"/>
      <c r="D10" s="99"/>
      <c r="E10" s="99"/>
      <c r="F10" s="102"/>
      <c r="G10" s="103" t="s">
        <v>107</v>
      </c>
      <c r="H10" s="104" t="s">
        <v>108</v>
      </c>
      <c r="I10" s="99"/>
      <c r="K10" s="85"/>
      <c r="L10" s="85"/>
      <c r="M10" s="85"/>
      <c r="N10" s="85"/>
    </row>
    <row r="11" spans="1:14" x14ac:dyDescent="0.25">
      <c r="A11" s="101" t="s">
        <v>109</v>
      </c>
      <c r="B11" s="98" t="s">
        <v>62</v>
      </c>
      <c r="C11" s="99">
        <v>1</v>
      </c>
      <c r="D11" s="99"/>
      <c r="E11" s="99"/>
      <c r="F11" s="102" t="s">
        <v>110</v>
      </c>
      <c r="G11" s="103">
        <v>6</v>
      </c>
      <c r="H11" s="104">
        <v>6</v>
      </c>
      <c r="I11" s="99"/>
      <c r="K11" s="85"/>
      <c r="L11" s="105" t="s">
        <v>111</v>
      </c>
      <c r="M11" s="106" t="s">
        <v>112</v>
      </c>
      <c r="N11" s="85">
        <v>250</v>
      </c>
    </row>
    <row r="12" spans="1:14" x14ac:dyDescent="0.25">
      <c r="A12" s="101" t="s">
        <v>113</v>
      </c>
      <c r="B12" s="98" t="s">
        <v>114</v>
      </c>
      <c r="C12" s="107">
        <f>ROUND(AVERAGE(G13:H13),1)</f>
        <v>5.9</v>
      </c>
      <c r="D12" s="99"/>
      <c r="E12" s="99"/>
      <c r="F12" s="102" t="s">
        <v>115</v>
      </c>
      <c r="G12" s="103">
        <v>35.299999999999997</v>
      </c>
      <c r="H12" s="104">
        <v>36</v>
      </c>
      <c r="I12" s="99"/>
      <c r="K12" s="85"/>
      <c r="L12" s="105" t="s">
        <v>116</v>
      </c>
      <c r="M12" s="85" t="s">
        <v>117</v>
      </c>
      <c r="N12" s="85">
        <v>0.8</v>
      </c>
    </row>
    <row r="13" spans="1:14" x14ac:dyDescent="0.25">
      <c r="A13" s="101" t="s">
        <v>118</v>
      </c>
      <c r="B13" s="98" t="s">
        <v>119</v>
      </c>
      <c r="C13" s="99">
        <f>C11*C12</f>
        <v>5.9</v>
      </c>
      <c r="D13" s="99"/>
      <c r="E13" s="99"/>
      <c r="F13" s="108"/>
      <c r="G13" s="109">
        <f>G12/G11</f>
        <v>5.8833333333333329</v>
      </c>
      <c r="H13" s="110">
        <f>H12/H11</f>
        <v>6</v>
      </c>
      <c r="I13" s="99"/>
      <c r="K13" s="85"/>
      <c r="L13" s="85"/>
      <c r="M13" s="85"/>
      <c r="N13" s="85"/>
    </row>
    <row r="14" spans="1:14" x14ac:dyDescent="0.25">
      <c r="A14" s="101" t="s">
        <v>120</v>
      </c>
      <c r="B14" s="98"/>
      <c r="C14" s="99"/>
      <c r="D14" s="99" t="s">
        <v>121</v>
      </c>
      <c r="E14" s="99" t="s">
        <v>122</v>
      </c>
      <c r="F14" s="99" t="s">
        <v>123</v>
      </c>
      <c r="G14" s="99" t="s">
        <v>124</v>
      </c>
      <c r="H14" s="99" t="s">
        <v>107</v>
      </c>
      <c r="I14" s="99" t="s">
        <v>108</v>
      </c>
      <c r="K14" s="85"/>
      <c r="L14" s="85"/>
      <c r="M14" s="85"/>
      <c r="N14" s="85"/>
    </row>
    <row r="15" spans="1:14" x14ac:dyDescent="0.25">
      <c r="A15" s="111" t="s">
        <v>16</v>
      </c>
      <c r="B15" s="98" t="s">
        <v>125</v>
      </c>
      <c r="C15" s="107">
        <f t="shared" ref="C15:C22" si="2">AVERAGE(H15:I15)</f>
        <v>11.600000000000001</v>
      </c>
      <c r="D15" s="112">
        <f>C15/$C$22</f>
        <v>0.32538569424964942</v>
      </c>
      <c r="E15" s="113">
        <f>D15*$C$13</f>
        <v>1.9197755960729317</v>
      </c>
      <c r="F15" s="107">
        <v>60.052</v>
      </c>
      <c r="G15" s="114">
        <f>C15/F15</f>
        <v>0.19316592286684875</v>
      </c>
      <c r="H15" s="99">
        <v>9.9</v>
      </c>
      <c r="I15" s="99">
        <v>13.3</v>
      </c>
      <c r="K15" s="85"/>
      <c r="L15" s="85"/>
      <c r="M15" s="85"/>
      <c r="N15" s="85"/>
    </row>
    <row r="16" spans="1:14" x14ac:dyDescent="0.25">
      <c r="A16" s="111" t="s">
        <v>17</v>
      </c>
      <c r="B16" s="98" t="s">
        <v>125</v>
      </c>
      <c r="C16" s="107">
        <f t="shared" si="2"/>
        <v>3.55</v>
      </c>
      <c r="D16" s="112">
        <f t="shared" ref="D16:D21" si="3">C16/$C$22</f>
        <v>9.957924263674614E-2</v>
      </c>
      <c r="E16" s="113">
        <f t="shared" ref="E16:E21" si="4">D16*$C$13</f>
        <v>0.58751753155680231</v>
      </c>
      <c r="F16" s="107">
        <v>74.078999999999994</v>
      </c>
      <c r="G16" s="114">
        <f t="shared" ref="G16:G21" si="5">C16/F16</f>
        <v>4.7921813199422243E-2</v>
      </c>
      <c r="H16" s="99">
        <v>3.4</v>
      </c>
      <c r="I16" s="99">
        <v>3.7</v>
      </c>
      <c r="K16" s="85"/>
      <c r="L16" s="85"/>
      <c r="M16" s="85"/>
      <c r="N16" s="85"/>
    </row>
    <row r="17" spans="1:14" x14ac:dyDescent="0.25">
      <c r="A17" s="111" t="s">
        <v>18</v>
      </c>
      <c r="B17" s="98" t="s">
        <v>125</v>
      </c>
      <c r="C17" s="107">
        <f t="shared" si="2"/>
        <v>2.25</v>
      </c>
      <c r="D17" s="112">
        <f t="shared" si="3"/>
        <v>6.311360448807854E-2</v>
      </c>
      <c r="E17" s="113">
        <f t="shared" si="4"/>
        <v>0.37237026647966343</v>
      </c>
      <c r="F17" s="107">
        <v>88.105999999999995</v>
      </c>
      <c r="G17" s="114">
        <f t="shared" si="5"/>
        <v>2.5537420833995416E-2</v>
      </c>
      <c r="H17" s="99">
        <v>2.2000000000000002</v>
      </c>
      <c r="I17" s="99">
        <v>2.2999999999999998</v>
      </c>
      <c r="K17" s="85"/>
      <c r="L17" s="85"/>
      <c r="M17" s="85"/>
      <c r="N17" s="85"/>
    </row>
    <row r="18" spans="1:14" x14ac:dyDescent="0.25">
      <c r="A18" s="111" t="s">
        <v>19</v>
      </c>
      <c r="B18" s="98" t="s">
        <v>125</v>
      </c>
      <c r="C18" s="107">
        <f t="shared" si="2"/>
        <v>13.45</v>
      </c>
      <c r="D18" s="112">
        <f t="shared" si="3"/>
        <v>0.37727910238429174</v>
      </c>
      <c r="E18" s="113">
        <f t="shared" si="4"/>
        <v>2.2259467040673213</v>
      </c>
      <c r="F18" s="107">
        <v>88.105999999999995</v>
      </c>
      <c r="G18" s="114">
        <f t="shared" si="5"/>
        <v>0.15265702676321705</v>
      </c>
      <c r="H18" s="99">
        <v>15.1</v>
      </c>
      <c r="I18" s="99">
        <v>11.8</v>
      </c>
      <c r="K18" s="85"/>
      <c r="L18" s="85"/>
      <c r="M18" s="85"/>
      <c r="N18" s="85"/>
    </row>
    <row r="19" spans="1:14" x14ac:dyDescent="0.25">
      <c r="A19" s="111" t="s">
        <v>20</v>
      </c>
      <c r="B19" s="98" t="s">
        <v>125</v>
      </c>
      <c r="C19" s="107">
        <f t="shared" si="2"/>
        <v>4</v>
      </c>
      <c r="D19" s="112">
        <f t="shared" si="3"/>
        <v>0.11220196353436186</v>
      </c>
      <c r="E19" s="113">
        <f t="shared" si="4"/>
        <v>0.66199158485273502</v>
      </c>
      <c r="F19" s="107">
        <v>102.133</v>
      </c>
      <c r="G19" s="114">
        <f t="shared" si="5"/>
        <v>3.9164618683481346E-2</v>
      </c>
      <c r="H19" s="99">
        <v>3.9</v>
      </c>
      <c r="I19" s="99">
        <v>4.0999999999999996</v>
      </c>
      <c r="K19" s="85"/>
      <c r="L19" s="85"/>
      <c r="M19" s="85"/>
      <c r="N19" s="85"/>
    </row>
    <row r="20" spans="1:14" x14ac:dyDescent="0.25">
      <c r="A20" s="111" t="s">
        <v>21</v>
      </c>
      <c r="B20" s="98" t="s">
        <v>125</v>
      </c>
      <c r="C20" s="107">
        <f t="shared" si="2"/>
        <v>0.5</v>
      </c>
      <c r="D20" s="112">
        <f t="shared" si="3"/>
        <v>1.4025245441795233E-2</v>
      </c>
      <c r="E20" s="113">
        <f t="shared" si="4"/>
        <v>8.2748948106591877E-2</v>
      </c>
      <c r="F20" s="107">
        <v>102.133</v>
      </c>
      <c r="G20" s="114">
        <f t="shared" si="5"/>
        <v>4.8955773354351683E-3</v>
      </c>
      <c r="H20" s="99">
        <v>0.4</v>
      </c>
      <c r="I20" s="99">
        <v>0.6</v>
      </c>
      <c r="K20" s="85"/>
      <c r="L20" s="85"/>
      <c r="M20" s="85"/>
      <c r="N20" s="85"/>
    </row>
    <row r="21" spans="1:14" x14ac:dyDescent="0.25">
      <c r="A21" s="111" t="s">
        <v>22</v>
      </c>
      <c r="B21" s="98" t="s">
        <v>125</v>
      </c>
      <c r="C21" s="107">
        <f t="shared" si="2"/>
        <v>0.4</v>
      </c>
      <c r="D21" s="112">
        <f t="shared" si="3"/>
        <v>1.1220196353436187E-2</v>
      </c>
      <c r="E21" s="113">
        <f t="shared" si="4"/>
        <v>6.619915848527351E-2</v>
      </c>
      <c r="F21" s="107">
        <v>116.16</v>
      </c>
      <c r="G21" s="114">
        <f t="shared" si="5"/>
        <v>3.4435261707988982E-3</v>
      </c>
      <c r="H21" s="99">
        <v>0.4</v>
      </c>
      <c r="I21" s="99">
        <v>0.4</v>
      </c>
      <c r="K21" s="85"/>
      <c r="L21" s="85"/>
      <c r="M21" s="85"/>
      <c r="N21" s="85"/>
    </row>
    <row r="22" spans="1:14" x14ac:dyDescent="0.25">
      <c r="A22" s="111" t="s">
        <v>24</v>
      </c>
      <c r="B22" s="98" t="s">
        <v>125</v>
      </c>
      <c r="C22" s="107">
        <f t="shared" si="2"/>
        <v>35.65</v>
      </c>
      <c r="D22" s="115">
        <f>SUM(D15:D21)</f>
        <v>1.0028050490883593</v>
      </c>
      <c r="E22" s="113">
        <f>SUM(E15:E21)</f>
        <v>5.9165497896213193</v>
      </c>
      <c r="F22" s="99"/>
      <c r="G22" s="116">
        <f>SUM(G15:G21)</f>
        <v>0.4667859058531989</v>
      </c>
      <c r="H22" s="99">
        <v>35.299999999999997</v>
      </c>
      <c r="I22" s="99">
        <v>36</v>
      </c>
      <c r="K22" s="85"/>
      <c r="L22" s="85"/>
      <c r="M22" s="85"/>
      <c r="N22" s="85"/>
    </row>
    <row r="25" spans="1:14" x14ac:dyDescent="0.25">
      <c r="A25" s="117" t="s">
        <v>126</v>
      </c>
      <c r="B25" s="11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x14ac:dyDescent="0.25">
      <c r="A26" s="117"/>
      <c r="B26" s="118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4" x14ac:dyDescent="0.25">
      <c r="A27" s="119"/>
      <c r="B27" s="120" t="s">
        <v>127</v>
      </c>
      <c r="C27" s="121">
        <f>G22*1.5</f>
        <v>0.70017885877979835</v>
      </c>
      <c r="D27" s="120" t="s">
        <v>128</v>
      </c>
      <c r="E27" s="120" t="s">
        <v>129</v>
      </c>
      <c r="F27" s="84"/>
      <c r="G27" s="84"/>
      <c r="H27" s="84"/>
      <c r="I27" s="84"/>
      <c r="J27" s="84"/>
      <c r="K27" s="84"/>
      <c r="L27" s="84"/>
      <c r="M27" s="84"/>
      <c r="N27" s="84"/>
    </row>
    <row r="28" spans="1:14" x14ac:dyDescent="0.25">
      <c r="A28" s="119"/>
      <c r="B28" s="118"/>
      <c r="C28" s="122">
        <f>C27*C11</f>
        <v>0.70017885877979835</v>
      </c>
      <c r="D28" s="84" t="s">
        <v>130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ht="15.75" thickBot="1" x14ac:dyDescent="0.3">
      <c r="A29" s="119"/>
      <c r="B29" s="118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x14ac:dyDescent="0.25">
      <c r="A30" s="119"/>
      <c r="B30" s="123"/>
      <c r="C30" s="124" t="s">
        <v>6</v>
      </c>
      <c r="D30" s="125">
        <v>2</v>
      </c>
      <c r="E30" s="126" t="s">
        <v>124</v>
      </c>
      <c r="F30" s="127" t="s">
        <v>131</v>
      </c>
      <c r="G30" s="125"/>
      <c r="H30" s="125"/>
      <c r="I30" s="125"/>
      <c r="J30" s="125" t="s">
        <v>132</v>
      </c>
      <c r="K30" s="125"/>
      <c r="L30" s="125"/>
      <c r="M30" s="125"/>
      <c r="N30" s="126"/>
    </row>
    <row r="31" spans="1:14" x14ac:dyDescent="0.25">
      <c r="A31" s="119"/>
      <c r="B31" s="128"/>
      <c r="C31" s="129" t="s">
        <v>123</v>
      </c>
      <c r="D31" s="129">
        <v>40</v>
      </c>
      <c r="E31" s="130" t="s">
        <v>84</v>
      </c>
      <c r="F31" s="131" t="s">
        <v>133</v>
      </c>
      <c r="G31" s="129" t="s">
        <v>123</v>
      </c>
      <c r="H31" s="129">
        <v>353.67</v>
      </c>
      <c r="I31" s="129" t="s">
        <v>84</v>
      </c>
      <c r="J31" s="132">
        <v>11.432000000000002</v>
      </c>
      <c r="K31" s="129" t="s">
        <v>134</v>
      </c>
      <c r="L31" s="129"/>
      <c r="M31" s="129"/>
      <c r="N31" s="130"/>
    </row>
    <row r="32" spans="1:14" x14ac:dyDescent="0.25">
      <c r="A32" s="119"/>
      <c r="B32" s="128"/>
      <c r="C32" s="129" t="s">
        <v>135</v>
      </c>
      <c r="D32" s="129">
        <f>D30*D31</f>
        <v>80</v>
      </c>
      <c r="E32" s="130" t="s">
        <v>125</v>
      </c>
      <c r="F32" s="131"/>
      <c r="G32" s="129" t="s">
        <v>136</v>
      </c>
      <c r="H32" s="129">
        <v>809</v>
      </c>
      <c r="I32" s="129" t="s">
        <v>137</v>
      </c>
      <c r="J32" s="132">
        <f>J31*H33</f>
        <v>9.2484880000000018</v>
      </c>
      <c r="K32" s="129" t="s">
        <v>138</v>
      </c>
      <c r="L32" s="129" t="s">
        <v>139</v>
      </c>
      <c r="M32" s="132">
        <f>J32*0.2</f>
        <v>1.8496976000000005</v>
      </c>
      <c r="N32" s="130" t="s">
        <v>140</v>
      </c>
    </row>
    <row r="33" spans="1:14" x14ac:dyDescent="0.25">
      <c r="A33" s="119"/>
      <c r="B33" s="128"/>
      <c r="C33" s="129"/>
      <c r="D33" s="129">
        <f>D32/1000</f>
        <v>0.08</v>
      </c>
      <c r="E33" s="130" t="s">
        <v>141</v>
      </c>
      <c r="F33" s="131"/>
      <c r="G33" s="129"/>
      <c r="H33" s="129">
        <f>H32/1000</f>
        <v>0.80900000000000005</v>
      </c>
      <c r="I33" s="129" t="s">
        <v>141</v>
      </c>
      <c r="J33" s="129"/>
      <c r="K33" s="129"/>
      <c r="L33" s="129"/>
      <c r="M33" s="132"/>
      <c r="N33" s="130"/>
    </row>
    <row r="34" spans="1:14" x14ac:dyDescent="0.25">
      <c r="A34" s="119"/>
      <c r="B34" s="128"/>
      <c r="C34" s="129"/>
      <c r="D34" s="129">
        <f>D33/1000</f>
        <v>8.0000000000000007E-5</v>
      </c>
      <c r="E34" s="130" t="s">
        <v>142</v>
      </c>
      <c r="F34" s="131" t="s">
        <v>143</v>
      </c>
      <c r="G34" s="129" t="s">
        <v>123</v>
      </c>
      <c r="H34" s="129">
        <v>130.22999999999999</v>
      </c>
      <c r="I34" s="129" t="s">
        <v>84</v>
      </c>
      <c r="J34" s="129">
        <v>5.78</v>
      </c>
      <c r="K34" s="129" t="s">
        <v>134</v>
      </c>
      <c r="L34" s="129"/>
      <c r="M34" s="132"/>
      <c r="N34" s="130"/>
    </row>
    <row r="35" spans="1:14" x14ac:dyDescent="0.25">
      <c r="A35" s="119"/>
      <c r="B35" s="128"/>
      <c r="C35" s="129"/>
      <c r="D35" s="129"/>
      <c r="E35" s="130"/>
      <c r="F35" s="131"/>
      <c r="G35" s="129" t="s">
        <v>136</v>
      </c>
      <c r="H35" s="129">
        <v>824</v>
      </c>
      <c r="I35" s="129" t="s">
        <v>137</v>
      </c>
      <c r="J35" s="132">
        <f>J34*H36</f>
        <v>4.7627199999999998</v>
      </c>
      <c r="K35" s="129" t="s">
        <v>138</v>
      </c>
      <c r="L35" s="129" t="s">
        <v>144</v>
      </c>
      <c r="M35" s="132">
        <f>J35*0.8</f>
        <v>3.8101760000000002</v>
      </c>
      <c r="N35" s="130" t="s">
        <v>145</v>
      </c>
    </row>
    <row r="36" spans="1:14" x14ac:dyDescent="0.25">
      <c r="A36" s="119"/>
      <c r="B36" s="128"/>
      <c r="C36" s="129" t="s">
        <v>132</v>
      </c>
      <c r="D36" s="129"/>
      <c r="E36" s="130"/>
      <c r="F36" s="131"/>
      <c r="G36" s="129"/>
      <c r="H36" s="129">
        <f>H35/1000</f>
        <v>0.82399999999999995</v>
      </c>
      <c r="I36" s="129" t="s">
        <v>141</v>
      </c>
      <c r="J36" s="129"/>
      <c r="K36" s="129"/>
      <c r="L36" s="129" t="s">
        <v>146</v>
      </c>
      <c r="M36" s="132">
        <f>M35+M32</f>
        <v>5.6598736000000009</v>
      </c>
      <c r="N36" s="130" t="s">
        <v>138</v>
      </c>
    </row>
    <row r="37" spans="1:14" x14ac:dyDescent="0.25">
      <c r="A37" s="119"/>
      <c r="B37" s="128"/>
      <c r="C37" s="133" t="s">
        <v>147</v>
      </c>
      <c r="D37" s="129">
        <f>(C42/1000)+(D34*C43)</f>
        <v>6.3300000000000009E-2</v>
      </c>
      <c r="E37" s="130" t="s">
        <v>138</v>
      </c>
      <c r="F37" s="131"/>
      <c r="G37" s="129"/>
      <c r="H37" s="129"/>
      <c r="I37" s="129"/>
      <c r="J37" s="129"/>
      <c r="K37" s="129"/>
      <c r="L37" s="129"/>
      <c r="M37" s="129"/>
      <c r="N37" s="130"/>
    </row>
    <row r="38" spans="1:14" x14ac:dyDescent="0.25">
      <c r="A38" s="119"/>
      <c r="B38" s="128"/>
      <c r="C38" s="129"/>
      <c r="D38" s="129"/>
      <c r="E38" s="130"/>
      <c r="F38" s="131"/>
      <c r="G38" s="129"/>
      <c r="H38" s="129"/>
      <c r="I38" s="129"/>
      <c r="J38" s="129"/>
      <c r="K38" s="129"/>
      <c r="L38" s="129"/>
      <c r="M38" s="129"/>
      <c r="N38" s="130"/>
    </row>
    <row r="39" spans="1:14" x14ac:dyDescent="0.25">
      <c r="A39" s="119"/>
      <c r="B39" s="128"/>
      <c r="C39" s="129" t="s">
        <v>60</v>
      </c>
      <c r="D39" s="129"/>
      <c r="E39" s="130"/>
      <c r="F39" s="131"/>
      <c r="G39" s="133" t="s">
        <v>148</v>
      </c>
      <c r="H39" s="129"/>
      <c r="I39" s="129"/>
      <c r="J39" s="129" t="s">
        <v>132</v>
      </c>
      <c r="K39" s="129"/>
      <c r="L39" s="129"/>
      <c r="M39" s="129"/>
      <c r="N39" s="130"/>
    </row>
    <row r="40" spans="1:14" x14ac:dyDescent="0.25">
      <c r="A40" s="119"/>
      <c r="B40" s="128"/>
      <c r="C40" s="133" t="s">
        <v>149</v>
      </c>
      <c r="D40" s="132">
        <f>C28*D31</f>
        <v>28.007154351191936</v>
      </c>
      <c r="E40" s="130" t="s">
        <v>150</v>
      </c>
      <c r="F40" s="131"/>
      <c r="G40" s="133"/>
      <c r="H40" s="129"/>
      <c r="I40" s="129"/>
      <c r="J40" s="129"/>
      <c r="K40" s="129"/>
      <c r="L40" s="129"/>
      <c r="M40" s="129"/>
      <c r="N40" s="130"/>
    </row>
    <row r="41" spans="1:14" ht="15.75" thickBot="1" x14ac:dyDescent="0.3">
      <c r="A41" s="119"/>
      <c r="B41" s="134"/>
      <c r="C41" s="135" t="s">
        <v>151</v>
      </c>
      <c r="D41" s="136">
        <f>D40/D32</f>
        <v>0.35008942938989918</v>
      </c>
      <c r="E41" s="137" t="s">
        <v>62</v>
      </c>
      <c r="F41" s="131"/>
      <c r="G41" s="133" t="s">
        <v>152</v>
      </c>
      <c r="H41" s="132">
        <f>C28</f>
        <v>0.70017885877979835</v>
      </c>
      <c r="I41" s="129" t="s">
        <v>130</v>
      </c>
      <c r="J41" s="129" t="s">
        <v>133</v>
      </c>
      <c r="K41" s="129">
        <f>H43*J31</f>
        <v>2.8309319618485342</v>
      </c>
      <c r="L41" s="129" t="s">
        <v>153</v>
      </c>
      <c r="M41" s="129"/>
      <c r="N41" s="130"/>
    </row>
    <row r="42" spans="1:14" x14ac:dyDescent="0.25">
      <c r="A42" s="119"/>
      <c r="B42" s="138" t="s">
        <v>97</v>
      </c>
      <c r="C42" s="84">
        <v>0.5</v>
      </c>
      <c r="D42" s="84" t="s">
        <v>154</v>
      </c>
      <c r="E42" s="126"/>
      <c r="F42" s="131"/>
      <c r="G42" s="133" t="s">
        <v>155</v>
      </c>
      <c r="H42" s="132">
        <f>H41*H31</f>
        <v>247.63225698465129</v>
      </c>
      <c r="I42" s="129" t="s">
        <v>150</v>
      </c>
      <c r="J42" s="129" t="s">
        <v>156</v>
      </c>
      <c r="K42" s="129">
        <f>J34*H45</f>
        <v>5.725257781485138</v>
      </c>
      <c r="L42" s="129" t="s">
        <v>153</v>
      </c>
      <c r="M42" s="129"/>
      <c r="N42" s="130"/>
    </row>
    <row r="43" spans="1:14" x14ac:dyDescent="0.25">
      <c r="A43" s="119"/>
      <c r="B43" s="128"/>
      <c r="C43" s="84">
        <v>785</v>
      </c>
      <c r="D43" s="84" t="s">
        <v>157</v>
      </c>
      <c r="E43" s="130"/>
      <c r="F43" s="131"/>
      <c r="G43" s="133"/>
      <c r="H43" s="132">
        <f>H42/1000</f>
        <v>0.2476322569846513</v>
      </c>
      <c r="I43" s="129" t="s">
        <v>158</v>
      </c>
      <c r="J43" s="129" t="s">
        <v>23</v>
      </c>
      <c r="K43" s="129">
        <f>SUM(K41:K42)</f>
        <v>8.5561897433336718</v>
      </c>
      <c r="L43" s="129" t="s">
        <v>153</v>
      </c>
      <c r="M43" s="129"/>
      <c r="N43" s="130"/>
    </row>
    <row r="44" spans="1:14" x14ac:dyDescent="0.25">
      <c r="A44" s="119"/>
      <c r="B44" s="128"/>
      <c r="C44" s="129"/>
      <c r="D44" s="129"/>
      <c r="E44" s="130"/>
      <c r="F44" s="131"/>
      <c r="G44" s="133" t="s">
        <v>159</v>
      </c>
      <c r="H44" s="132">
        <f>H43/H33</f>
        <v>0.30609673298473583</v>
      </c>
      <c r="I44" s="129" t="s">
        <v>62</v>
      </c>
      <c r="J44" s="129"/>
      <c r="K44" s="129"/>
      <c r="L44" s="129"/>
      <c r="M44" s="129"/>
      <c r="N44" s="130"/>
    </row>
    <row r="45" spans="1:14" x14ac:dyDescent="0.25">
      <c r="A45" s="119"/>
      <c r="B45" s="128"/>
      <c r="C45" s="129"/>
      <c r="D45" s="129"/>
      <c r="E45" s="130"/>
      <c r="F45" s="131"/>
      <c r="G45" s="133" t="s">
        <v>160</v>
      </c>
      <c r="H45" s="132">
        <f>(H43/0.2)*0.8</f>
        <v>0.9905290279386052</v>
      </c>
      <c r="I45" s="129" t="s">
        <v>158</v>
      </c>
      <c r="J45" s="129"/>
      <c r="K45" s="129"/>
      <c r="L45" s="129"/>
      <c r="M45" s="129"/>
      <c r="N45" s="130"/>
    </row>
    <row r="46" spans="1:14" x14ac:dyDescent="0.25">
      <c r="A46" s="119"/>
      <c r="B46" s="128"/>
      <c r="C46" s="129"/>
      <c r="D46" s="129"/>
      <c r="E46" s="130"/>
      <c r="F46" s="131"/>
      <c r="G46" s="133" t="s">
        <v>161</v>
      </c>
      <c r="H46" s="132">
        <f>H45/H36</f>
        <v>1.2020983348769481</v>
      </c>
      <c r="I46" s="129" t="s">
        <v>62</v>
      </c>
      <c r="J46" s="129"/>
      <c r="K46" s="129"/>
      <c r="L46" s="129"/>
      <c r="M46" s="129"/>
      <c r="N46" s="130"/>
    </row>
    <row r="47" spans="1:14" x14ac:dyDescent="0.25">
      <c r="A47" s="119"/>
      <c r="B47" s="128"/>
      <c r="C47" s="129"/>
      <c r="D47" s="129"/>
      <c r="E47" s="130"/>
      <c r="F47" s="131"/>
      <c r="G47" s="129"/>
      <c r="H47" s="132"/>
      <c r="I47" s="129"/>
      <c r="J47" s="129"/>
      <c r="K47" s="129"/>
      <c r="L47" s="129"/>
      <c r="M47" s="129"/>
      <c r="N47" s="130"/>
    </row>
    <row r="48" spans="1:14" x14ac:dyDescent="0.25">
      <c r="A48" s="119"/>
      <c r="B48" s="128"/>
      <c r="C48" s="129"/>
      <c r="D48" s="129"/>
      <c r="E48" s="130"/>
      <c r="F48" s="131"/>
      <c r="G48" s="133" t="s">
        <v>162</v>
      </c>
      <c r="H48" s="132">
        <f>H46+H44</f>
        <v>1.508195067861684</v>
      </c>
      <c r="I48" s="129" t="s">
        <v>62</v>
      </c>
      <c r="J48" s="129"/>
      <c r="K48" s="129"/>
      <c r="L48" s="129"/>
      <c r="M48" s="129"/>
      <c r="N48" s="130"/>
    </row>
    <row r="49" spans="1:14" ht="15.75" thickBot="1" x14ac:dyDescent="0.3">
      <c r="A49" s="119"/>
      <c r="B49" s="134"/>
      <c r="C49" s="139"/>
      <c r="D49" s="139"/>
      <c r="E49" s="137"/>
      <c r="F49" s="140"/>
      <c r="G49" s="135" t="s">
        <v>163</v>
      </c>
      <c r="H49" s="136">
        <f>H45+H43</f>
        <v>1.2381612849232564</v>
      </c>
      <c r="I49" s="139" t="s">
        <v>158</v>
      </c>
      <c r="J49" s="139"/>
      <c r="K49" s="139"/>
      <c r="L49" s="139"/>
      <c r="M49" s="139"/>
      <c r="N49" s="137"/>
    </row>
  </sheetData>
  <mergeCells count="1">
    <mergeCell ref="F9:H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26"/>
  <sheetViews>
    <sheetView workbookViewId="0">
      <selection sqref="A1:A2"/>
    </sheetView>
  </sheetViews>
  <sheetFormatPr defaultRowHeight="15" x14ac:dyDescent="0.25"/>
  <cols>
    <col min="5" max="5" width="9.85546875" bestFit="1" customWidth="1"/>
  </cols>
  <sheetData>
    <row r="1" spans="1:18" s="3" customFormat="1" x14ac:dyDescent="0.25">
      <c r="A1" s="269" t="s">
        <v>31</v>
      </c>
      <c r="B1" s="271" t="s">
        <v>32</v>
      </c>
      <c r="C1" s="269" t="s">
        <v>33</v>
      </c>
      <c r="D1" s="273" t="s">
        <v>8</v>
      </c>
      <c r="E1" s="271"/>
      <c r="F1" s="273" t="s">
        <v>34</v>
      </c>
      <c r="G1" s="274"/>
      <c r="H1" s="274"/>
      <c r="I1" s="271"/>
      <c r="J1" s="273" t="s">
        <v>35</v>
      </c>
      <c r="K1" s="271"/>
      <c r="L1" s="273" t="s">
        <v>44</v>
      </c>
      <c r="M1" s="274"/>
      <c r="N1" s="271"/>
      <c r="O1" s="266" t="s">
        <v>72</v>
      </c>
      <c r="P1" s="267"/>
      <c r="Q1" s="267"/>
      <c r="R1" s="268"/>
    </row>
    <row r="2" spans="1:18" s="3" customFormat="1" x14ac:dyDescent="0.25">
      <c r="A2" s="270"/>
      <c r="B2" s="272"/>
      <c r="C2" s="270"/>
      <c r="D2" s="38" t="s">
        <v>37</v>
      </c>
      <c r="E2" s="40" t="s">
        <v>38</v>
      </c>
      <c r="F2" s="38" t="s">
        <v>39</v>
      </c>
      <c r="G2" s="39" t="s">
        <v>40</v>
      </c>
      <c r="H2" s="39" t="s">
        <v>41</v>
      </c>
      <c r="I2" s="40" t="s">
        <v>23</v>
      </c>
      <c r="J2" s="38" t="s">
        <v>42</v>
      </c>
      <c r="K2" s="40" t="s">
        <v>38</v>
      </c>
      <c r="L2" s="38" t="s">
        <v>39</v>
      </c>
      <c r="M2" s="39" t="s">
        <v>40</v>
      </c>
      <c r="N2" s="40" t="s">
        <v>41</v>
      </c>
      <c r="O2" s="187" t="s">
        <v>39</v>
      </c>
      <c r="P2" s="51" t="s">
        <v>40</v>
      </c>
      <c r="Q2" s="51" t="s">
        <v>41</v>
      </c>
      <c r="R2" s="146" t="s">
        <v>23</v>
      </c>
    </row>
    <row r="3" spans="1:18" x14ac:dyDescent="0.25">
      <c r="A3" s="63">
        <v>0</v>
      </c>
      <c r="B3" s="31">
        <v>0</v>
      </c>
      <c r="C3" s="63">
        <v>21</v>
      </c>
      <c r="D3" s="41">
        <v>2.5033333333333334</v>
      </c>
      <c r="E3" s="42">
        <v>6.3233333333333333</v>
      </c>
      <c r="F3" s="25">
        <v>18.7</v>
      </c>
      <c r="G3" s="3">
        <v>18.7</v>
      </c>
      <c r="H3" s="3">
        <v>19.25</v>
      </c>
      <c r="I3" s="31">
        <f t="shared" ref="I3:I16" si="0">SUM(F3:H3)</f>
        <v>56.65</v>
      </c>
      <c r="J3" s="25">
        <v>199.5</v>
      </c>
      <c r="K3" s="26">
        <v>200</v>
      </c>
      <c r="L3" s="56">
        <f t="shared" ref="L3:L17" si="1">F3/$I3</f>
        <v>0.3300970873786408</v>
      </c>
      <c r="M3" s="57">
        <f t="shared" ref="M3:M17" si="2">G3/$I3</f>
        <v>0.3300970873786408</v>
      </c>
      <c r="N3" s="58">
        <f t="shared" ref="N3:N17" si="3">H3/$I3</f>
        <v>0.33980582524271846</v>
      </c>
      <c r="O3" s="188">
        <f t="shared" ref="O3:O16" si="4">LN((F3-F$17)/(F$3-F$17))</f>
        <v>0</v>
      </c>
      <c r="P3" s="189">
        <f t="shared" ref="P3:P16" si="5">LN((G3-G$17)/(G$3-G$17))</f>
        <v>0</v>
      </c>
      <c r="Q3" s="189">
        <f t="shared" ref="Q3:Q16" si="6">LN((H3-H$17)/(H$3-H$17))</f>
        <v>0</v>
      </c>
      <c r="R3" s="190">
        <f t="shared" ref="R3:R16" si="7">LN((I3-I$17)/(I$3-I$17))</f>
        <v>0</v>
      </c>
    </row>
    <row r="4" spans="1:18" x14ac:dyDescent="0.25">
      <c r="A4" s="63">
        <v>2</v>
      </c>
      <c r="B4" s="31">
        <v>6.6833333332906477</v>
      </c>
      <c r="C4" s="63">
        <v>21.6</v>
      </c>
      <c r="D4" s="41">
        <v>2.4166666666666665</v>
      </c>
      <c r="E4" s="42">
        <v>3.206666666666667</v>
      </c>
      <c r="F4" s="25">
        <v>17.649999999999999</v>
      </c>
      <c r="G4" s="3">
        <v>16.649999999999999</v>
      </c>
      <c r="H4" s="3">
        <v>15.55</v>
      </c>
      <c r="I4" s="31">
        <f t="shared" si="0"/>
        <v>49.849999999999994</v>
      </c>
      <c r="J4" s="25">
        <v>193.5</v>
      </c>
      <c r="K4" s="26">
        <v>194</v>
      </c>
      <c r="L4" s="56">
        <f t="shared" si="1"/>
        <v>0.35406218655967903</v>
      </c>
      <c r="M4" s="57">
        <f t="shared" si="2"/>
        <v>0.33400200601805419</v>
      </c>
      <c r="N4" s="58">
        <f t="shared" si="3"/>
        <v>0.31193580742226684</v>
      </c>
      <c r="O4" s="191">
        <f t="shared" si="4"/>
        <v>-0.11093156070728179</v>
      </c>
      <c r="P4" s="192">
        <f t="shared" si="5"/>
        <v>-0.16208965282236978</v>
      </c>
      <c r="Q4" s="192">
        <f t="shared" si="6"/>
        <v>-0.27684773028607068</v>
      </c>
      <c r="R4" s="193">
        <f t="shared" si="7"/>
        <v>-0.19159519357928401</v>
      </c>
    </row>
    <row r="5" spans="1:18" x14ac:dyDescent="0.25">
      <c r="A5" s="63">
        <v>3</v>
      </c>
      <c r="B5" s="31">
        <v>23.499999999941792</v>
      </c>
      <c r="C5" s="63">
        <v>20.9</v>
      </c>
      <c r="D5" s="41">
        <v>2.6633333333333336</v>
      </c>
      <c r="E5" s="42">
        <v>3.1466666666666669</v>
      </c>
      <c r="F5" s="25">
        <v>15.7</v>
      </c>
      <c r="G5" s="3">
        <v>13.55</v>
      </c>
      <c r="H5" s="3">
        <v>11.25</v>
      </c>
      <c r="I5" s="31">
        <f t="shared" si="0"/>
        <v>40.5</v>
      </c>
      <c r="J5" s="25">
        <v>190.5</v>
      </c>
      <c r="K5" s="26">
        <v>191</v>
      </c>
      <c r="L5" s="56">
        <f t="shared" si="1"/>
        <v>0.38765432098765429</v>
      </c>
      <c r="M5" s="57">
        <f t="shared" si="2"/>
        <v>0.33456790123456792</v>
      </c>
      <c r="N5" s="58">
        <f t="shared" si="3"/>
        <v>0.27777777777777779</v>
      </c>
      <c r="O5" s="191">
        <f t="shared" si="4"/>
        <v>-0.35667494393873245</v>
      </c>
      <c r="P5" s="192">
        <f t="shared" si="5"/>
        <v>-0.47146454988541026</v>
      </c>
      <c r="Q5" s="192">
        <f t="shared" si="6"/>
        <v>-0.73997848024404445</v>
      </c>
      <c r="R5" s="193">
        <f t="shared" si="7"/>
        <v>-0.53461052878943272</v>
      </c>
    </row>
    <row r="6" spans="1:18" x14ac:dyDescent="0.25">
      <c r="A6" s="63">
        <v>4</v>
      </c>
      <c r="B6" s="31">
        <v>26.466666666674428</v>
      </c>
      <c r="C6" s="63">
        <v>22.4</v>
      </c>
      <c r="D6" s="41">
        <v>2.61</v>
      </c>
      <c r="E6" s="42">
        <v>3.0666666666666664</v>
      </c>
      <c r="F6" s="25">
        <v>14.9</v>
      </c>
      <c r="G6" s="3">
        <v>12.65</v>
      </c>
      <c r="H6" s="3">
        <v>10.4</v>
      </c>
      <c r="I6" s="31">
        <f t="shared" si="0"/>
        <v>37.950000000000003</v>
      </c>
      <c r="J6" s="25">
        <v>187.5</v>
      </c>
      <c r="K6" s="26">
        <v>188</v>
      </c>
      <c r="L6" s="56">
        <f t="shared" si="1"/>
        <v>0.39262187088274042</v>
      </c>
      <c r="M6" s="57">
        <f t="shared" si="2"/>
        <v>0.33333333333333331</v>
      </c>
      <c r="N6" s="58">
        <f t="shared" si="3"/>
        <v>0.27404479578392621</v>
      </c>
      <c r="O6" s="191">
        <f t="shared" si="4"/>
        <v>-0.47803580094299963</v>
      </c>
      <c r="P6" s="192">
        <f t="shared" si="5"/>
        <v>-0.58269018499563474</v>
      </c>
      <c r="Q6" s="192">
        <f t="shared" si="6"/>
        <v>-0.86377269759070863</v>
      </c>
      <c r="R6" s="193">
        <f t="shared" si="7"/>
        <v>-0.65294076008190449</v>
      </c>
    </row>
    <row r="7" spans="1:18" x14ac:dyDescent="0.25">
      <c r="A7" s="63">
        <v>5</v>
      </c>
      <c r="B7" s="31">
        <v>30.633333333302289</v>
      </c>
      <c r="C7" s="63">
        <v>23.1</v>
      </c>
      <c r="D7" s="41">
        <v>2.6466666666666669</v>
      </c>
      <c r="E7" s="42">
        <v>3.1333333333333333</v>
      </c>
      <c r="F7" s="25">
        <v>14.45</v>
      </c>
      <c r="G7" s="3">
        <v>11.85</v>
      </c>
      <c r="H7" s="3">
        <v>9.4499999999999993</v>
      </c>
      <c r="I7" s="31">
        <f t="shared" si="0"/>
        <v>35.75</v>
      </c>
      <c r="J7" s="25">
        <v>184.5</v>
      </c>
      <c r="K7" s="26">
        <v>185</v>
      </c>
      <c r="L7" s="56">
        <f t="shared" si="1"/>
        <v>0.4041958041958042</v>
      </c>
      <c r="M7" s="57">
        <f t="shared" si="2"/>
        <v>0.33146853146853145</v>
      </c>
      <c r="N7" s="58">
        <f t="shared" si="3"/>
        <v>0.2643356643356643</v>
      </c>
      <c r="O7" s="191">
        <f t="shared" si="4"/>
        <v>-0.55338523818478669</v>
      </c>
      <c r="P7" s="192">
        <f t="shared" si="5"/>
        <v>-0.69314718055994529</v>
      </c>
      <c r="Q7" s="192">
        <f t="shared" si="6"/>
        <v>-1.0231047361599648</v>
      </c>
      <c r="R7" s="193">
        <f t="shared" si="7"/>
        <v>-0.76764970785786635</v>
      </c>
    </row>
    <row r="8" spans="1:18" x14ac:dyDescent="0.25">
      <c r="A8" s="63">
        <v>6</v>
      </c>
      <c r="B8" s="31">
        <v>47.700000000069849</v>
      </c>
      <c r="C8" s="63">
        <v>20.8</v>
      </c>
      <c r="D8" s="41">
        <v>2.5566666666666666</v>
      </c>
      <c r="E8" s="42">
        <v>2.9499999999999997</v>
      </c>
      <c r="F8" s="25">
        <v>17.149999999999999</v>
      </c>
      <c r="G8" s="3">
        <v>13.3</v>
      </c>
      <c r="H8" s="3">
        <v>9.9</v>
      </c>
      <c r="I8" s="31">
        <f t="shared" si="0"/>
        <v>40.35</v>
      </c>
      <c r="J8" s="25">
        <v>181.5</v>
      </c>
      <c r="K8" s="26">
        <v>182</v>
      </c>
      <c r="L8" s="56">
        <f t="shared" si="1"/>
        <v>0.42503097893432462</v>
      </c>
      <c r="M8" s="57">
        <f t="shared" si="2"/>
        <v>0.32961586121437425</v>
      </c>
      <c r="N8" s="58">
        <f t="shared" si="3"/>
        <v>0.24535315985130113</v>
      </c>
      <c r="O8" s="191">
        <f t="shared" si="4"/>
        <v>-0.16841865162496325</v>
      </c>
      <c r="P8" s="192">
        <f t="shared" si="5"/>
        <v>-0.50114031803152692</v>
      </c>
      <c r="Q8" s="192">
        <f t="shared" si="6"/>
        <v>-0.9444616088408514</v>
      </c>
      <c r="R8" s="193">
        <f t="shared" si="7"/>
        <v>-0.54119672164228938</v>
      </c>
    </row>
    <row r="9" spans="1:18" x14ac:dyDescent="0.25">
      <c r="A9" s="63">
        <v>7</v>
      </c>
      <c r="B9" s="31">
        <v>50.333333333430346</v>
      </c>
      <c r="C9" s="63">
        <v>22.2</v>
      </c>
      <c r="D9" s="41">
        <v>2.5566666666666666</v>
      </c>
      <c r="E9" s="42">
        <v>2.8966666666666669</v>
      </c>
      <c r="F9" s="25">
        <v>14.7</v>
      </c>
      <c r="G9" s="3">
        <v>11.25</v>
      </c>
      <c r="H9" s="3">
        <v>8.3000000000000007</v>
      </c>
      <c r="I9" s="31">
        <f t="shared" si="0"/>
        <v>34.25</v>
      </c>
      <c r="J9" s="25">
        <v>178.5</v>
      </c>
      <c r="K9" s="26">
        <v>179</v>
      </c>
      <c r="L9" s="56">
        <f t="shared" si="1"/>
        <v>0.42919708029197079</v>
      </c>
      <c r="M9" s="57">
        <f t="shared" si="2"/>
        <v>0.32846715328467152</v>
      </c>
      <c r="N9" s="58">
        <f t="shared" si="3"/>
        <v>0.24233576642335769</v>
      </c>
      <c r="O9" s="191">
        <f t="shared" si="4"/>
        <v>-0.51082562376599072</v>
      </c>
      <c r="P9" s="192">
        <f t="shared" si="5"/>
        <v>-0.78481436908576907</v>
      </c>
      <c r="Q9" s="192">
        <f t="shared" si="6"/>
        <v>-1.257676983297797</v>
      </c>
      <c r="R9" s="193">
        <f t="shared" si="7"/>
        <v>-0.85415895076714876</v>
      </c>
    </row>
    <row r="10" spans="1:18" x14ac:dyDescent="0.25">
      <c r="A10" s="63">
        <v>8</v>
      </c>
      <c r="B10" s="31">
        <v>54.666666666744277</v>
      </c>
      <c r="C10" s="63">
        <v>23.4</v>
      </c>
      <c r="D10" s="41">
        <v>2.61</v>
      </c>
      <c r="E10" s="42">
        <v>2.9833333333333329</v>
      </c>
      <c r="F10" s="25">
        <v>15.8</v>
      </c>
      <c r="G10" s="3">
        <v>11.9</v>
      </c>
      <c r="H10" s="3">
        <v>8.6999999999999993</v>
      </c>
      <c r="I10" s="31">
        <f t="shared" si="0"/>
        <v>36.400000000000006</v>
      </c>
      <c r="J10" s="25">
        <v>175.5</v>
      </c>
      <c r="K10" s="26">
        <v>176</v>
      </c>
      <c r="L10" s="56">
        <f t="shared" si="1"/>
        <v>0.43406593406593402</v>
      </c>
      <c r="M10" s="57">
        <f t="shared" si="2"/>
        <v>0.32692307692307687</v>
      </c>
      <c r="N10" s="58">
        <f t="shared" si="3"/>
        <v>0.23901098901098897</v>
      </c>
      <c r="O10" s="191">
        <f t="shared" si="4"/>
        <v>-0.34249030894677568</v>
      </c>
      <c r="P10" s="192">
        <f t="shared" si="5"/>
        <v>-0.68587442123086539</v>
      </c>
      <c r="Q10" s="192">
        <f t="shared" si="6"/>
        <v>-1.1697082103518401</v>
      </c>
      <c r="R10" s="193">
        <f t="shared" si="7"/>
        <v>-0.73236789371322619</v>
      </c>
    </row>
    <row r="11" spans="1:18" x14ac:dyDescent="0.25">
      <c r="A11" s="63">
        <v>9</v>
      </c>
      <c r="B11" s="31">
        <v>71.650000000081491</v>
      </c>
      <c r="C11" s="63">
        <v>18.3</v>
      </c>
      <c r="D11" s="41">
        <v>2.6933333333333334</v>
      </c>
      <c r="E11" s="42">
        <v>3.0866666666666664</v>
      </c>
      <c r="F11" s="25">
        <v>14.1</v>
      </c>
      <c r="G11" s="3">
        <v>10.199999999999999</v>
      </c>
      <c r="H11" s="3">
        <v>7.35</v>
      </c>
      <c r="I11" s="31">
        <f t="shared" si="0"/>
        <v>31.65</v>
      </c>
      <c r="J11" s="25">
        <v>172.5</v>
      </c>
      <c r="K11" s="26">
        <v>173</v>
      </c>
      <c r="L11" s="56">
        <f t="shared" si="1"/>
        <v>0.44549763033175355</v>
      </c>
      <c r="M11" s="57">
        <f t="shared" si="2"/>
        <v>0.32227488151658767</v>
      </c>
      <c r="N11" s="58">
        <f t="shared" si="3"/>
        <v>0.23222748815165878</v>
      </c>
      <c r="O11" s="191">
        <f t="shared" si="4"/>
        <v>-0.61618613942381695</v>
      </c>
      <c r="P11" s="192">
        <f t="shared" si="5"/>
        <v>-0.96873720724669765</v>
      </c>
      <c r="Q11" s="192">
        <f t="shared" si="6"/>
        <v>-1.5040773967762742</v>
      </c>
      <c r="R11" s="193">
        <f t="shared" si="7"/>
        <v>-1.0245043165143879</v>
      </c>
    </row>
    <row r="12" spans="1:18" x14ac:dyDescent="0.25">
      <c r="A12" s="63">
        <v>10</v>
      </c>
      <c r="B12" s="31">
        <v>75.600000000034925</v>
      </c>
      <c r="C12" s="63">
        <v>23.5</v>
      </c>
      <c r="D12" s="41">
        <v>2.6233333333333331</v>
      </c>
      <c r="E12" s="42">
        <v>2.9499999999999997</v>
      </c>
      <c r="F12" s="25">
        <v>14.65</v>
      </c>
      <c r="G12" s="3">
        <v>10.199999999999999</v>
      </c>
      <c r="H12" s="3">
        <v>7.25</v>
      </c>
      <c r="I12" s="31">
        <f t="shared" si="0"/>
        <v>32.1</v>
      </c>
      <c r="J12" s="25">
        <v>169.5</v>
      </c>
      <c r="K12" s="26">
        <v>170</v>
      </c>
      <c r="L12" s="56">
        <f t="shared" si="1"/>
        <v>0.45638629283489096</v>
      </c>
      <c r="M12" s="57">
        <f t="shared" si="2"/>
        <v>0.31775700934579437</v>
      </c>
      <c r="N12" s="58">
        <f t="shared" si="3"/>
        <v>0.22585669781931464</v>
      </c>
      <c r="O12" s="191">
        <f t="shared" si="4"/>
        <v>-0.51919387343650714</v>
      </c>
      <c r="P12" s="192">
        <f t="shared" si="5"/>
        <v>-0.96873720724669765</v>
      </c>
      <c r="Q12" s="192">
        <f t="shared" si="6"/>
        <v>-1.5339303599259553</v>
      </c>
      <c r="R12" s="193">
        <f t="shared" si="7"/>
        <v>-0.99286723157120504</v>
      </c>
    </row>
    <row r="13" spans="1:18" x14ac:dyDescent="0.25">
      <c r="A13" s="63">
        <v>11</v>
      </c>
      <c r="B13" s="31">
        <v>78.56666666676756</v>
      </c>
      <c r="C13" s="63">
        <v>22.3</v>
      </c>
      <c r="D13" s="41">
        <v>2.6199999999999997</v>
      </c>
      <c r="E13" s="42">
        <v>3.0166666666666671</v>
      </c>
      <c r="F13" s="25">
        <v>14.45</v>
      </c>
      <c r="G13" s="3">
        <v>10.1</v>
      </c>
      <c r="H13" s="3">
        <v>7.2</v>
      </c>
      <c r="I13" s="31">
        <f t="shared" si="0"/>
        <v>31.749999999999996</v>
      </c>
      <c r="J13" s="25">
        <v>166.5</v>
      </c>
      <c r="K13" s="26">
        <v>167</v>
      </c>
      <c r="L13" s="56">
        <f t="shared" si="1"/>
        <v>0.45511811023622051</v>
      </c>
      <c r="M13" s="57">
        <f t="shared" si="2"/>
        <v>0.31811023622047246</v>
      </c>
      <c r="N13" s="58">
        <f t="shared" si="3"/>
        <v>0.22677165354330711</v>
      </c>
      <c r="O13" s="191">
        <f t="shared" si="4"/>
        <v>-0.55338523818478669</v>
      </c>
      <c r="P13" s="192">
        <f t="shared" si="5"/>
        <v>-0.98815529310379913</v>
      </c>
      <c r="Q13" s="192">
        <f t="shared" si="6"/>
        <v>-1.5491978320567437</v>
      </c>
      <c r="R13" s="193">
        <f t="shared" si="7"/>
        <v>-1.017386848745524</v>
      </c>
    </row>
    <row r="14" spans="1:18" x14ac:dyDescent="0.25">
      <c r="A14" s="63">
        <v>12</v>
      </c>
      <c r="B14" s="31">
        <v>95.499999999941792</v>
      </c>
      <c r="C14" s="63">
        <v>16.7</v>
      </c>
      <c r="D14" s="41">
        <v>2.63</v>
      </c>
      <c r="E14" s="42">
        <v>3.1300000000000003</v>
      </c>
      <c r="F14" s="25">
        <v>17.25</v>
      </c>
      <c r="G14" s="3">
        <v>11.55</v>
      </c>
      <c r="H14" s="3">
        <v>8.1999999999999993</v>
      </c>
      <c r="I14" s="31">
        <f t="shared" si="0"/>
        <v>37</v>
      </c>
      <c r="J14" s="25">
        <v>163.5</v>
      </c>
      <c r="K14" s="26">
        <v>164</v>
      </c>
      <c r="L14" s="56">
        <f t="shared" si="1"/>
        <v>0.46621621621621623</v>
      </c>
      <c r="M14" s="57">
        <f t="shared" si="2"/>
        <v>0.31216216216216219</v>
      </c>
      <c r="N14" s="58">
        <f t="shared" si="3"/>
        <v>0.22162162162162161</v>
      </c>
      <c r="O14" s="191">
        <f t="shared" si="4"/>
        <v>-0.15665381004537673</v>
      </c>
      <c r="P14" s="192">
        <f t="shared" si="5"/>
        <v>-0.73793078318691852</v>
      </c>
      <c r="Q14" s="192">
        <f t="shared" si="6"/>
        <v>-1.2809338454620647</v>
      </c>
      <c r="R14" s="193">
        <f t="shared" si="7"/>
        <v>-0.70086922665385554</v>
      </c>
    </row>
    <row r="15" spans="1:18" x14ac:dyDescent="0.25">
      <c r="A15" s="63">
        <v>13</v>
      </c>
      <c r="B15" s="31">
        <v>97.850000000093132</v>
      </c>
      <c r="C15" s="63">
        <v>23</v>
      </c>
      <c r="D15" s="41">
        <v>2.6366666666666667</v>
      </c>
      <c r="E15" s="42">
        <v>2.8833333333333329</v>
      </c>
      <c r="F15" s="25">
        <v>16.350000000000001</v>
      </c>
      <c r="G15" s="3">
        <v>10.75</v>
      </c>
      <c r="H15" s="3">
        <v>7.65</v>
      </c>
      <c r="I15" s="31">
        <f t="shared" si="0"/>
        <v>34.75</v>
      </c>
      <c r="J15" s="25">
        <v>160.5</v>
      </c>
      <c r="K15" s="26">
        <v>161</v>
      </c>
      <c r="L15" s="56">
        <f t="shared" si="1"/>
        <v>0.47050359712230222</v>
      </c>
      <c r="M15" s="57">
        <f t="shared" si="2"/>
        <v>0.30935251798561153</v>
      </c>
      <c r="N15" s="58">
        <f t="shared" si="3"/>
        <v>0.22014388489208633</v>
      </c>
      <c r="O15" s="191">
        <f t="shared" si="4"/>
        <v>-0.26787944515560091</v>
      </c>
      <c r="P15" s="192">
        <f t="shared" si="5"/>
        <v>-0.86819597802482007</v>
      </c>
      <c r="Q15" s="192">
        <f t="shared" si="6"/>
        <v>-1.4195200087482109</v>
      </c>
      <c r="R15" s="193">
        <f t="shared" si="7"/>
        <v>-0.82448318262103215</v>
      </c>
    </row>
    <row r="16" spans="1:18" x14ac:dyDescent="0.25">
      <c r="A16" s="63">
        <v>14</v>
      </c>
      <c r="B16" s="31">
        <v>102.46666666661622</v>
      </c>
      <c r="C16" s="63">
        <v>23.3</v>
      </c>
      <c r="D16" s="41">
        <v>2.6300000000000003</v>
      </c>
      <c r="E16" s="42">
        <v>2.9333333333333336</v>
      </c>
      <c r="F16" s="25">
        <v>16.149999999999999</v>
      </c>
      <c r="G16" s="3">
        <v>10.55</v>
      </c>
      <c r="H16" s="3">
        <v>7.6</v>
      </c>
      <c r="I16" s="31">
        <f t="shared" si="0"/>
        <v>34.299999999999997</v>
      </c>
      <c r="J16" s="25">
        <v>157.5</v>
      </c>
      <c r="K16" s="26">
        <v>158</v>
      </c>
      <c r="L16" s="56">
        <f t="shared" si="1"/>
        <v>0.4708454810495627</v>
      </c>
      <c r="M16" s="57">
        <f t="shared" si="2"/>
        <v>0.30758017492711376</v>
      </c>
      <c r="N16" s="58">
        <f t="shared" si="3"/>
        <v>0.22157434402332363</v>
      </c>
      <c r="O16" s="191">
        <f t="shared" si="4"/>
        <v>-0.29437106060257767</v>
      </c>
      <c r="P16" s="192">
        <f t="shared" si="5"/>
        <v>-0.9035979050757359</v>
      </c>
      <c r="Q16" s="192">
        <f t="shared" si="6"/>
        <v>-1.4331256608039897</v>
      </c>
      <c r="R16" s="193">
        <f t="shared" si="7"/>
        <v>-0.85115142970319368</v>
      </c>
    </row>
    <row r="17" spans="1:18" x14ac:dyDescent="0.25">
      <c r="A17" s="64">
        <v>15</v>
      </c>
      <c r="B17" s="35">
        <v>167.83333333331393</v>
      </c>
      <c r="C17" s="64">
        <v>24.8</v>
      </c>
      <c r="D17" s="43">
        <v>2.5733333333333337</v>
      </c>
      <c r="E17" s="44">
        <v>2.813333333333333</v>
      </c>
      <c r="F17" s="38">
        <v>8.6999999999999993</v>
      </c>
      <c r="G17" s="39">
        <v>5</v>
      </c>
      <c r="H17" s="39">
        <v>3.95</v>
      </c>
      <c r="I17" s="35">
        <f>SUM(F17:H17)</f>
        <v>17.649999999999999</v>
      </c>
      <c r="J17" s="38">
        <v>154.5</v>
      </c>
      <c r="K17" s="40">
        <v>155</v>
      </c>
      <c r="L17" s="59">
        <f t="shared" si="1"/>
        <v>0.49291784702549574</v>
      </c>
      <c r="M17" s="60">
        <f t="shared" si="2"/>
        <v>0.28328611898016998</v>
      </c>
      <c r="N17" s="61">
        <f t="shared" si="3"/>
        <v>0.22379603399433431</v>
      </c>
      <c r="O17" s="194"/>
      <c r="P17" s="195"/>
      <c r="Q17" s="195"/>
      <c r="R17" s="196"/>
    </row>
    <row r="18" spans="1:18" x14ac:dyDescent="0.25">
      <c r="O18" s="51"/>
      <c r="P18" s="51"/>
      <c r="Q18" s="51"/>
      <c r="R18" s="51"/>
    </row>
    <row r="19" spans="1:18" x14ac:dyDescent="0.25">
      <c r="E19" s="36" t="s">
        <v>164</v>
      </c>
      <c r="F19" s="27">
        <f>(F3*($J$3/1000))/(($J$3+$K$3)/1000)</f>
        <v>9.3382978723404264</v>
      </c>
      <c r="G19" s="27">
        <f>(G3*($J$3/1000))/(($J$3+$K$3)/1000)</f>
        <v>9.3382978723404264</v>
      </c>
      <c r="H19" s="27">
        <f>(H3*($J$3/1000))/(($J$3+$K$3)/1000)</f>
        <v>9.6129536921151448</v>
      </c>
      <c r="I19" s="27">
        <f>(I3*($J$3/1000))/(($J$3+$K$3)/1000)</f>
        <v>28.289549436795991</v>
      </c>
      <c r="N19" t="s">
        <v>45</v>
      </c>
      <c r="O19" s="147">
        <f>-SLOPE(O3:O17,$B$3:$B$17)</f>
        <v>1.4373955774223026E-3</v>
      </c>
      <c r="P19" s="147">
        <f>-SLOPE(P3:P17,$B$3:$B$17)</f>
        <v>7.5041434949837437E-3</v>
      </c>
      <c r="Q19" s="147">
        <f>-SLOPE(Q3:Q17,$B$3:$B$17)</f>
        <v>1.2381422461825033E-2</v>
      </c>
      <c r="R19" s="147">
        <f>-SLOPE(R3:R17,$B$3:$B$17)</f>
        <v>6.7351177224666114E-3</v>
      </c>
    </row>
    <row r="20" spans="1:18" x14ac:dyDescent="0.25">
      <c r="N20" t="s">
        <v>43</v>
      </c>
      <c r="O20" s="147">
        <f>(CORREL(O3:O17,$B$3:$B$17))^2</f>
        <v>6.3200608825578208E-2</v>
      </c>
      <c r="P20" s="147">
        <f>(CORREL(P3:P17,$B$3:$B$17))^2</f>
        <v>0.71050441927643604</v>
      </c>
      <c r="Q20" s="147">
        <f>(CORREL(Q3:Q17,$B$3:$B$17))^2</f>
        <v>0.77775877522913828</v>
      </c>
      <c r="R20" s="147">
        <f>(CORREL(R3:R17,$B$3:$B$17))^2</f>
        <v>0.57845512060146653</v>
      </c>
    </row>
    <row r="21" spans="1:18" x14ac:dyDescent="0.25">
      <c r="B21" s="27"/>
      <c r="C21" s="27"/>
      <c r="D21" s="27"/>
      <c r="E21" s="82"/>
      <c r="F21" s="37"/>
      <c r="G21" s="37"/>
      <c r="H21" s="37"/>
      <c r="I21" s="37"/>
      <c r="J21" s="27"/>
      <c r="K21" s="27"/>
      <c r="N21" t="s">
        <v>46</v>
      </c>
      <c r="O21" s="148">
        <f>(O19*($J$3/1000000))/Constants!$K$8</f>
        <v>4.8770654628497117E-5</v>
      </c>
      <c r="P21" s="148">
        <f>(P19*($J$3/1000000))/Constants!$K$8</f>
        <v>2.5461466309285229E-4</v>
      </c>
      <c r="Q21" s="148">
        <f>(Q19*($J$3/1000000))/Constants!$K$8</f>
        <v>4.2010013678911982E-4</v>
      </c>
      <c r="R21" s="148">
        <f>(R19*($J$3/1000000))/Constants!$K$8</f>
        <v>2.2852171349639812E-4</v>
      </c>
    </row>
    <row r="22" spans="1:18" x14ac:dyDescent="0.25">
      <c r="B22" s="27"/>
      <c r="C22" s="27"/>
      <c r="D22" s="27"/>
      <c r="E22" s="27"/>
      <c r="F22" s="37"/>
      <c r="G22" s="37"/>
      <c r="H22" s="37"/>
      <c r="I22" s="37"/>
      <c r="J22" s="27"/>
      <c r="K22" s="27"/>
      <c r="N22" t="s">
        <v>47</v>
      </c>
      <c r="O22" s="148">
        <f t="shared" ref="O22:R22" si="8">O21/3600</f>
        <v>1.3547404063471422E-8</v>
      </c>
      <c r="P22" s="148">
        <f t="shared" si="8"/>
        <v>7.0726295303570076E-8</v>
      </c>
      <c r="Q22" s="148">
        <f t="shared" si="8"/>
        <v>1.1669448244142217E-7</v>
      </c>
      <c r="R22" s="148">
        <f t="shared" si="8"/>
        <v>6.347825374899947E-8</v>
      </c>
    </row>
    <row r="23" spans="1:18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N23" s="1" t="s">
        <v>64</v>
      </c>
      <c r="O23" s="153">
        <f t="shared" ref="O23:R23" si="9">O22*10^6</f>
        <v>1.3547404063471422E-2</v>
      </c>
      <c r="P23" s="153">
        <f t="shared" si="9"/>
        <v>7.072629530357008E-2</v>
      </c>
      <c r="Q23" s="153">
        <f t="shared" si="9"/>
        <v>0.11669448244142216</v>
      </c>
      <c r="R23" s="153">
        <f t="shared" si="9"/>
        <v>6.3478253748999472E-2</v>
      </c>
    </row>
    <row r="25" spans="1:18" x14ac:dyDescent="0.25">
      <c r="E25" s="27"/>
      <c r="F25" s="27"/>
      <c r="G25" s="27"/>
      <c r="H25" s="27"/>
      <c r="I25" s="27"/>
      <c r="J25" s="27"/>
      <c r="K25" s="27"/>
    </row>
    <row r="26" spans="1:18" x14ac:dyDescent="0.25">
      <c r="E26" s="27"/>
      <c r="F26" s="27"/>
      <c r="G26" s="27"/>
      <c r="H26" s="27"/>
      <c r="I26" s="27"/>
      <c r="J26" s="27"/>
      <c r="K26" s="27"/>
    </row>
  </sheetData>
  <mergeCells count="8">
    <mergeCell ref="O1:R1"/>
    <mergeCell ref="A1:A2"/>
    <mergeCell ref="B1:B2"/>
    <mergeCell ref="C1:C2"/>
    <mergeCell ref="D1:E1"/>
    <mergeCell ref="F1:I1"/>
    <mergeCell ref="J1:K1"/>
    <mergeCell ref="L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26"/>
  <sheetViews>
    <sheetView workbookViewId="0">
      <selection sqref="A1:A2"/>
    </sheetView>
  </sheetViews>
  <sheetFormatPr defaultRowHeight="15" x14ac:dyDescent="0.25"/>
  <cols>
    <col min="5" max="5" width="9.85546875" bestFit="1" customWidth="1"/>
  </cols>
  <sheetData>
    <row r="1" spans="1:18" s="3" customFormat="1" x14ac:dyDescent="0.25">
      <c r="A1" s="269" t="s">
        <v>31</v>
      </c>
      <c r="B1" s="271" t="s">
        <v>32</v>
      </c>
      <c r="C1" s="269" t="s">
        <v>33</v>
      </c>
      <c r="D1" s="273" t="s">
        <v>8</v>
      </c>
      <c r="E1" s="271"/>
      <c r="F1" s="273" t="s">
        <v>34</v>
      </c>
      <c r="G1" s="274"/>
      <c r="H1" s="274"/>
      <c r="I1" s="271"/>
      <c r="J1" s="273" t="s">
        <v>35</v>
      </c>
      <c r="K1" s="271"/>
      <c r="L1" s="273" t="s">
        <v>44</v>
      </c>
      <c r="M1" s="274"/>
      <c r="N1" s="271"/>
      <c r="O1" s="273" t="s">
        <v>72</v>
      </c>
      <c r="P1" s="274"/>
      <c r="Q1" s="274"/>
      <c r="R1" s="274"/>
    </row>
    <row r="2" spans="1:18" s="3" customFormat="1" x14ac:dyDescent="0.25">
      <c r="A2" s="270"/>
      <c r="B2" s="272"/>
      <c r="C2" s="270"/>
      <c r="D2" s="38" t="s">
        <v>37</v>
      </c>
      <c r="E2" s="40" t="s">
        <v>38</v>
      </c>
      <c r="F2" s="38" t="s">
        <v>39</v>
      </c>
      <c r="G2" s="39" t="s">
        <v>40</v>
      </c>
      <c r="H2" s="39" t="s">
        <v>41</v>
      </c>
      <c r="I2" s="40" t="s">
        <v>23</v>
      </c>
      <c r="J2" s="38" t="s">
        <v>42</v>
      </c>
      <c r="K2" s="40" t="s">
        <v>38</v>
      </c>
      <c r="L2" s="38" t="s">
        <v>39</v>
      </c>
      <c r="M2" s="39" t="s">
        <v>40</v>
      </c>
      <c r="N2" s="40" t="s">
        <v>41</v>
      </c>
      <c r="O2" s="38" t="s">
        <v>39</v>
      </c>
      <c r="P2" s="39" t="s">
        <v>40</v>
      </c>
      <c r="Q2" s="39" t="s">
        <v>41</v>
      </c>
      <c r="R2" s="46" t="s">
        <v>23</v>
      </c>
    </row>
    <row r="3" spans="1:18" x14ac:dyDescent="0.25">
      <c r="A3" s="63">
        <v>0</v>
      </c>
      <c r="B3" s="31">
        <v>0</v>
      </c>
      <c r="C3" s="63">
        <v>21</v>
      </c>
      <c r="D3" s="41">
        <v>2.5033333333333334</v>
      </c>
      <c r="E3" s="42">
        <v>6.3233333333333333</v>
      </c>
      <c r="F3" s="25">
        <v>16.8</v>
      </c>
      <c r="G3" s="3">
        <v>17.2</v>
      </c>
      <c r="H3" s="3">
        <v>17.899999999999999</v>
      </c>
      <c r="I3" s="31">
        <v>51.9</v>
      </c>
      <c r="J3" s="25">
        <v>199.5</v>
      </c>
      <c r="K3" s="26">
        <v>200</v>
      </c>
      <c r="L3" s="56">
        <f t="shared" ref="L3:L16" si="0">F3/$I3</f>
        <v>0.32369942196531792</v>
      </c>
      <c r="M3" s="57">
        <f t="shared" ref="M3:M17" si="1">G3/$I3</f>
        <v>0.33140655105973027</v>
      </c>
      <c r="N3" s="58">
        <f t="shared" ref="N3:N17" si="2">H3/$I3</f>
        <v>0.34489402697495181</v>
      </c>
      <c r="O3" s="2">
        <f t="shared" ref="O3:O16" si="3">LN((F3-F$17)/(F$3-F$17))</f>
        <v>0</v>
      </c>
      <c r="P3" s="3">
        <f t="shared" ref="P3:P16" si="4">LN((G3-G$17)/(G$3-G$17))</f>
        <v>0</v>
      </c>
      <c r="Q3" s="3">
        <f t="shared" ref="Q3:Q16" si="5">LN((H3-H$17)/(H$3-H$17))</f>
        <v>0</v>
      </c>
      <c r="R3" s="8">
        <f t="shared" ref="R3:R16" si="6">LN((I3-I$17)/(I$3-I$17))</f>
        <v>0</v>
      </c>
    </row>
    <row r="4" spans="1:18" x14ac:dyDescent="0.25">
      <c r="A4" s="63">
        <v>1</v>
      </c>
      <c r="B4" s="31">
        <v>3.4000000000814907</v>
      </c>
      <c r="C4" s="63">
        <v>23.7</v>
      </c>
      <c r="D4" s="41">
        <v>2.3800000000000003</v>
      </c>
      <c r="E4" s="42">
        <v>3.3800000000000003</v>
      </c>
      <c r="F4" s="25">
        <v>15.6</v>
      </c>
      <c r="G4" s="3">
        <v>15.45</v>
      </c>
      <c r="H4" s="3">
        <v>15.1</v>
      </c>
      <c r="I4" s="31">
        <v>46.15</v>
      </c>
      <c r="J4" s="25">
        <v>196.5</v>
      </c>
      <c r="K4" s="26">
        <v>193.66</v>
      </c>
      <c r="L4" s="56">
        <f t="shared" si="0"/>
        <v>0.3380281690140845</v>
      </c>
      <c r="M4" s="57">
        <f t="shared" si="1"/>
        <v>0.33477789815817982</v>
      </c>
      <c r="N4" s="58">
        <f t="shared" si="2"/>
        <v>0.32719393282773562</v>
      </c>
      <c r="O4" s="2">
        <f t="shared" si="3"/>
        <v>-0.19105523676270936</v>
      </c>
      <c r="P4" s="3">
        <f t="shared" si="4"/>
        <v>-0.16507975035944858</v>
      </c>
      <c r="Q4" s="3">
        <f t="shared" si="5"/>
        <v>-0.23244594397652324</v>
      </c>
      <c r="R4" s="8">
        <f t="shared" si="6"/>
        <v>-0.19875681927986696</v>
      </c>
    </row>
    <row r="5" spans="1:18" x14ac:dyDescent="0.25">
      <c r="A5" s="63">
        <v>2</v>
      </c>
      <c r="B5" s="31">
        <v>6.6833333332906477</v>
      </c>
      <c r="C5" s="63">
        <v>21.6</v>
      </c>
      <c r="D5" s="41">
        <v>2.4166666666666665</v>
      </c>
      <c r="E5" s="42">
        <v>3.206666666666667</v>
      </c>
      <c r="F5" s="25">
        <v>13.95</v>
      </c>
      <c r="G5" s="3">
        <v>13.25</v>
      </c>
      <c r="H5" s="3">
        <v>12.5</v>
      </c>
      <c r="I5" s="31">
        <v>39.700000000000003</v>
      </c>
      <c r="J5" s="25">
        <v>193.5</v>
      </c>
      <c r="K5" s="26">
        <v>190.29999999999998</v>
      </c>
      <c r="L5" s="56">
        <f t="shared" si="0"/>
        <v>0.35138539042821154</v>
      </c>
      <c r="M5" s="57">
        <f t="shared" si="1"/>
        <v>0.33375314861460953</v>
      </c>
      <c r="N5" s="58">
        <f t="shared" si="2"/>
        <v>0.31486146095717882</v>
      </c>
      <c r="O5" s="2">
        <f t="shared" si="3"/>
        <v>-0.53280453048476617</v>
      </c>
      <c r="P5" s="3">
        <f t="shared" si="4"/>
        <v>-0.42079947210827107</v>
      </c>
      <c r="Q5" s="3">
        <f t="shared" si="5"/>
        <v>-0.5108256237659905</v>
      </c>
      <c r="R5" s="8">
        <f t="shared" si="6"/>
        <v>-0.48198737404685588</v>
      </c>
    </row>
    <row r="6" spans="1:18" x14ac:dyDescent="0.25">
      <c r="A6" s="63">
        <v>3</v>
      </c>
      <c r="B6" s="31">
        <v>23.499999999941792</v>
      </c>
      <c r="C6" s="63">
        <v>20.9</v>
      </c>
      <c r="D6" s="41">
        <v>2.6633333333333336</v>
      </c>
      <c r="E6" s="42">
        <v>3.1466666666666669</v>
      </c>
      <c r="F6" s="25">
        <v>14.75</v>
      </c>
      <c r="G6" s="3">
        <v>13.1</v>
      </c>
      <c r="H6" s="3">
        <v>10.9</v>
      </c>
      <c r="I6" s="31">
        <v>38.75</v>
      </c>
      <c r="J6" s="25">
        <v>190.5</v>
      </c>
      <c r="K6" s="26">
        <v>187.10999999999999</v>
      </c>
      <c r="L6" s="56">
        <f t="shared" si="0"/>
        <v>0.38064516129032255</v>
      </c>
      <c r="M6" s="57">
        <f t="shared" si="1"/>
        <v>0.33806451612903227</v>
      </c>
      <c r="N6" s="58">
        <f t="shared" si="2"/>
        <v>0.28129032258064518</v>
      </c>
      <c r="O6" s="2">
        <f t="shared" si="3"/>
        <v>-0.35254270665382204</v>
      </c>
      <c r="P6" s="3">
        <f t="shared" si="4"/>
        <v>-0.44086703515908038</v>
      </c>
      <c r="Q6" s="3">
        <f t="shared" si="5"/>
        <v>-0.73088750854279216</v>
      </c>
      <c r="R6" s="8">
        <f t="shared" si="6"/>
        <v>-0.53141225737437903</v>
      </c>
    </row>
    <row r="7" spans="1:18" x14ac:dyDescent="0.25">
      <c r="A7" s="63">
        <v>4</v>
      </c>
      <c r="B7" s="31">
        <v>26.466666666674428</v>
      </c>
      <c r="C7" s="63">
        <v>22.4</v>
      </c>
      <c r="D7" s="41">
        <v>2.61</v>
      </c>
      <c r="E7" s="42">
        <v>3.0666666666666664</v>
      </c>
      <c r="F7" s="25">
        <v>16.75</v>
      </c>
      <c r="G7" s="3">
        <v>14.55</v>
      </c>
      <c r="H7" s="3">
        <v>11.85</v>
      </c>
      <c r="I7" s="31">
        <v>43.15</v>
      </c>
      <c r="J7" s="25">
        <v>187.5</v>
      </c>
      <c r="K7" s="26">
        <v>183.94</v>
      </c>
      <c r="L7" s="56">
        <f t="shared" si="0"/>
        <v>0.38818076477404406</v>
      </c>
      <c r="M7" s="57">
        <f t="shared" si="1"/>
        <v>0.3371958285052144</v>
      </c>
      <c r="N7" s="58">
        <f t="shared" si="2"/>
        <v>0.27462340672074159</v>
      </c>
      <c r="O7" s="2">
        <f t="shared" si="3"/>
        <v>-7.2727593290799206E-3</v>
      </c>
      <c r="P7" s="3">
        <f t="shared" si="4"/>
        <v>-0.26192957634936609</v>
      </c>
      <c r="Q7" s="3">
        <f t="shared" si="5"/>
        <v>-0.5944756530529155</v>
      </c>
      <c r="R7" s="8">
        <f t="shared" si="6"/>
        <v>-0.32061122925855584</v>
      </c>
    </row>
    <row r="8" spans="1:18" x14ac:dyDescent="0.25">
      <c r="A8" s="63">
        <v>5</v>
      </c>
      <c r="B8" s="31">
        <v>30.633333333302289</v>
      </c>
      <c r="C8" s="63">
        <v>23.1</v>
      </c>
      <c r="D8" s="41">
        <v>2.6466666666666669</v>
      </c>
      <c r="E8" s="42">
        <v>3.1333333333333333</v>
      </c>
      <c r="F8" s="25">
        <v>14.45</v>
      </c>
      <c r="G8" s="3">
        <v>12.05</v>
      </c>
      <c r="H8" s="3">
        <v>9.5500000000000007</v>
      </c>
      <c r="I8" s="31">
        <v>36.049999999999997</v>
      </c>
      <c r="J8" s="25">
        <v>184.5</v>
      </c>
      <c r="K8" s="26">
        <v>180.85999999999999</v>
      </c>
      <c r="L8" s="56">
        <f t="shared" si="0"/>
        <v>0.40083217753120665</v>
      </c>
      <c r="M8" s="57">
        <f t="shared" si="1"/>
        <v>0.33425797503467414</v>
      </c>
      <c r="N8" s="58">
        <f t="shared" si="2"/>
        <v>0.26490984743411933</v>
      </c>
      <c r="O8" s="2">
        <f t="shared" si="3"/>
        <v>-0.41639417864035494</v>
      </c>
      <c r="P8" s="3">
        <f t="shared" si="4"/>
        <v>-0.59389222246460405</v>
      </c>
      <c r="Q8" s="3">
        <f t="shared" si="5"/>
        <v>-0.96369297076873883</v>
      </c>
      <c r="R8" s="8">
        <f t="shared" si="6"/>
        <v>-0.68689716021477421</v>
      </c>
    </row>
    <row r="9" spans="1:18" x14ac:dyDescent="0.25">
      <c r="A9" s="63">
        <v>6</v>
      </c>
      <c r="B9" s="31">
        <v>47.700000000069849</v>
      </c>
      <c r="C9" s="63">
        <v>20.8</v>
      </c>
      <c r="D9" s="41">
        <v>2.5566666666666666</v>
      </c>
      <c r="E9" s="42">
        <v>2.9499999999999997</v>
      </c>
      <c r="F9" s="25">
        <v>17.399999999999999</v>
      </c>
      <c r="G9" s="3">
        <v>13.7</v>
      </c>
      <c r="H9" s="3">
        <v>10.15</v>
      </c>
      <c r="I9" s="31">
        <v>41.25</v>
      </c>
      <c r="J9" s="25">
        <v>181.5</v>
      </c>
      <c r="K9" s="26">
        <v>177.67999999999998</v>
      </c>
      <c r="L9" s="56">
        <f t="shared" si="0"/>
        <v>0.42181818181818176</v>
      </c>
      <c r="M9" s="57">
        <f t="shared" si="1"/>
        <v>0.33212121212121209</v>
      </c>
      <c r="N9" s="58">
        <f t="shared" si="2"/>
        <v>0.24606060606060606</v>
      </c>
      <c r="O9" s="2">
        <f t="shared" si="3"/>
        <v>8.3381608939050805E-2</v>
      </c>
      <c r="P9" s="3">
        <f t="shared" si="4"/>
        <v>-0.36290549368936864</v>
      </c>
      <c r="Q9" s="3">
        <f t="shared" si="5"/>
        <v>-0.85348983063512451</v>
      </c>
      <c r="R9" s="8">
        <f t="shared" si="6"/>
        <v>-0.40624911442037309</v>
      </c>
    </row>
    <row r="10" spans="1:18" x14ac:dyDescent="0.25">
      <c r="A10" s="63">
        <v>7</v>
      </c>
      <c r="B10" s="31">
        <v>50.333333333430346</v>
      </c>
      <c r="C10" s="63">
        <v>22.2</v>
      </c>
      <c r="D10" s="41">
        <v>2.5566666666666666</v>
      </c>
      <c r="E10" s="42">
        <v>2.8966666666666669</v>
      </c>
      <c r="F10" s="25">
        <v>15.4</v>
      </c>
      <c r="G10" s="3">
        <v>12.1</v>
      </c>
      <c r="H10" s="3">
        <v>8.9</v>
      </c>
      <c r="I10" s="31">
        <v>36.4</v>
      </c>
      <c r="J10" s="25">
        <v>178.5</v>
      </c>
      <c r="K10" s="26">
        <v>174.71999999999997</v>
      </c>
      <c r="L10" s="56">
        <f t="shared" si="0"/>
        <v>0.42307692307692313</v>
      </c>
      <c r="M10" s="57">
        <f t="shared" si="1"/>
        <v>0.3324175824175824</v>
      </c>
      <c r="N10" s="58">
        <f t="shared" si="2"/>
        <v>0.24450549450549453</v>
      </c>
      <c r="O10" s="2">
        <f t="shared" si="3"/>
        <v>-0.22677331936478848</v>
      </c>
      <c r="P10" s="3">
        <f t="shared" si="4"/>
        <v>-0.58604904500357824</v>
      </c>
      <c r="Q10" s="3">
        <f t="shared" si="5"/>
        <v>-1.0986122886681096</v>
      </c>
      <c r="R10" s="8">
        <f t="shared" si="6"/>
        <v>-0.66532467496064607</v>
      </c>
    </row>
    <row r="11" spans="1:18" x14ac:dyDescent="0.25">
      <c r="A11" s="63">
        <v>8</v>
      </c>
      <c r="B11" s="31">
        <v>54.666666666744277</v>
      </c>
      <c r="C11" s="63">
        <v>23.4</v>
      </c>
      <c r="D11" s="41">
        <v>2.61</v>
      </c>
      <c r="E11" s="42">
        <v>2.9833333333333329</v>
      </c>
      <c r="F11" s="25">
        <v>12</v>
      </c>
      <c r="G11" s="3">
        <v>9.1999999999999993</v>
      </c>
      <c r="H11" s="3">
        <v>6.75</v>
      </c>
      <c r="I11" s="31">
        <v>27.95</v>
      </c>
      <c r="J11" s="25">
        <v>175.5</v>
      </c>
      <c r="K11" s="26">
        <v>171.80999999999997</v>
      </c>
      <c r="L11" s="56">
        <f t="shared" si="0"/>
        <v>0.42933810375670844</v>
      </c>
      <c r="M11" s="57">
        <f t="shared" si="1"/>
        <v>0.3291592128801431</v>
      </c>
      <c r="N11" s="58">
        <f t="shared" si="2"/>
        <v>0.24150268336314848</v>
      </c>
      <c r="O11" s="2">
        <f t="shared" si="3"/>
        <v>-1.1895840668738367</v>
      </c>
      <c r="P11" s="3">
        <f t="shared" si="4"/>
        <v>-1.1895840668738367</v>
      </c>
      <c r="Q11" s="3">
        <f t="shared" si="5"/>
        <v>-1.7482743572883161</v>
      </c>
      <c r="R11" s="8">
        <f t="shared" si="6"/>
        <v>-1.3894340811245585</v>
      </c>
    </row>
    <row r="12" spans="1:18" x14ac:dyDescent="0.25">
      <c r="A12" s="63">
        <v>9</v>
      </c>
      <c r="B12" s="31">
        <v>71.650000000081491</v>
      </c>
      <c r="C12" s="63">
        <v>18.3</v>
      </c>
      <c r="D12" s="41">
        <v>2.6933333333333334</v>
      </c>
      <c r="E12" s="42">
        <v>3.0866666666666664</v>
      </c>
      <c r="F12" s="25">
        <v>14.25</v>
      </c>
      <c r="G12" s="3">
        <v>10.25</v>
      </c>
      <c r="H12" s="3">
        <v>7.25</v>
      </c>
      <c r="I12" s="31">
        <v>31.75</v>
      </c>
      <c r="J12" s="25">
        <v>172.5</v>
      </c>
      <c r="K12" s="26">
        <v>168.78999999999996</v>
      </c>
      <c r="L12" s="56">
        <f t="shared" si="0"/>
        <v>0.44881889763779526</v>
      </c>
      <c r="M12" s="57">
        <f t="shared" si="1"/>
        <v>0.32283464566929132</v>
      </c>
      <c r="N12" s="58">
        <f t="shared" si="2"/>
        <v>0.2283464566929134</v>
      </c>
      <c r="O12" s="2">
        <f t="shared" si="3"/>
        <v>-0.4613455665026211</v>
      </c>
      <c r="P12" s="3">
        <f t="shared" si="4"/>
        <v>-0.92721980240634538</v>
      </c>
      <c r="Q12" s="3">
        <f t="shared" si="5"/>
        <v>-1.5553706911638245</v>
      </c>
      <c r="R12" s="8">
        <f t="shared" si="6"/>
        <v>-0.99875276920063083</v>
      </c>
    </row>
    <row r="13" spans="1:18" x14ac:dyDescent="0.25">
      <c r="A13" s="63">
        <v>10</v>
      </c>
      <c r="B13" s="31">
        <v>75.600000000034925</v>
      </c>
      <c r="C13" s="63">
        <v>23.5</v>
      </c>
      <c r="D13" s="41">
        <v>2.6233333333333331</v>
      </c>
      <c r="E13" s="42">
        <v>2.9499999999999997</v>
      </c>
      <c r="F13" s="25">
        <v>14.4</v>
      </c>
      <c r="G13" s="3">
        <v>10.050000000000001</v>
      </c>
      <c r="H13" s="3">
        <v>7.15</v>
      </c>
      <c r="I13" s="31">
        <v>31.6</v>
      </c>
      <c r="J13" s="25">
        <v>169.5</v>
      </c>
      <c r="K13" s="26">
        <v>165.64999999999998</v>
      </c>
      <c r="L13" s="56">
        <f t="shared" si="0"/>
        <v>0.45569620253164556</v>
      </c>
      <c r="M13" s="57">
        <f t="shared" si="1"/>
        <v>0.31803797468354433</v>
      </c>
      <c r="N13" s="58">
        <f t="shared" si="2"/>
        <v>0.22626582278481014</v>
      </c>
      <c r="O13" s="2">
        <f t="shared" si="3"/>
        <v>-0.42744401482693961</v>
      </c>
      <c r="P13" s="3">
        <f t="shared" si="4"/>
        <v>-0.97217119026861154</v>
      </c>
      <c r="Q13" s="3">
        <f t="shared" si="5"/>
        <v>-1.5910887737659039</v>
      </c>
      <c r="R13" s="8">
        <f t="shared" si="6"/>
        <v>-1.0116009116784797</v>
      </c>
    </row>
    <row r="14" spans="1:18" x14ac:dyDescent="0.25">
      <c r="A14" s="63">
        <v>11</v>
      </c>
      <c r="B14" s="31">
        <v>78.56666666676756</v>
      </c>
      <c r="C14" s="63">
        <v>22.3</v>
      </c>
      <c r="D14" s="41">
        <v>2.6199999999999997</v>
      </c>
      <c r="E14" s="42">
        <v>3.0166666666666671</v>
      </c>
      <c r="F14" s="25">
        <v>14.5</v>
      </c>
      <c r="G14" s="3">
        <v>10.3</v>
      </c>
      <c r="H14" s="3">
        <v>7.25</v>
      </c>
      <c r="I14" s="31">
        <v>32.049999999999997</v>
      </c>
      <c r="J14" s="25">
        <v>166.5</v>
      </c>
      <c r="K14" s="26">
        <v>162.68999999999997</v>
      </c>
      <c r="L14" s="56">
        <f t="shared" si="0"/>
        <v>0.45241809672386901</v>
      </c>
      <c r="M14" s="57">
        <f t="shared" si="1"/>
        <v>0.32137285491419659</v>
      </c>
      <c r="N14" s="58">
        <f t="shared" si="2"/>
        <v>0.22620904836193451</v>
      </c>
      <c r="O14" s="2">
        <f t="shared" si="3"/>
        <v>-0.40546510810816444</v>
      </c>
      <c r="P14" s="3">
        <f t="shared" si="4"/>
        <v>-0.916290731874155</v>
      </c>
      <c r="Q14" s="3">
        <f t="shared" si="5"/>
        <v>-1.5553706911638245</v>
      </c>
      <c r="R14" s="8">
        <f t="shared" si="6"/>
        <v>-0.9735413498541351</v>
      </c>
    </row>
    <row r="15" spans="1:18" x14ac:dyDescent="0.25">
      <c r="A15" s="63">
        <v>12</v>
      </c>
      <c r="B15" s="31">
        <v>95.499999999941792</v>
      </c>
      <c r="C15" s="63">
        <v>16.7</v>
      </c>
      <c r="D15" s="41">
        <v>2.63</v>
      </c>
      <c r="E15" s="42">
        <v>3.1300000000000003</v>
      </c>
      <c r="F15" s="25">
        <v>15.05</v>
      </c>
      <c r="G15" s="3">
        <v>10.15</v>
      </c>
      <c r="H15" s="3">
        <v>7.1</v>
      </c>
      <c r="I15" s="31">
        <v>32.300000000000004</v>
      </c>
      <c r="J15" s="25">
        <v>163.5</v>
      </c>
      <c r="K15" s="26">
        <v>159.63999999999996</v>
      </c>
      <c r="L15" s="56">
        <f t="shared" si="0"/>
        <v>0.46594427244582037</v>
      </c>
      <c r="M15" s="57">
        <f t="shared" si="1"/>
        <v>0.31424148606811142</v>
      </c>
      <c r="N15" s="58">
        <f t="shared" si="2"/>
        <v>0.21981424148606807</v>
      </c>
      <c r="O15" s="2">
        <f t="shared" si="3"/>
        <v>-0.29252469692756894</v>
      </c>
      <c r="P15" s="3">
        <f t="shared" si="4"/>
        <v>-0.94944293919105538</v>
      </c>
      <c r="Q15" s="3">
        <f t="shared" si="5"/>
        <v>-1.6094379124341005</v>
      </c>
      <c r="R15" s="8">
        <f t="shared" si="6"/>
        <v>-0.95300674741242675</v>
      </c>
    </row>
    <row r="16" spans="1:18" x14ac:dyDescent="0.25">
      <c r="A16" s="63">
        <v>14</v>
      </c>
      <c r="B16" s="31">
        <v>102.46666666661622</v>
      </c>
      <c r="C16" s="63">
        <v>23.3</v>
      </c>
      <c r="D16" s="41">
        <v>2.6300000000000003</v>
      </c>
      <c r="E16" s="42">
        <v>2.9333333333333336</v>
      </c>
      <c r="F16" s="25">
        <v>10.3</v>
      </c>
      <c r="G16" s="3">
        <v>6.65</v>
      </c>
      <c r="H16" s="3">
        <v>4.75</v>
      </c>
      <c r="I16" s="31">
        <v>21.700000000000003</v>
      </c>
      <c r="J16" s="25">
        <v>157.5</v>
      </c>
      <c r="K16" s="26">
        <v>153.47999999999996</v>
      </c>
      <c r="L16" s="56">
        <f t="shared" si="0"/>
        <v>0.47465437788018428</v>
      </c>
      <c r="M16" s="57">
        <f t="shared" si="1"/>
        <v>0.30645161290322576</v>
      </c>
      <c r="N16" s="58">
        <f t="shared" si="2"/>
        <v>0.21889400921658983</v>
      </c>
      <c r="O16" s="2">
        <f t="shared" si="3"/>
        <v>-2.847812143477368</v>
      </c>
      <c r="P16" s="3">
        <f t="shared" si="4"/>
        <v>-2.4936403297567549</v>
      </c>
      <c r="Q16" s="3">
        <f t="shared" si="5"/>
        <v>-3.6525118099430625</v>
      </c>
      <c r="R16" s="8">
        <f t="shared" si="6"/>
        <v>-2.9319777587286269</v>
      </c>
    </row>
    <row r="17" spans="1:18" x14ac:dyDescent="0.25">
      <c r="A17" s="64">
        <v>15</v>
      </c>
      <c r="B17" s="35">
        <v>167.83333333331393</v>
      </c>
      <c r="C17" s="64">
        <v>24.8</v>
      </c>
      <c r="D17" s="43">
        <v>2.5733333333333337</v>
      </c>
      <c r="E17" s="44">
        <v>2.813333333333333</v>
      </c>
      <c r="F17" s="38">
        <v>9.9</v>
      </c>
      <c r="G17" s="39">
        <v>5.7</v>
      </c>
      <c r="H17" s="39">
        <v>4.4000000000000004</v>
      </c>
      <c r="I17" s="35">
        <v>20</v>
      </c>
      <c r="J17" s="38">
        <v>154.5</v>
      </c>
      <c r="K17" s="40">
        <v>150.49999999999997</v>
      </c>
      <c r="L17" s="59">
        <f>F17/$I17</f>
        <v>0.495</v>
      </c>
      <c r="M17" s="60">
        <f t="shared" si="1"/>
        <v>0.28500000000000003</v>
      </c>
      <c r="N17" s="61">
        <f t="shared" si="2"/>
        <v>0.22000000000000003</v>
      </c>
      <c r="O17" s="2"/>
      <c r="P17" s="3"/>
      <c r="Q17" s="3"/>
      <c r="R17" s="8"/>
    </row>
    <row r="18" spans="1:18" x14ac:dyDescent="0.25">
      <c r="O18" s="2"/>
      <c r="P18" s="3"/>
      <c r="Q18" s="3"/>
      <c r="R18" s="8"/>
    </row>
    <row r="19" spans="1:18" x14ac:dyDescent="0.25">
      <c r="E19" s="36" t="s">
        <v>164</v>
      </c>
      <c r="F19" s="27">
        <f>(F3*($J$3/1000))/(($J$3+$K$3)/1000)</f>
        <v>8.3894868585732176</v>
      </c>
      <c r="G19" s="27">
        <f>(G3*($J$3/1000))/(($J$3+$K$3)/1000)</f>
        <v>8.5892365456821018</v>
      </c>
      <c r="H19" s="27">
        <f>(H3*($J$3/1000))/(($J$3+$K$3)/1000)</f>
        <v>8.9387984981226527</v>
      </c>
      <c r="I19" s="27">
        <f>(I3*($J$3/1000))/(($J$3+$K$3)/1000)</f>
        <v>25.917521902377974</v>
      </c>
      <c r="O19" s="14">
        <f>-SLOPE(O3:O15,$B$3:$B$15)</f>
        <v>2.6664712234475054E-3</v>
      </c>
      <c r="P19" s="15">
        <f>-SLOPE(P3:P15,$B$3:$B$15)</f>
        <v>9.8713690831713635E-3</v>
      </c>
      <c r="Q19" s="15">
        <f>-SLOPE(Q3:Q15,$B$3:$B$15)</f>
        <v>1.7091674522111792E-2</v>
      </c>
      <c r="R19" s="16">
        <f>-SLOPE(R3:R15,$B$3:$B$15)</f>
        <v>9.9458772844321589E-3</v>
      </c>
    </row>
    <row r="20" spans="1:18" x14ac:dyDescent="0.25">
      <c r="O20" s="14">
        <f>(CORREL(O3:O17,$B$3:$B$17))^2</f>
        <v>0.26962559707098893</v>
      </c>
      <c r="P20" s="15">
        <f>(CORREL(P3:P17,$B$3:$B$17))^2</f>
        <v>0.65329428794034372</v>
      </c>
      <c r="Q20" s="15">
        <f>(CORREL(Q3:Q17,$B$3:$B$17))^2</f>
        <v>0.75785099906206632</v>
      </c>
      <c r="R20" s="16">
        <f>(CORREL(R3:R17,$B$3:$B$17))^2</f>
        <v>0.58644349558315534</v>
      </c>
    </row>
    <row r="21" spans="1:18" x14ac:dyDescent="0.25">
      <c r="B21" s="27"/>
      <c r="C21" s="27"/>
      <c r="D21" s="27"/>
      <c r="E21" s="82"/>
      <c r="F21" s="37"/>
      <c r="G21" s="37"/>
      <c r="H21" s="37"/>
      <c r="I21" s="37"/>
      <c r="J21" s="27"/>
      <c r="K21" s="27"/>
      <c r="O21" s="141">
        <f>(O19*($J$3/1000000))/Constants!$K$8</f>
        <v>9.0473039682504488E-5</v>
      </c>
      <c r="P21" s="142">
        <f>(P19*($J$3/1000000))/Constants!$K$8</f>
        <v>3.3493433528516498E-4</v>
      </c>
      <c r="Q21" s="142">
        <f>(Q19*($J$3/1000000))/Constants!$K$8</f>
        <v>5.7991840815000404E-4</v>
      </c>
      <c r="R21" s="4">
        <f>(R19*($J$3/1000000))/Constants!$K$8</f>
        <v>3.3746238936280265E-4</v>
      </c>
    </row>
    <row r="22" spans="1:18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O22" s="141">
        <f t="shared" ref="O22:R22" si="7">O21/3600</f>
        <v>2.5131399911806801E-8</v>
      </c>
      <c r="P22" s="142">
        <f t="shared" si="7"/>
        <v>9.3037315356990273E-8</v>
      </c>
      <c r="Q22" s="142">
        <f t="shared" si="7"/>
        <v>1.6108844670833445E-7</v>
      </c>
      <c r="R22" s="4">
        <f t="shared" si="7"/>
        <v>9.373955260077852E-8</v>
      </c>
    </row>
    <row r="23" spans="1:18" ht="15.75" thickBot="1" x14ac:dyDescent="0.3">
      <c r="B23" s="27"/>
      <c r="C23" s="27"/>
      <c r="D23" s="27"/>
      <c r="E23" s="27"/>
      <c r="F23" s="27"/>
      <c r="G23" s="27"/>
      <c r="H23" s="27"/>
      <c r="I23" s="27"/>
      <c r="J23" s="27"/>
      <c r="K23" s="27"/>
      <c r="O23" s="143">
        <f t="shared" ref="O23:R23" si="8">O22*10^6</f>
        <v>2.5131399911806802E-2</v>
      </c>
      <c r="P23" s="144">
        <f t="shared" si="8"/>
        <v>9.303731535699028E-2</v>
      </c>
      <c r="Q23" s="144">
        <f t="shared" si="8"/>
        <v>0.16108844670833444</v>
      </c>
      <c r="R23" s="145">
        <f t="shared" si="8"/>
        <v>9.3739552600778514E-2</v>
      </c>
    </row>
    <row r="25" spans="1:18" x14ac:dyDescent="0.25">
      <c r="E25" s="27"/>
      <c r="F25" s="27"/>
      <c r="G25" s="27"/>
      <c r="H25" s="27"/>
      <c r="I25" s="27"/>
      <c r="J25" s="27"/>
      <c r="K25" s="27"/>
    </row>
    <row r="26" spans="1:18" x14ac:dyDescent="0.25">
      <c r="E26" s="27"/>
      <c r="F26" s="27"/>
      <c r="G26" s="27"/>
      <c r="H26" s="27"/>
      <c r="I26" s="27"/>
      <c r="J26" s="27"/>
      <c r="K26" s="27"/>
    </row>
  </sheetData>
  <mergeCells count="8">
    <mergeCell ref="O1:R1"/>
    <mergeCell ref="A1:A2"/>
    <mergeCell ref="B1:B2"/>
    <mergeCell ref="C1:C2"/>
    <mergeCell ref="D1:E1"/>
    <mergeCell ref="F1:I1"/>
    <mergeCell ref="J1:K1"/>
    <mergeCell ref="L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31"/>
  <sheetViews>
    <sheetView workbookViewId="0">
      <selection sqref="A1:A2"/>
    </sheetView>
  </sheetViews>
  <sheetFormatPr defaultRowHeight="15" x14ac:dyDescent="0.25"/>
  <cols>
    <col min="5" max="5" width="9.85546875" bestFit="1" customWidth="1"/>
    <col min="14" max="14" width="10.7109375" bestFit="1" customWidth="1"/>
  </cols>
  <sheetData>
    <row r="1" spans="1:18" s="3" customFormat="1" x14ac:dyDescent="0.25">
      <c r="A1" s="269" t="s">
        <v>31</v>
      </c>
      <c r="B1" s="269" t="s">
        <v>32</v>
      </c>
      <c r="C1" s="269" t="s">
        <v>33</v>
      </c>
      <c r="D1" s="273" t="s">
        <v>8</v>
      </c>
      <c r="E1" s="271"/>
      <c r="F1" s="273" t="s">
        <v>34</v>
      </c>
      <c r="G1" s="274"/>
      <c r="H1" s="274"/>
      <c r="I1" s="271"/>
      <c r="J1" s="273" t="s">
        <v>35</v>
      </c>
      <c r="K1" s="271"/>
      <c r="L1" s="273" t="s">
        <v>44</v>
      </c>
      <c r="M1" s="274"/>
      <c r="N1" s="271"/>
      <c r="O1" s="273" t="s">
        <v>74</v>
      </c>
      <c r="P1" s="274"/>
      <c r="Q1" s="274"/>
      <c r="R1" s="271"/>
    </row>
    <row r="2" spans="1:18" s="3" customFormat="1" x14ac:dyDescent="0.25">
      <c r="A2" s="270"/>
      <c r="B2" s="270"/>
      <c r="C2" s="270"/>
      <c r="D2" s="38" t="s">
        <v>37</v>
      </c>
      <c r="E2" s="40" t="s">
        <v>38</v>
      </c>
      <c r="F2" s="38" t="s">
        <v>39</v>
      </c>
      <c r="G2" s="39" t="s">
        <v>40</v>
      </c>
      <c r="H2" s="39" t="s">
        <v>41</v>
      </c>
      <c r="I2" s="40" t="s">
        <v>23</v>
      </c>
      <c r="J2" s="38" t="s">
        <v>42</v>
      </c>
      <c r="K2" s="40" t="s">
        <v>38</v>
      </c>
      <c r="L2" s="38" t="s">
        <v>39</v>
      </c>
      <c r="M2" s="39" t="s">
        <v>40</v>
      </c>
      <c r="N2" s="40" t="s">
        <v>41</v>
      </c>
      <c r="O2" s="38" t="s">
        <v>39</v>
      </c>
      <c r="P2" s="39" t="s">
        <v>40</v>
      </c>
      <c r="Q2" s="39" t="s">
        <v>41</v>
      </c>
      <c r="R2" s="47" t="s">
        <v>23</v>
      </c>
    </row>
    <row r="3" spans="1:18" x14ac:dyDescent="0.25">
      <c r="A3" s="63">
        <v>0</v>
      </c>
      <c r="B3" s="66">
        <v>0</v>
      </c>
      <c r="C3" s="63">
        <v>20.6</v>
      </c>
      <c r="D3" s="41">
        <v>2.543333333333333</v>
      </c>
      <c r="E3" s="42">
        <v>14</v>
      </c>
      <c r="F3" s="25">
        <v>15.35</v>
      </c>
      <c r="G3" s="3">
        <v>15.8</v>
      </c>
      <c r="H3" s="3">
        <v>16</v>
      </c>
      <c r="I3" s="31">
        <v>47.15</v>
      </c>
      <c r="J3" s="25">
        <v>200</v>
      </c>
      <c r="K3" s="26">
        <v>198</v>
      </c>
      <c r="L3" s="56">
        <f t="shared" ref="L3:L21" si="0">F3/$I3</f>
        <v>0.32555673382820782</v>
      </c>
      <c r="M3" s="57">
        <f t="shared" ref="M3:M21" si="1">G3/$I3</f>
        <v>0.33510074231177095</v>
      </c>
      <c r="N3" s="58">
        <f t="shared" ref="N3:N21" si="2">H3/$I3</f>
        <v>0.33934252386002123</v>
      </c>
      <c r="O3" s="29">
        <f t="shared" ref="O3:O21" si="3">LN((F3)/(F$3))</f>
        <v>0</v>
      </c>
      <c r="P3" s="30">
        <f t="shared" ref="P3:P21" si="4">LN((G3)/(G$3))</f>
        <v>0</v>
      </c>
      <c r="Q3" s="30">
        <f t="shared" ref="Q3:Q21" si="5">LN((H3)/(H$3))</f>
        <v>0</v>
      </c>
      <c r="R3" s="31">
        <f t="shared" ref="R3:R21" si="6">LN((I3)/(I$3))</f>
        <v>0</v>
      </c>
    </row>
    <row r="4" spans="1:18" x14ac:dyDescent="0.25">
      <c r="A4" s="63">
        <v>1</v>
      </c>
      <c r="B4" s="66">
        <v>2.8833333333022892</v>
      </c>
      <c r="C4" s="63">
        <v>20.100000000000001</v>
      </c>
      <c r="D4" s="41">
        <v>2.5366666666666666</v>
      </c>
      <c r="E4" s="42">
        <v>14</v>
      </c>
      <c r="F4" s="25">
        <v>15.55</v>
      </c>
      <c r="G4" s="3">
        <v>15.75</v>
      </c>
      <c r="H4" s="3">
        <v>15.35</v>
      </c>
      <c r="I4" s="31">
        <v>46.65</v>
      </c>
      <c r="J4" s="25">
        <v>197</v>
      </c>
      <c r="K4" s="26">
        <v>195</v>
      </c>
      <c r="L4" s="56">
        <f t="shared" si="0"/>
        <v>0.33333333333333337</v>
      </c>
      <c r="M4" s="57">
        <f t="shared" si="1"/>
        <v>0.33762057877813506</v>
      </c>
      <c r="N4" s="58">
        <f t="shared" si="2"/>
        <v>0.32904608788853162</v>
      </c>
      <c r="O4" s="29">
        <f t="shared" si="3"/>
        <v>1.2945164592036986E-2</v>
      </c>
      <c r="P4" s="30">
        <f t="shared" si="4"/>
        <v>-3.1695747612790672E-3</v>
      </c>
      <c r="Q4" s="30">
        <f t="shared" si="5"/>
        <v>-4.1473248206575102E-2</v>
      </c>
      <c r="R4" s="31">
        <f t="shared" si="6"/>
        <v>-1.0661081786113703E-2</v>
      </c>
    </row>
    <row r="5" spans="1:18" x14ac:dyDescent="0.25">
      <c r="A5" s="63">
        <v>2</v>
      </c>
      <c r="B5" s="66">
        <v>6.28333333338378</v>
      </c>
      <c r="C5" s="63">
        <v>17.5</v>
      </c>
      <c r="D5" s="41">
        <v>2.4333333333333336</v>
      </c>
      <c r="E5" s="42">
        <v>14</v>
      </c>
      <c r="F5" s="25">
        <v>14.65</v>
      </c>
      <c r="G5" s="3">
        <v>14.35</v>
      </c>
      <c r="H5" s="3">
        <v>13.55</v>
      </c>
      <c r="I5" s="31">
        <v>42.55</v>
      </c>
      <c r="J5" s="25">
        <v>194</v>
      </c>
      <c r="K5" s="26">
        <v>192</v>
      </c>
      <c r="L5" s="56">
        <f t="shared" si="0"/>
        <v>0.34430082256169214</v>
      </c>
      <c r="M5" s="57">
        <f t="shared" si="1"/>
        <v>0.33725029377203292</v>
      </c>
      <c r="N5" s="58">
        <f t="shared" si="2"/>
        <v>0.318448883666275</v>
      </c>
      <c r="O5" s="29">
        <f t="shared" si="3"/>
        <v>-4.6675138570129754E-2</v>
      </c>
      <c r="P5" s="30">
        <f t="shared" si="4"/>
        <v>-9.6259997827291055E-2</v>
      </c>
      <c r="Q5" s="30">
        <f t="shared" si="5"/>
        <v>-0.16620217491407127</v>
      </c>
      <c r="R5" s="31">
        <f t="shared" si="6"/>
        <v>-0.10265415406008345</v>
      </c>
    </row>
    <row r="6" spans="1:18" x14ac:dyDescent="0.25">
      <c r="A6" s="63">
        <v>3</v>
      </c>
      <c r="B6" s="66">
        <v>22.949999999895226</v>
      </c>
      <c r="C6" s="63">
        <v>20.2</v>
      </c>
      <c r="D6" s="41">
        <v>2.5133333333333332</v>
      </c>
      <c r="E6" s="42">
        <v>14</v>
      </c>
      <c r="F6" s="25">
        <v>15.2</v>
      </c>
      <c r="G6" s="3">
        <v>13.9</v>
      </c>
      <c r="H6" s="3">
        <v>11.85</v>
      </c>
      <c r="I6" s="31">
        <v>40.950000000000003</v>
      </c>
      <c r="J6" s="25">
        <v>191</v>
      </c>
      <c r="K6" s="26">
        <v>189</v>
      </c>
      <c r="L6" s="56">
        <f t="shared" si="0"/>
        <v>0.37118437118437114</v>
      </c>
      <c r="M6" s="57">
        <f t="shared" si="1"/>
        <v>0.3394383394383394</v>
      </c>
      <c r="N6" s="58">
        <f t="shared" si="2"/>
        <v>0.28937728937728935</v>
      </c>
      <c r="O6" s="29">
        <f t="shared" si="3"/>
        <v>-9.820046180975461E-3</v>
      </c>
      <c r="P6" s="30">
        <f t="shared" si="4"/>
        <v>-0.12812109989627501</v>
      </c>
      <c r="Q6" s="30">
        <f t="shared" si="5"/>
        <v>-0.30026085465864105</v>
      </c>
      <c r="R6" s="31">
        <f t="shared" si="6"/>
        <v>-0.14098219878038792</v>
      </c>
    </row>
    <row r="7" spans="1:18" x14ac:dyDescent="0.25">
      <c r="A7" s="63">
        <v>4</v>
      </c>
      <c r="B7" s="66">
        <v>26.683333333348855</v>
      </c>
      <c r="C7" s="63">
        <v>23</v>
      </c>
      <c r="D7" s="41">
        <v>2.476666666666667</v>
      </c>
      <c r="E7" s="42">
        <v>14</v>
      </c>
      <c r="F7" s="25">
        <v>15.05</v>
      </c>
      <c r="G7" s="3">
        <v>13.4</v>
      </c>
      <c r="H7" s="3">
        <v>11.05</v>
      </c>
      <c r="I7" s="31">
        <v>39.5</v>
      </c>
      <c r="J7" s="25">
        <v>188</v>
      </c>
      <c r="K7" s="26">
        <v>186</v>
      </c>
      <c r="L7" s="56">
        <f t="shared" si="0"/>
        <v>0.38101265822784813</v>
      </c>
      <c r="M7" s="57">
        <f t="shared" si="1"/>
        <v>0.33924050632911396</v>
      </c>
      <c r="N7" s="58">
        <f t="shared" si="2"/>
        <v>0.27974683544303797</v>
      </c>
      <c r="O7" s="29">
        <f t="shared" si="3"/>
        <v>-1.9737482838321319E-2</v>
      </c>
      <c r="P7" s="30">
        <f t="shared" si="4"/>
        <v>-0.16475523307605547</v>
      </c>
      <c r="Q7" s="30">
        <f t="shared" si="5"/>
        <v>-0.37015829427601937</v>
      </c>
      <c r="R7" s="31">
        <f t="shared" si="6"/>
        <v>-0.17703333717239034</v>
      </c>
    </row>
    <row r="8" spans="1:18" x14ac:dyDescent="0.25">
      <c r="A8" s="63">
        <v>5</v>
      </c>
      <c r="B8" s="66">
        <v>29.866666666581295</v>
      </c>
      <c r="C8" s="63">
        <v>23.1</v>
      </c>
      <c r="D8" s="41">
        <v>2.4966666666666666</v>
      </c>
      <c r="E8" s="42">
        <v>13.700000000000001</v>
      </c>
      <c r="F8" s="25">
        <v>15.75</v>
      </c>
      <c r="G8" s="3">
        <v>13.7</v>
      </c>
      <c r="H8" s="3">
        <v>11</v>
      </c>
      <c r="I8" s="31">
        <v>40.450000000000003</v>
      </c>
      <c r="J8" s="25">
        <v>185</v>
      </c>
      <c r="K8" s="26">
        <v>183</v>
      </c>
      <c r="L8" s="56">
        <f t="shared" si="0"/>
        <v>0.38936959208899874</v>
      </c>
      <c r="M8" s="57">
        <f t="shared" si="1"/>
        <v>0.33868974042027189</v>
      </c>
      <c r="N8" s="58">
        <f t="shared" si="2"/>
        <v>0.27194066749072926</v>
      </c>
      <c r="O8" s="29">
        <f t="shared" si="3"/>
        <v>2.572489123843592E-2</v>
      </c>
      <c r="P8" s="30">
        <f t="shared" si="4"/>
        <v>-0.14261410719884193</v>
      </c>
      <c r="Q8" s="30">
        <f t="shared" si="5"/>
        <v>-0.3746934494414107</v>
      </c>
      <c r="R8" s="31">
        <f t="shared" si="6"/>
        <v>-0.15326736557496567</v>
      </c>
    </row>
    <row r="9" spans="1:18" x14ac:dyDescent="0.25">
      <c r="A9" s="63">
        <v>6</v>
      </c>
      <c r="B9" s="66">
        <v>46.533333333267365</v>
      </c>
      <c r="C9" s="63">
        <v>23.3</v>
      </c>
      <c r="D9" s="41">
        <v>2.58</v>
      </c>
      <c r="E9" s="42">
        <v>13.943333333333333</v>
      </c>
      <c r="F9" s="25">
        <v>15.85</v>
      </c>
      <c r="G9" s="3">
        <v>12.85</v>
      </c>
      <c r="H9" s="3">
        <v>9.35</v>
      </c>
      <c r="I9" s="31">
        <v>38.049999999999997</v>
      </c>
      <c r="J9" s="25">
        <v>182</v>
      </c>
      <c r="K9" s="26">
        <v>180</v>
      </c>
      <c r="L9" s="56">
        <f t="shared" si="0"/>
        <v>0.41655716162943496</v>
      </c>
      <c r="M9" s="57">
        <f t="shared" si="1"/>
        <v>0.33771353482260186</v>
      </c>
      <c r="N9" s="58">
        <f t="shared" si="2"/>
        <v>0.24572930354796321</v>
      </c>
      <c r="O9" s="29">
        <f t="shared" si="3"/>
        <v>3.2054026290083477E-2</v>
      </c>
      <c r="P9" s="30">
        <f t="shared" si="4"/>
        <v>-0.20666612869169246</v>
      </c>
      <c r="Q9" s="30">
        <f t="shared" si="5"/>
        <v>-0.53721237893918561</v>
      </c>
      <c r="R9" s="31">
        <f t="shared" si="6"/>
        <v>-0.21443292477177173</v>
      </c>
    </row>
    <row r="10" spans="1:18" x14ac:dyDescent="0.25">
      <c r="A10" s="63">
        <v>7</v>
      </c>
      <c r="B10" s="66">
        <v>50.449999999953434</v>
      </c>
      <c r="C10" s="63">
        <v>24</v>
      </c>
      <c r="D10" s="41">
        <v>2.2833333333333332</v>
      </c>
      <c r="E10" s="42">
        <v>14</v>
      </c>
      <c r="F10" s="25">
        <v>14</v>
      </c>
      <c r="G10" s="3">
        <v>11.1</v>
      </c>
      <c r="H10" s="3">
        <v>7.9</v>
      </c>
      <c r="I10" s="31">
        <v>33</v>
      </c>
      <c r="J10" s="25">
        <v>179</v>
      </c>
      <c r="K10" s="26">
        <v>177</v>
      </c>
      <c r="L10" s="56">
        <f t="shared" si="0"/>
        <v>0.42424242424242425</v>
      </c>
      <c r="M10" s="57">
        <f t="shared" si="1"/>
        <v>0.33636363636363636</v>
      </c>
      <c r="N10" s="58">
        <f t="shared" si="2"/>
        <v>0.23939393939393941</v>
      </c>
      <c r="O10" s="29">
        <f t="shared" si="3"/>
        <v>-9.2058144417947463E-2</v>
      </c>
      <c r="P10" s="30">
        <f t="shared" si="4"/>
        <v>-0.35306483171463271</v>
      </c>
      <c r="Q10" s="30">
        <f t="shared" si="5"/>
        <v>-0.70572596276680544</v>
      </c>
      <c r="R10" s="31">
        <f t="shared" si="6"/>
        <v>-0.35682644761298626</v>
      </c>
    </row>
    <row r="11" spans="1:18" x14ac:dyDescent="0.25">
      <c r="A11" s="63">
        <v>8</v>
      </c>
      <c r="B11" s="66">
        <v>52.78333333338378</v>
      </c>
      <c r="C11" s="63">
        <v>24.6</v>
      </c>
      <c r="D11" s="41">
        <v>2.2633333333333332</v>
      </c>
      <c r="E11" s="42">
        <v>14</v>
      </c>
      <c r="F11" s="25">
        <v>14.55</v>
      </c>
      <c r="G11" s="3">
        <v>11.35</v>
      </c>
      <c r="H11" s="3">
        <v>7.9</v>
      </c>
      <c r="I11" s="31">
        <v>33.799999999999997</v>
      </c>
      <c r="J11" s="25">
        <v>176</v>
      </c>
      <c r="K11" s="26">
        <v>174</v>
      </c>
      <c r="L11" s="56">
        <f t="shared" si="0"/>
        <v>0.43047337278106512</v>
      </c>
      <c r="M11" s="57">
        <f t="shared" si="1"/>
        <v>0.33579881656804733</v>
      </c>
      <c r="N11" s="58">
        <f t="shared" si="2"/>
        <v>0.2337278106508876</v>
      </c>
      <c r="O11" s="29">
        <f t="shared" si="3"/>
        <v>-5.3524480415704546E-2</v>
      </c>
      <c r="P11" s="30">
        <f t="shared" si="4"/>
        <v>-0.33079219610550953</v>
      </c>
      <c r="Q11" s="30">
        <f t="shared" si="5"/>
        <v>-0.70572596276680544</v>
      </c>
      <c r="R11" s="31">
        <f t="shared" si="6"/>
        <v>-0.33287320659049346</v>
      </c>
    </row>
    <row r="12" spans="1:18" x14ac:dyDescent="0.25">
      <c r="A12" s="63">
        <v>9</v>
      </c>
      <c r="B12" s="66">
        <v>118.93333333334886</v>
      </c>
      <c r="C12" s="63">
        <v>20.100000000000001</v>
      </c>
      <c r="D12" s="41">
        <v>2.4800000000000004</v>
      </c>
      <c r="E12" s="42">
        <v>14</v>
      </c>
      <c r="F12" s="25">
        <v>15.05</v>
      </c>
      <c r="G12" s="3">
        <v>9.1999999999999993</v>
      </c>
      <c r="H12" s="3">
        <v>4.7</v>
      </c>
      <c r="I12" s="31">
        <v>28.95</v>
      </c>
      <c r="J12" s="25">
        <v>173</v>
      </c>
      <c r="K12" s="26">
        <v>171</v>
      </c>
      <c r="L12" s="56">
        <f t="shared" si="0"/>
        <v>0.51986183074265979</v>
      </c>
      <c r="M12" s="57">
        <f t="shared" si="1"/>
        <v>0.31778929188255611</v>
      </c>
      <c r="N12" s="58">
        <f t="shared" si="2"/>
        <v>0.16234887737478412</v>
      </c>
      <c r="O12" s="29">
        <f t="shared" si="3"/>
        <v>-1.9737482838321319E-2</v>
      </c>
      <c r="P12" s="30">
        <f t="shared" si="4"/>
        <v>-0.54080645597792665</v>
      </c>
      <c r="Q12" s="30">
        <f t="shared" si="5"/>
        <v>-1.2250262135237684</v>
      </c>
      <c r="R12" s="31">
        <f t="shared" si="6"/>
        <v>-0.48776380506046224</v>
      </c>
    </row>
    <row r="13" spans="1:18" x14ac:dyDescent="0.25">
      <c r="A13" s="63">
        <v>10</v>
      </c>
      <c r="B13" s="66">
        <v>122.76666666660458</v>
      </c>
      <c r="C13" s="63">
        <v>18.399999999999999</v>
      </c>
      <c r="D13" s="41">
        <v>2.4500000000000002</v>
      </c>
      <c r="E13" s="42">
        <v>14</v>
      </c>
      <c r="F13" s="25">
        <v>14.35</v>
      </c>
      <c r="G13" s="3">
        <v>8.4499999999999993</v>
      </c>
      <c r="H13" s="3">
        <v>4.25</v>
      </c>
      <c r="I13" s="31">
        <v>27.049999999999997</v>
      </c>
      <c r="J13" s="25">
        <v>170</v>
      </c>
      <c r="K13" s="26">
        <v>168</v>
      </c>
      <c r="L13" s="56">
        <f t="shared" si="0"/>
        <v>0.53049907578558231</v>
      </c>
      <c r="M13" s="57">
        <f t="shared" si="1"/>
        <v>0.3123844731977819</v>
      </c>
      <c r="N13" s="58">
        <f t="shared" si="2"/>
        <v>0.15711645101663588</v>
      </c>
      <c r="O13" s="29">
        <f t="shared" si="3"/>
        <v>-6.736553182757607E-2</v>
      </c>
      <c r="P13" s="30">
        <f t="shared" si="4"/>
        <v>-0.6258434986638387</v>
      </c>
      <c r="Q13" s="30">
        <f t="shared" si="5"/>
        <v>-1.3256697393034558</v>
      </c>
      <c r="R13" s="31">
        <f t="shared" si="6"/>
        <v>-0.55564700378697596</v>
      </c>
    </row>
    <row r="14" spans="1:18" x14ac:dyDescent="0.25">
      <c r="A14" s="63">
        <v>11</v>
      </c>
      <c r="B14" s="66">
        <v>125.98333333327901</v>
      </c>
      <c r="C14" s="63">
        <v>15.1</v>
      </c>
      <c r="D14" s="41">
        <v>2.5766666666666667</v>
      </c>
      <c r="E14" s="42">
        <v>14</v>
      </c>
      <c r="F14" s="25">
        <v>14</v>
      </c>
      <c r="G14" s="3">
        <v>8.3000000000000007</v>
      </c>
      <c r="H14" s="3">
        <v>4.0999999999999996</v>
      </c>
      <c r="I14" s="31">
        <v>26.4</v>
      </c>
      <c r="J14" s="25">
        <v>167</v>
      </c>
      <c r="K14" s="26">
        <v>165</v>
      </c>
      <c r="L14" s="56">
        <f t="shared" si="0"/>
        <v>0.53030303030303028</v>
      </c>
      <c r="M14" s="57">
        <f t="shared" si="1"/>
        <v>0.31439393939393945</v>
      </c>
      <c r="N14" s="58">
        <f t="shared" si="2"/>
        <v>0.1553030303030303</v>
      </c>
      <c r="O14" s="29">
        <f t="shared" si="3"/>
        <v>-9.2058144417947463E-2</v>
      </c>
      <c r="P14" s="30">
        <f t="shared" si="4"/>
        <v>-0.64375442523036885</v>
      </c>
      <c r="Q14" s="30">
        <f t="shared" si="5"/>
        <v>-1.3616017485295191</v>
      </c>
      <c r="R14" s="31">
        <f t="shared" si="6"/>
        <v>-0.57996999892719603</v>
      </c>
    </row>
    <row r="15" spans="1:18" x14ac:dyDescent="0.25">
      <c r="A15" s="63">
        <v>12</v>
      </c>
      <c r="B15" s="66">
        <v>142.3666666665813</v>
      </c>
      <c r="C15" s="63">
        <v>18.7</v>
      </c>
      <c r="D15" s="41">
        <v>2.5299999999999998</v>
      </c>
      <c r="E15" s="42">
        <v>13.936666666666666</v>
      </c>
      <c r="F15" s="25">
        <v>14.45</v>
      </c>
      <c r="G15" s="3">
        <v>8</v>
      </c>
      <c r="H15" s="3">
        <v>3.75</v>
      </c>
      <c r="I15" s="31">
        <v>26.2</v>
      </c>
      <c r="J15" s="25">
        <v>164</v>
      </c>
      <c r="K15" s="26">
        <v>162</v>
      </c>
      <c r="L15" s="56">
        <f t="shared" si="0"/>
        <v>0.55152671755725191</v>
      </c>
      <c r="M15" s="57">
        <f t="shared" si="1"/>
        <v>0.30534351145038169</v>
      </c>
      <c r="N15" s="58">
        <f t="shared" si="2"/>
        <v>0.14312977099236643</v>
      </c>
      <c r="O15" s="29">
        <f t="shared" si="3"/>
        <v>-6.0421059474765018E-2</v>
      </c>
      <c r="P15" s="30">
        <f t="shared" si="4"/>
        <v>-0.68056839835308536</v>
      </c>
      <c r="Q15" s="30">
        <f t="shared" si="5"/>
        <v>-1.4508328822574619</v>
      </c>
      <c r="R15" s="31">
        <f t="shared" si="6"/>
        <v>-0.58757459831241532</v>
      </c>
    </row>
    <row r="16" spans="1:18" x14ac:dyDescent="0.25">
      <c r="A16" s="63">
        <v>13</v>
      </c>
      <c r="B16" s="66">
        <v>146.66666666662786</v>
      </c>
      <c r="C16" s="63">
        <v>21.8</v>
      </c>
      <c r="D16" s="41">
        <v>2.5766666666666667</v>
      </c>
      <c r="E16" s="42">
        <v>13.85</v>
      </c>
      <c r="F16" s="25">
        <v>13.95</v>
      </c>
      <c r="G16" s="3">
        <v>7.75</v>
      </c>
      <c r="H16" s="3">
        <v>3.55</v>
      </c>
      <c r="I16" s="31">
        <v>25.25</v>
      </c>
      <c r="J16" s="25">
        <v>161</v>
      </c>
      <c r="K16" s="26">
        <v>159</v>
      </c>
      <c r="L16" s="56">
        <f t="shared" si="0"/>
        <v>0.55247524752475241</v>
      </c>
      <c r="M16" s="57">
        <f t="shared" si="1"/>
        <v>0.30693069306930693</v>
      </c>
      <c r="N16" s="58">
        <f t="shared" si="2"/>
        <v>0.14059405940594058</v>
      </c>
      <c r="O16" s="29">
        <f t="shared" si="3"/>
        <v>-9.5635965765831568E-2</v>
      </c>
      <c r="P16" s="30">
        <f t="shared" si="4"/>
        <v>-0.71231709666766552</v>
      </c>
      <c r="Q16" s="30">
        <f t="shared" si="5"/>
        <v>-1.5056411187524568</v>
      </c>
      <c r="R16" s="31">
        <f t="shared" si="6"/>
        <v>-0.62450785335809766</v>
      </c>
    </row>
    <row r="17" spans="1:18" x14ac:dyDescent="0.25">
      <c r="A17" s="63">
        <v>14</v>
      </c>
      <c r="B17" s="66">
        <v>149.73333333333721</v>
      </c>
      <c r="C17" s="63">
        <v>20.8</v>
      </c>
      <c r="D17" s="41">
        <v>2.563333333333333</v>
      </c>
      <c r="E17" s="42">
        <v>13.840000000000002</v>
      </c>
      <c r="F17" s="25">
        <v>13.4</v>
      </c>
      <c r="G17" s="3">
        <v>7.4</v>
      </c>
      <c r="H17" s="3">
        <v>3.35</v>
      </c>
      <c r="I17" s="31">
        <v>24.150000000000002</v>
      </c>
      <c r="J17" s="25">
        <v>158</v>
      </c>
      <c r="K17" s="26">
        <v>156</v>
      </c>
      <c r="L17" s="56">
        <f t="shared" si="0"/>
        <v>0.5548654244306418</v>
      </c>
      <c r="M17" s="57">
        <f t="shared" si="1"/>
        <v>0.30641821946169773</v>
      </c>
      <c r="N17" s="58">
        <f t="shared" si="2"/>
        <v>0.13871635610766045</v>
      </c>
      <c r="O17" s="29">
        <f t="shared" si="3"/>
        <v>-0.1358607670763404</v>
      </c>
      <c r="P17" s="30">
        <f t="shared" si="4"/>
        <v>-0.75852993982279704</v>
      </c>
      <c r="Q17" s="30">
        <f t="shared" si="5"/>
        <v>-1.5636283764028061</v>
      </c>
      <c r="R17" s="31">
        <f t="shared" si="6"/>
        <v>-0.66904962898088483</v>
      </c>
    </row>
    <row r="18" spans="1:18" x14ac:dyDescent="0.25">
      <c r="A18" s="63">
        <v>15</v>
      </c>
      <c r="B18" s="198">
        <v>167.95000000001164</v>
      </c>
      <c r="C18" s="197">
        <v>20.8</v>
      </c>
      <c r="D18" s="209">
        <v>2.4866666666666668</v>
      </c>
      <c r="E18" s="210">
        <v>13.966666666666667</v>
      </c>
      <c r="F18" s="205">
        <v>8.3000000000000007</v>
      </c>
      <c r="G18" s="204">
        <v>4.3</v>
      </c>
      <c r="H18" s="204">
        <v>1.85</v>
      </c>
      <c r="I18" s="203">
        <v>14.450000000000001</v>
      </c>
      <c r="J18" s="25">
        <v>155</v>
      </c>
      <c r="K18" s="26">
        <v>153</v>
      </c>
      <c r="L18" s="206">
        <f t="shared" si="0"/>
        <v>0.5743944636678201</v>
      </c>
      <c r="M18" s="207">
        <f t="shared" si="1"/>
        <v>0.29757785467128023</v>
      </c>
      <c r="N18" s="208">
        <f t="shared" si="2"/>
        <v>0.12802768166089964</v>
      </c>
      <c r="O18" s="200">
        <f t="shared" si="3"/>
        <v>-0.61485995923065384</v>
      </c>
      <c r="P18" s="201">
        <f t="shared" si="4"/>
        <v>-1.3013949173334045</v>
      </c>
      <c r="Q18" s="201">
        <f t="shared" si="5"/>
        <v>-2.1574030831495477</v>
      </c>
      <c r="R18" s="202">
        <f t="shared" si="6"/>
        <v>-1.1826395945210253</v>
      </c>
    </row>
    <row r="19" spans="1:18" x14ac:dyDescent="0.25">
      <c r="A19" s="63">
        <v>16</v>
      </c>
      <c r="B19" s="63">
        <v>191.93333333329065</v>
      </c>
      <c r="C19" s="63">
        <v>23.9</v>
      </c>
      <c r="D19" s="41">
        <v>2.563333333333333</v>
      </c>
      <c r="E19" s="42">
        <v>13.856666666666667</v>
      </c>
      <c r="F19" s="25">
        <v>18.8</v>
      </c>
      <c r="G19" s="3">
        <v>9.1</v>
      </c>
      <c r="H19" s="3">
        <v>3.7</v>
      </c>
      <c r="I19" s="26">
        <v>31.599999999999998</v>
      </c>
      <c r="J19" s="25">
        <v>152</v>
      </c>
      <c r="K19" s="26">
        <v>150</v>
      </c>
      <c r="L19" s="56">
        <f t="shared" si="0"/>
        <v>0.59493670886075956</v>
      </c>
      <c r="M19" s="57">
        <f t="shared" si="1"/>
        <v>0.28797468354430383</v>
      </c>
      <c r="N19" s="58">
        <f t="shared" si="2"/>
        <v>0.11708860759493672</v>
      </c>
      <c r="O19" s="29">
        <f t="shared" si="3"/>
        <v>0.20274139580269745</v>
      </c>
      <c r="P19" s="30">
        <f t="shared" si="4"/>
        <v>-0.55173552651011681</v>
      </c>
      <c r="Q19" s="30">
        <f t="shared" si="5"/>
        <v>-1.4642559025896025</v>
      </c>
      <c r="R19" s="31">
        <f t="shared" si="6"/>
        <v>-0.40017688848660005</v>
      </c>
    </row>
    <row r="20" spans="1:18" x14ac:dyDescent="0.25">
      <c r="A20" s="63">
        <v>17</v>
      </c>
      <c r="B20" s="63">
        <v>216</v>
      </c>
      <c r="C20" s="63">
        <v>22.9</v>
      </c>
      <c r="D20" s="41">
        <v>2.4966666666666666</v>
      </c>
      <c r="E20" s="42">
        <v>13.836666666666666</v>
      </c>
      <c r="F20" s="25">
        <v>15.25</v>
      </c>
      <c r="G20" s="3">
        <v>6.9</v>
      </c>
      <c r="H20" s="3">
        <v>2.5</v>
      </c>
      <c r="I20" s="26">
        <v>24.65</v>
      </c>
      <c r="J20" s="25">
        <v>149</v>
      </c>
      <c r="K20" s="26">
        <v>147</v>
      </c>
      <c r="L20" s="56">
        <f t="shared" si="0"/>
        <v>0.61866125760649093</v>
      </c>
      <c r="M20" s="57">
        <f t="shared" si="1"/>
        <v>0.27991886409736311</v>
      </c>
      <c r="N20" s="58">
        <f t="shared" si="2"/>
        <v>0.10141987829614606</v>
      </c>
      <c r="O20" s="29">
        <f t="shared" si="3"/>
        <v>-6.5359709797855334E-3</v>
      </c>
      <c r="P20" s="30">
        <f t="shared" si="4"/>
        <v>-0.82848852842970744</v>
      </c>
      <c r="Q20" s="30">
        <f t="shared" si="5"/>
        <v>-1.8562979903656263</v>
      </c>
      <c r="R20" s="31">
        <f t="shared" si="6"/>
        <v>-0.64855710859076754</v>
      </c>
    </row>
    <row r="21" spans="1:18" x14ac:dyDescent="0.25">
      <c r="A21" s="64">
        <v>18</v>
      </c>
      <c r="B21" s="64">
        <v>287.95000000001164</v>
      </c>
      <c r="C21" s="64">
        <v>20.399999999999999</v>
      </c>
      <c r="D21" s="38">
        <v>2.4500000000000002</v>
      </c>
      <c r="E21" s="40">
        <v>14</v>
      </c>
      <c r="F21" s="38">
        <v>13.65</v>
      </c>
      <c r="G21" s="39">
        <v>5.2</v>
      </c>
      <c r="H21" s="39">
        <v>1.55</v>
      </c>
      <c r="I21" s="40">
        <v>20.400000000000002</v>
      </c>
      <c r="J21" s="38">
        <v>146</v>
      </c>
      <c r="K21" s="40">
        <v>144</v>
      </c>
      <c r="L21" s="59">
        <f t="shared" si="0"/>
        <v>0.66911764705882348</v>
      </c>
      <c r="M21" s="60">
        <f t="shared" si="1"/>
        <v>0.25490196078431371</v>
      </c>
      <c r="N21" s="61">
        <f t="shared" si="2"/>
        <v>7.5980392156862739E-2</v>
      </c>
      <c r="O21" s="33">
        <f t="shared" si="3"/>
        <v>-0.11737595240223735</v>
      </c>
      <c r="P21" s="34">
        <f t="shared" si="4"/>
        <v>-1.1113513144455396</v>
      </c>
      <c r="Q21" s="34">
        <f t="shared" si="5"/>
        <v>-2.3343337913086262</v>
      </c>
      <c r="R21" s="35">
        <f t="shared" si="6"/>
        <v>-0.83779910822929571</v>
      </c>
    </row>
    <row r="24" spans="1:18" x14ac:dyDescent="0.25">
      <c r="E24" s="36" t="s">
        <v>164</v>
      </c>
      <c r="F24" s="27">
        <f>(F3*($J$3/1000))/(($J$3+$K$3)/1000)</f>
        <v>7.7135678391959805</v>
      </c>
      <c r="G24" s="27">
        <f>(G3*($J$3/1000))/(($J$3+$K$3)/1000)</f>
        <v>7.9396984924623117</v>
      </c>
      <c r="H24" s="27">
        <f>(H3*($J$3/1000))/(($J$3+$K$3)/1000)</f>
        <v>8.0402010050251249</v>
      </c>
      <c r="I24" s="27">
        <f>(I3*($J$3/1000))/(($J$3+$K$3)/1000)</f>
        <v>23.693467336683415</v>
      </c>
      <c r="N24" t="s">
        <v>45</v>
      </c>
      <c r="O24" s="24">
        <f>-SLOPE(O3:O21,$B$3:$B$21)</f>
        <v>4.4828858402993756E-4</v>
      </c>
      <c r="P24" s="24">
        <f>-SLOPE(P3:P21,$B$3:$B$21)</f>
        <v>4.0669943609194853E-3</v>
      </c>
      <c r="Q24" s="24">
        <f>-SLOPE(Q3:Q21,$B$3:$B$21)</f>
        <v>8.4660011712298436E-3</v>
      </c>
      <c r="R24" s="24">
        <f>-SLOPE(R3:R21,$B$3:$B$21)</f>
        <v>3.1215290400444431E-3</v>
      </c>
    </row>
    <row r="25" spans="1:18" x14ac:dyDescent="0.25">
      <c r="N25" t="s">
        <v>43</v>
      </c>
      <c r="O25" s="24">
        <f>(CORREL(O3:O17,$B$3:$B$17))^2</f>
        <v>0.49137416495930003</v>
      </c>
      <c r="P25" s="24">
        <f>(CORREL(P3:P17,$B$3:$B$17))^2</f>
        <v>0.98038385287657681</v>
      </c>
      <c r="Q25" s="24">
        <f>(CORREL(Q3:Q17,$B$3:$B$17))^2</f>
        <v>0.99049934347448076</v>
      </c>
      <c r="R25" s="24">
        <f>(CORREL(R3:R17,$B$3:$B$17))^2</f>
        <v>0.9653645166825584</v>
      </c>
    </row>
    <row r="26" spans="1:18" x14ac:dyDescent="0.25">
      <c r="B26" s="27"/>
      <c r="C26" s="27"/>
      <c r="D26" s="27"/>
      <c r="E26" s="82"/>
      <c r="F26" s="37"/>
      <c r="G26" s="37"/>
      <c r="H26" s="37"/>
      <c r="I26" s="37"/>
      <c r="J26" s="27"/>
      <c r="K26" s="27"/>
      <c r="N26" t="s">
        <v>46</v>
      </c>
      <c r="O26" s="62">
        <f>(O24*($J$3/1000000))/Constants!$K$8</f>
        <v>1.5248497600403775E-5</v>
      </c>
      <c r="P26" s="62">
        <f>(P24*($J$3/1000000))/Constants!$K$8</f>
        <v>1.3833846312980155E-4</v>
      </c>
      <c r="Q26" s="62">
        <f>(Q24*($J$3/1000000))/Constants!$K$8</f>
        <v>2.8797030114845103E-4</v>
      </c>
      <c r="R26" s="62">
        <f>(R24*($J$3/1000000))/Constants!$K$8</f>
        <v>1.0617854161891767E-4</v>
      </c>
    </row>
    <row r="27" spans="1:1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N27" t="s">
        <v>47</v>
      </c>
      <c r="O27" s="62">
        <f>O26/3600</f>
        <v>4.2356937778899377E-9</v>
      </c>
      <c r="P27" s="62">
        <f t="shared" ref="P27:R27" si="7">P26/3600</f>
        <v>3.8427350869389319E-8</v>
      </c>
      <c r="Q27" s="62">
        <f t="shared" si="7"/>
        <v>7.999175031901418E-8</v>
      </c>
      <c r="R27" s="62">
        <f t="shared" si="7"/>
        <v>2.949403933858824E-8</v>
      </c>
    </row>
    <row r="28" spans="1:18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N28" s="1" t="s">
        <v>64</v>
      </c>
      <c r="O28" s="65">
        <f>O27*10^6</f>
        <v>4.2356937778899378E-3</v>
      </c>
      <c r="P28" s="65">
        <f t="shared" ref="P28:R28" si="8">P27*10^6</f>
        <v>3.8427350869389316E-2</v>
      </c>
      <c r="Q28" s="65">
        <f t="shared" si="8"/>
        <v>7.9991750319014177E-2</v>
      </c>
      <c r="R28" s="65">
        <f t="shared" si="8"/>
        <v>2.949403933858824E-2</v>
      </c>
    </row>
    <row r="30" spans="1:18" x14ac:dyDescent="0.25">
      <c r="E30" s="27"/>
      <c r="F30" s="27"/>
      <c r="G30" s="27"/>
      <c r="H30" s="27"/>
      <c r="I30" s="27"/>
      <c r="J30" s="27"/>
      <c r="K30" s="27"/>
    </row>
    <row r="31" spans="1:18" x14ac:dyDescent="0.25">
      <c r="E31" s="27"/>
      <c r="F31" s="27"/>
      <c r="G31" s="27"/>
      <c r="H31" s="27"/>
      <c r="I31" s="27"/>
      <c r="J31" s="27"/>
      <c r="K31" s="27"/>
    </row>
  </sheetData>
  <mergeCells count="8">
    <mergeCell ref="O1:R1"/>
    <mergeCell ref="J1:K1"/>
    <mergeCell ref="L1:N1"/>
    <mergeCell ref="A1:A2"/>
    <mergeCell ref="B1:B2"/>
    <mergeCell ref="C1:C2"/>
    <mergeCell ref="D1:E1"/>
    <mergeCell ref="F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31"/>
  <sheetViews>
    <sheetView workbookViewId="0">
      <selection sqref="A1:A2"/>
    </sheetView>
  </sheetViews>
  <sheetFormatPr defaultRowHeight="15" x14ac:dyDescent="0.25"/>
  <cols>
    <col min="5" max="5" width="9.85546875" bestFit="1" customWidth="1"/>
    <col min="14" max="14" width="10.7109375" bestFit="1" customWidth="1"/>
  </cols>
  <sheetData>
    <row r="1" spans="1:18" s="3" customFormat="1" x14ac:dyDescent="0.25">
      <c r="A1" s="269" t="s">
        <v>31</v>
      </c>
      <c r="B1" s="269" t="s">
        <v>32</v>
      </c>
      <c r="C1" s="269" t="s">
        <v>33</v>
      </c>
      <c r="D1" s="273" t="s">
        <v>8</v>
      </c>
      <c r="E1" s="271"/>
      <c r="F1" s="273" t="s">
        <v>34</v>
      </c>
      <c r="G1" s="274"/>
      <c r="H1" s="274"/>
      <c r="I1" s="271"/>
      <c r="J1" s="273" t="s">
        <v>35</v>
      </c>
      <c r="K1" s="271"/>
      <c r="L1" s="273" t="s">
        <v>44</v>
      </c>
      <c r="M1" s="274"/>
      <c r="N1" s="271"/>
      <c r="O1" s="273" t="s">
        <v>74</v>
      </c>
      <c r="P1" s="274"/>
      <c r="Q1" s="274"/>
      <c r="R1" s="271"/>
    </row>
    <row r="2" spans="1:18" s="3" customFormat="1" x14ac:dyDescent="0.25">
      <c r="A2" s="270"/>
      <c r="B2" s="270"/>
      <c r="C2" s="270"/>
      <c r="D2" s="38" t="s">
        <v>37</v>
      </c>
      <c r="E2" s="40" t="s">
        <v>38</v>
      </c>
      <c r="F2" s="38" t="s">
        <v>39</v>
      </c>
      <c r="G2" s="39" t="s">
        <v>40</v>
      </c>
      <c r="H2" s="39" t="s">
        <v>41</v>
      </c>
      <c r="I2" s="40" t="s">
        <v>23</v>
      </c>
      <c r="J2" s="38" t="s">
        <v>42</v>
      </c>
      <c r="K2" s="40" t="s">
        <v>38</v>
      </c>
      <c r="L2" s="38" t="s">
        <v>39</v>
      </c>
      <c r="M2" s="39" t="s">
        <v>40</v>
      </c>
      <c r="N2" s="40" t="s">
        <v>41</v>
      </c>
      <c r="O2" s="38" t="s">
        <v>39</v>
      </c>
      <c r="P2" s="39" t="s">
        <v>40</v>
      </c>
      <c r="Q2" s="39" t="s">
        <v>41</v>
      </c>
      <c r="R2" s="47" t="s">
        <v>23</v>
      </c>
    </row>
    <row r="3" spans="1:18" x14ac:dyDescent="0.25">
      <c r="A3" s="63">
        <v>0</v>
      </c>
      <c r="B3" s="66">
        <v>0</v>
      </c>
      <c r="C3" s="63">
        <v>20.6</v>
      </c>
      <c r="D3" s="41">
        <v>2.61</v>
      </c>
      <c r="E3" s="42">
        <v>14</v>
      </c>
      <c r="F3" s="25">
        <v>14.65</v>
      </c>
      <c r="G3" s="3">
        <v>15.25</v>
      </c>
      <c r="H3" s="3">
        <v>15.45</v>
      </c>
      <c r="I3" s="31">
        <v>45.349999999999994</v>
      </c>
      <c r="J3" s="25">
        <v>200</v>
      </c>
      <c r="K3" s="26">
        <v>200</v>
      </c>
      <c r="L3" s="56">
        <f t="shared" ref="L3:L21" si="0">F3/$I3</f>
        <v>0.32304299889746424</v>
      </c>
      <c r="M3" s="57">
        <f t="shared" ref="M3:M21" si="1">G3/$I3</f>
        <v>0.33627342888643885</v>
      </c>
      <c r="N3" s="58">
        <f t="shared" ref="N3:N21" si="2">H3/$I3</f>
        <v>0.34068357221609707</v>
      </c>
      <c r="O3" s="29">
        <f t="shared" ref="O3:O21" si="3">LN((F3)/(F$3))</f>
        <v>0</v>
      </c>
      <c r="P3" s="30">
        <f t="shared" ref="P3:P21" si="4">LN((G3)/(G$3))</f>
        <v>0</v>
      </c>
      <c r="Q3" s="30">
        <f t="shared" ref="Q3:Q21" si="5">LN((H3)/(H$3))</f>
        <v>0</v>
      </c>
      <c r="R3" s="31">
        <f t="shared" ref="R3:R21" si="6">LN((I3)/(I$3))</f>
        <v>0</v>
      </c>
    </row>
    <row r="4" spans="1:18" x14ac:dyDescent="0.25">
      <c r="A4" s="63">
        <v>1</v>
      </c>
      <c r="B4" s="66">
        <v>2.8833333333022892</v>
      </c>
      <c r="C4" s="63">
        <v>20.2</v>
      </c>
      <c r="D4" s="41">
        <v>2.6033333333333335</v>
      </c>
      <c r="E4" s="42">
        <v>14</v>
      </c>
      <c r="F4" s="25">
        <v>14.75</v>
      </c>
      <c r="G4" s="3">
        <v>15</v>
      </c>
      <c r="H4" s="3">
        <v>14.7</v>
      </c>
      <c r="I4" s="31">
        <v>44.45</v>
      </c>
      <c r="J4" s="25">
        <v>197</v>
      </c>
      <c r="K4" s="26">
        <v>197</v>
      </c>
      <c r="L4" s="56">
        <f t="shared" si="0"/>
        <v>0.33183352080989875</v>
      </c>
      <c r="M4" s="57">
        <f t="shared" si="1"/>
        <v>0.33745781777277839</v>
      </c>
      <c r="N4" s="58">
        <f t="shared" si="2"/>
        <v>0.3307086614173228</v>
      </c>
      <c r="O4" s="29">
        <f t="shared" si="3"/>
        <v>6.8027473227523999E-3</v>
      </c>
      <c r="P4" s="30">
        <f t="shared" si="4"/>
        <v>-1.6529301951210582E-2</v>
      </c>
      <c r="Q4" s="30">
        <f t="shared" si="5"/>
        <v>-4.9761509559063825E-2</v>
      </c>
      <c r="R4" s="31">
        <f t="shared" si="6"/>
        <v>-2.004521460123181E-2</v>
      </c>
    </row>
    <row r="5" spans="1:18" x14ac:dyDescent="0.25">
      <c r="A5" s="63">
        <v>2</v>
      </c>
      <c r="B5" s="66">
        <v>6.28333333338378</v>
      </c>
      <c r="C5" s="63">
        <v>17.5</v>
      </c>
      <c r="D5" s="41">
        <v>2.4900000000000002</v>
      </c>
      <c r="E5" s="42">
        <v>14</v>
      </c>
      <c r="F5" s="25">
        <v>14</v>
      </c>
      <c r="G5" s="3">
        <v>13.95</v>
      </c>
      <c r="H5" s="3">
        <v>13.15</v>
      </c>
      <c r="I5" s="31">
        <v>41.1</v>
      </c>
      <c r="J5" s="25">
        <v>194</v>
      </c>
      <c r="K5" s="26">
        <v>194</v>
      </c>
      <c r="L5" s="56">
        <f t="shared" si="0"/>
        <v>0.34063260340632601</v>
      </c>
      <c r="M5" s="57">
        <f t="shared" si="1"/>
        <v>0.33941605839416056</v>
      </c>
      <c r="N5" s="58">
        <f t="shared" si="2"/>
        <v>0.31995133819951338</v>
      </c>
      <c r="O5" s="29">
        <f t="shared" si="3"/>
        <v>-4.5383005847817695E-2</v>
      </c>
      <c r="P5" s="30">
        <f t="shared" si="4"/>
        <v>-8.9099994786046049E-2</v>
      </c>
      <c r="Q5" s="30">
        <f t="shared" si="5"/>
        <v>-0.16118724471998078</v>
      </c>
      <c r="R5" s="31">
        <f t="shared" si="6"/>
        <v>-9.8402055058956509E-2</v>
      </c>
    </row>
    <row r="6" spans="1:18" x14ac:dyDescent="0.25">
      <c r="A6" s="63">
        <v>3</v>
      </c>
      <c r="B6" s="66">
        <v>22.949999999895226</v>
      </c>
      <c r="C6" s="63">
        <v>20.2</v>
      </c>
      <c r="D6" s="41">
        <v>2.5066666666666664</v>
      </c>
      <c r="E6" s="42">
        <v>14</v>
      </c>
      <c r="F6" s="25">
        <v>13.95</v>
      </c>
      <c r="G6" s="3">
        <v>12.85</v>
      </c>
      <c r="H6" s="3">
        <v>10.85</v>
      </c>
      <c r="I6" s="31">
        <v>37.65</v>
      </c>
      <c r="J6" s="25">
        <v>191</v>
      </c>
      <c r="K6" s="26">
        <v>191</v>
      </c>
      <c r="L6" s="56">
        <f t="shared" si="0"/>
        <v>0.37051792828685259</v>
      </c>
      <c r="M6" s="57">
        <f t="shared" si="1"/>
        <v>0.3413014608233732</v>
      </c>
      <c r="N6" s="58">
        <f t="shared" si="2"/>
        <v>0.28818061088977426</v>
      </c>
      <c r="O6" s="29">
        <f t="shared" si="3"/>
        <v>-4.8960827195701724E-2</v>
      </c>
      <c r="P6" s="30">
        <f t="shared" si="4"/>
        <v>-0.17123569171219188</v>
      </c>
      <c r="Q6" s="30">
        <f t="shared" si="5"/>
        <v>-0.35344392335728592</v>
      </c>
      <c r="R6" s="31">
        <f t="shared" si="6"/>
        <v>-0.18607722231524298</v>
      </c>
    </row>
    <row r="7" spans="1:18" s="199" customFormat="1" x14ac:dyDescent="0.25">
      <c r="A7" s="197">
        <v>4</v>
      </c>
      <c r="B7" s="198">
        <v>26.683333333348855</v>
      </c>
      <c r="C7" s="197">
        <v>23</v>
      </c>
      <c r="D7" s="214">
        <v>2.52</v>
      </c>
      <c r="E7" s="215">
        <v>14</v>
      </c>
      <c r="F7" s="213">
        <v>10.050000000000001</v>
      </c>
      <c r="G7" s="212">
        <v>9.1</v>
      </c>
      <c r="H7" s="212">
        <v>7.5</v>
      </c>
      <c r="I7" s="211">
        <v>26.65</v>
      </c>
      <c r="J7" s="216">
        <v>188</v>
      </c>
      <c r="K7" s="217">
        <v>188</v>
      </c>
      <c r="L7" s="236">
        <f t="shared" si="0"/>
        <v>0.37711069418386495</v>
      </c>
      <c r="M7" s="237">
        <f t="shared" si="1"/>
        <v>0.34146341463414637</v>
      </c>
      <c r="N7" s="238">
        <f t="shared" si="2"/>
        <v>0.28142589118198874</v>
      </c>
      <c r="O7" s="232">
        <f t="shared" si="3"/>
        <v>-0.37686770095799155</v>
      </c>
      <c r="P7" s="233">
        <f t="shared" si="4"/>
        <v>-0.51630508953061627</v>
      </c>
      <c r="Q7" s="233">
        <f t="shared" si="5"/>
        <v>-0.72270598280148968</v>
      </c>
      <c r="R7" s="234">
        <f t="shared" si="6"/>
        <v>-0.53162102594929195</v>
      </c>
    </row>
    <row r="8" spans="1:18" x14ac:dyDescent="0.25">
      <c r="A8" s="63">
        <v>5</v>
      </c>
      <c r="B8" s="66">
        <v>29.866666666581295</v>
      </c>
      <c r="C8" s="63">
        <v>23.1</v>
      </c>
      <c r="D8" s="41">
        <v>2.48</v>
      </c>
      <c r="E8" s="42">
        <v>13.76</v>
      </c>
      <c r="F8" s="25">
        <v>14.35</v>
      </c>
      <c r="G8" s="3">
        <v>12.7</v>
      </c>
      <c r="H8" s="3">
        <v>10.25</v>
      </c>
      <c r="I8" s="31">
        <v>37.299999999999997</v>
      </c>
      <c r="J8" s="25">
        <v>185</v>
      </c>
      <c r="K8" s="26">
        <v>185</v>
      </c>
      <c r="L8" s="56">
        <f t="shared" si="0"/>
        <v>0.38471849865951746</v>
      </c>
      <c r="M8" s="57">
        <f t="shared" si="1"/>
        <v>0.34048257372654156</v>
      </c>
      <c r="N8" s="58">
        <f t="shared" si="2"/>
        <v>0.27479892761394104</v>
      </c>
      <c r="O8" s="29">
        <f t="shared" si="3"/>
        <v>-2.0690393257446281E-2</v>
      </c>
      <c r="P8" s="30">
        <f t="shared" si="4"/>
        <v>-0.18297750958887507</v>
      </c>
      <c r="Q8" s="30">
        <f t="shared" si="5"/>
        <v>-0.4103312977593373</v>
      </c>
      <c r="R8" s="31">
        <f t="shared" si="6"/>
        <v>-0.1954168499113757</v>
      </c>
    </row>
    <row r="9" spans="1:18" x14ac:dyDescent="0.25">
      <c r="A9" s="63">
        <v>6</v>
      </c>
      <c r="B9" s="66">
        <v>46.533333333267365</v>
      </c>
      <c r="C9" s="63">
        <v>23.6</v>
      </c>
      <c r="D9" s="41">
        <v>2.6133333333333333</v>
      </c>
      <c r="E9" s="42">
        <v>14</v>
      </c>
      <c r="F9" s="25">
        <v>14.5</v>
      </c>
      <c r="G9" s="3">
        <v>11.9</v>
      </c>
      <c r="H9" s="3">
        <v>8.6999999999999993</v>
      </c>
      <c r="I9" s="31">
        <v>35.099999999999994</v>
      </c>
      <c r="J9" s="25">
        <v>182</v>
      </c>
      <c r="K9" s="26">
        <v>182</v>
      </c>
      <c r="L9" s="56">
        <f t="shared" si="0"/>
        <v>0.41310541310541316</v>
      </c>
      <c r="M9" s="57">
        <f t="shared" si="1"/>
        <v>0.33903133903133909</v>
      </c>
      <c r="N9" s="58">
        <f t="shared" si="2"/>
        <v>0.24786324786324787</v>
      </c>
      <c r="O9" s="29">
        <f t="shared" si="3"/>
        <v>-1.0291686036547636E-2</v>
      </c>
      <c r="P9" s="30">
        <f t="shared" si="4"/>
        <v>-0.24804110293593684</v>
      </c>
      <c r="Q9" s="30">
        <f t="shared" si="5"/>
        <v>-0.57428597768321643</v>
      </c>
      <c r="R9" s="31">
        <f t="shared" si="6"/>
        <v>-0.25620904608932549</v>
      </c>
    </row>
    <row r="10" spans="1:18" s="199" customFormat="1" x14ac:dyDescent="0.25">
      <c r="A10" s="197">
        <v>7</v>
      </c>
      <c r="B10" s="198">
        <v>50.449999999953434</v>
      </c>
      <c r="C10" s="197">
        <v>24.1</v>
      </c>
      <c r="D10" s="221">
        <v>2.3733333333333331</v>
      </c>
      <c r="E10" s="222">
        <v>14</v>
      </c>
      <c r="F10" s="220">
        <v>12</v>
      </c>
      <c r="G10" s="219">
        <v>9.65</v>
      </c>
      <c r="H10" s="219">
        <v>6.85</v>
      </c>
      <c r="I10" s="218">
        <v>28.5</v>
      </c>
      <c r="J10" s="223">
        <v>179</v>
      </c>
      <c r="K10" s="224">
        <v>179</v>
      </c>
      <c r="L10" s="236">
        <f t="shared" si="0"/>
        <v>0.42105263157894735</v>
      </c>
      <c r="M10" s="237">
        <f t="shared" si="1"/>
        <v>0.33859649122807017</v>
      </c>
      <c r="N10" s="238">
        <f t="shared" si="2"/>
        <v>0.24035087719298245</v>
      </c>
      <c r="O10" s="232">
        <f t="shared" si="3"/>
        <v>-0.19953368567507604</v>
      </c>
      <c r="P10" s="233">
        <f t="shared" si="4"/>
        <v>-0.45762158770252603</v>
      </c>
      <c r="Q10" s="233">
        <f t="shared" si="5"/>
        <v>-0.81336035106962057</v>
      </c>
      <c r="R10" s="234">
        <f t="shared" si="6"/>
        <v>-0.46450608928654058</v>
      </c>
    </row>
    <row r="11" spans="1:18" x14ac:dyDescent="0.25">
      <c r="A11" s="63">
        <v>8</v>
      </c>
      <c r="B11" s="66">
        <v>52.78333333338378</v>
      </c>
      <c r="C11" s="63">
        <v>24.5</v>
      </c>
      <c r="D11" s="41">
        <v>2.3166666666666669</v>
      </c>
      <c r="E11" s="42">
        <v>14</v>
      </c>
      <c r="F11" s="25">
        <v>14.85</v>
      </c>
      <c r="G11" s="3">
        <v>11.9</v>
      </c>
      <c r="H11" s="3">
        <v>8.25</v>
      </c>
      <c r="I11" s="31">
        <v>35</v>
      </c>
      <c r="J11" s="25">
        <v>176</v>
      </c>
      <c r="K11" s="26">
        <v>176</v>
      </c>
      <c r="L11" s="56">
        <f t="shared" si="0"/>
        <v>0.42428571428571427</v>
      </c>
      <c r="M11" s="57">
        <f t="shared" si="1"/>
        <v>0.34</v>
      </c>
      <c r="N11" s="58">
        <f t="shared" si="2"/>
        <v>0.23571428571428571</v>
      </c>
      <c r="O11" s="29">
        <f t="shared" si="3"/>
        <v>1.3559529785632294E-2</v>
      </c>
      <c r="P11" s="30">
        <f t="shared" si="4"/>
        <v>-0.24804110293593684</v>
      </c>
      <c r="Q11" s="30">
        <f t="shared" si="5"/>
        <v>-0.62739580299716491</v>
      </c>
      <c r="R11" s="31">
        <f t="shared" si="6"/>
        <v>-0.25906211507173177</v>
      </c>
    </row>
    <row r="12" spans="1:18" x14ac:dyDescent="0.25">
      <c r="A12" s="63">
        <v>9</v>
      </c>
      <c r="B12" s="66">
        <v>118.93333333334886</v>
      </c>
      <c r="C12" s="63">
        <v>20.7</v>
      </c>
      <c r="D12" s="41">
        <v>2.5299999999999998</v>
      </c>
      <c r="E12" s="42">
        <v>13.896666666666667</v>
      </c>
      <c r="F12" s="25">
        <v>14.5</v>
      </c>
      <c r="G12" s="3">
        <v>8.9499999999999993</v>
      </c>
      <c r="H12" s="3">
        <v>4.5999999999999996</v>
      </c>
      <c r="I12" s="31">
        <v>28.049999999999997</v>
      </c>
      <c r="J12" s="25">
        <v>173</v>
      </c>
      <c r="K12" s="26">
        <v>173</v>
      </c>
      <c r="L12" s="56">
        <f t="shared" si="0"/>
        <v>0.51693404634581108</v>
      </c>
      <c r="M12" s="57">
        <f t="shared" si="1"/>
        <v>0.31907308377896615</v>
      </c>
      <c r="N12" s="58">
        <f t="shared" si="2"/>
        <v>0.16399286987522282</v>
      </c>
      <c r="O12" s="29">
        <f t="shared" si="3"/>
        <v>-1.0291686036547636E-2</v>
      </c>
      <c r="P12" s="30">
        <f t="shared" si="4"/>
        <v>-0.53292597076665682</v>
      </c>
      <c r="Q12" s="30">
        <f t="shared" si="5"/>
        <v>-1.2115526998487052</v>
      </c>
      <c r="R12" s="31">
        <f t="shared" si="6"/>
        <v>-0.48042154459244019</v>
      </c>
    </row>
    <row r="13" spans="1:18" x14ac:dyDescent="0.25">
      <c r="A13" s="63">
        <v>10</v>
      </c>
      <c r="B13" s="66">
        <v>122.76666666660458</v>
      </c>
      <c r="C13" s="63">
        <v>18.100000000000001</v>
      </c>
      <c r="D13" s="41">
        <v>2.5533333333333332</v>
      </c>
      <c r="E13" s="42">
        <v>14</v>
      </c>
      <c r="F13" s="25">
        <v>11.45</v>
      </c>
      <c r="G13" s="3">
        <v>6.95</v>
      </c>
      <c r="H13" s="3">
        <v>3.5</v>
      </c>
      <c r="I13" s="31">
        <v>21.9</v>
      </c>
      <c r="J13" s="25">
        <v>170</v>
      </c>
      <c r="K13" s="26">
        <v>170</v>
      </c>
      <c r="L13" s="56">
        <f t="shared" si="0"/>
        <v>0.52283105022831056</v>
      </c>
      <c r="M13" s="57">
        <f t="shared" si="1"/>
        <v>0.31735159817351599</v>
      </c>
      <c r="N13" s="58">
        <f t="shared" si="2"/>
        <v>0.15981735159817353</v>
      </c>
      <c r="O13" s="29">
        <f t="shared" si="3"/>
        <v>-0.24645060546282768</v>
      </c>
      <c r="P13" s="30">
        <f t="shared" si="4"/>
        <v>-0.78583784347671992</v>
      </c>
      <c r="Q13" s="30">
        <f t="shared" si="5"/>
        <v>-1.4848460348483865</v>
      </c>
      <c r="R13" s="31">
        <f t="shared" si="6"/>
        <v>-0.72792353973869039</v>
      </c>
    </row>
    <row r="14" spans="1:18" x14ac:dyDescent="0.25">
      <c r="A14" s="63">
        <v>11</v>
      </c>
      <c r="B14" s="66">
        <v>125.98333333327901</v>
      </c>
      <c r="C14" s="63">
        <v>17.3</v>
      </c>
      <c r="D14" s="41">
        <v>2.6733333333333333</v>
      </c>
      <c r="E14" s="42">
        <v>14</v>
      </c>
      <c r="F14" s="25">
        <v>14.15</v>
      </c>
      <c r="G14" s="3">
        <v>8.4</v>
      </c>
      <c r="H14" s="3">
        <v>4.1500000000000004</v>
      </c>
      <c r="I14" s="31">
        <v>26.700000000000003</v>
      </c>
      <c r="J14" s="25">
        <v>167</v>
      </c>
      <c r="K14" s="26">
        <v>167</v>
      </c>
      <c r="L14" s="56">
        <f t="shared" si="0"/>
        <v>0.52996254681647936</v>
      </c>
      <c r="M14" s="57">
        <f t="shared" si="1"/>
        <v>0.3146067415730337</v>
      </c>
      <c r="N14" s="58">
        <f t="shared" si="2"/>
        <v>0.15543071161048688</v>
      </c>
      <c r="O14" s="29">
        <f t="shared" si="3"/>
        <v>-3.4725711373829633E-2</v>
      </c>
      <c r="P14" s="30">
        <f t="shared" si="4"/>
        <v>-0.59634779720415265</v>
      </c>
      <c r="Q14" s="30">
        <f t="shared" si="5"/>
        <v>-1.3145006691011474</v>
      </c>
      <c r="R14" s="31">
        <f t="shared" si="6"/>
        <v>-0.52974661115494159</v>
      </c>
    </row>
    <row r="15" spans="1:18" x14ac:dyDescent="0.25">
      <c r="A15" s="63">
        <v>12</v>
      </c>
      <c r="B15" s="66">
        <v>142.3666666665813</v>
      </c>
      <c r="C15" s="63">
        <v>18.899999999999999</v>
      </c>
      <c r="D15" s="41">
        <v>2.6333333333333333</v>
      </c>
      <c r="E15" s="42">
        <v>13.92</v>
      </c>
      <c r="F15" s="25">
        <v>15.15</v>
      </c>
      <c r="G15" s="3">
        <v>8.65</v>
      </c>
      <c r="H15" s="3">
        <v>4.05</v>
      </c>
      <c r="I15" s="31">
        <v>27.85</v>
      </c>
      <c r="J15" s="25">
        <v>164</v>
      </c>
      <c r="K15" s="26">
        <v>164</v>
      </c>
      <c r="L15" s="56">
        <f t="shared" si="0"/>
        <v>0.54398563734290839</v>
      </c>
      <c r="M15" s="57">
        <f t="shared" si="1"/>
        <v>0.3105924596050269</v>
      </c>
      <c r="N15" s="58">
        <f t="shared" si="2"/>
        <v>0.14542190305206462</v>
      </c>
      <c r="O15" s="29">
        <f t="shared" si="3"/>
        <v>3.3560196492301901E-2</v>
      </c>
      <c r="P15" s="30">
        <f t="shared" si="4"/>
        <v>-0.56702018210963256</v>
      </c>
      <c r="Q15" s="30">
        <f t="shared" si="5"/>
        <v>-1.3388921222253067</v>
      </c>
      <c r="R15" s="31">
        <f t="shared" si="6"/>
        <v>-0.48757721018785244</v>
      </c>
    </row>
    <row r="16" spans="1:18" x14ac:dyDescent="0.25">
      <c r="A16" s="63">
        <v>13</v>
      </c>
      <c r="B16" s="66">
        <v>146.66666666662786</v>
      </c>
      <c r="C16" s="63">
        <v>21.6</v>
      </c>
      <c r="D16" s="41">
        <v>2.64</v>
      </c>
      <c r="E16" s="42">
        <v>13.826666666666668</v>
      </c>
      <c r="F16" s="25">
        <v>14.4</v>
      </c>
      <c r="G16" s="3">
        <v>8.15</v>
      </c>
      <c r="H16" s="3">
        <v>3.75</v>
      </c>
      <c r="I16" s="31">
        <v>26.3</v>
      </c>
      <c r="J16" s="25">
        <v>161</v>
      </c>
      <c r="K16" s="26">
        <v>161</v>
      </c>
      <c r="L16" s="56">
        <f t="shared" si="0"/>
        <v>0.54752851711026618</v>
      </c>
      <c r="M16" s="57">
        <f t="shared" si="1"/>
        <v>0.30988593155893535</v>
      </c>
      <c r="N16" s="58">
        <f t="shared" si="2"/>
        <v>0.14258555133079848</v>
      </c>
      <c r="O16" s="29">
        <f t="shared" si="3"/>
        <v>-1.7212128881121409E-2</v>
      </c>
      <c r="P16" s="30">
        <f t="shared" si="4"/>
        <v>-0.62656157580064931</v>
      </c>
      <c r="Q16" s="30">
        <f t="shared" si="5"/>
        <v>-1.4158531633614351</v>
      </c>
      <c r="R16" s="31">
        <f t="shared" si="6"/>
        <v>-0.54484123737742662</v>
      </c>
    </row>
    <row r="17" spans="1:18" x14ac:dyDescent="0.25">
      <c r="A17" s="63">
        <v>14</v>
      </c>
      <c r="B17" s="66">
        <v>149.73333333333721</v>
      </c>
      <c r="C17" s="63">
        <v>20.9</v>
      </c>
      <c r="D17" s="41">
        <v>2.64</v>
      </c>
      <c r="E17" s="42">
        <v>13.833333333333334</v>
      </c>
      <c r="F17" s="25">
        <v>14.4</v>
      </c>
      <c r="G17" s="3">
        <v>7.95</v>
      </c>
      <c r="H17" s="3">
        <v>3.6</v>
      </c>
      <c r="I17" s="31">
        <v>25.950000000000003</v>
      </c>
      <c r="J17" s="25">
        <v>158</v>
      </c>
      <c r="K17" s="26">
        <v>158</v>
      </c>
      <c r="L17" s="56">
        <f t="shared" si="0"/>
        <v>0.55491329479768781</v>
      </c>
      <c r="M17" s="57">
        <f t="shared" si="1"/>
        <v>0.30635838150289013</v>
      </c>
      <c r="N17" s="58">
        <f t="shared" si="2"/>
        <v>0.13872832369942195</v>
      </c>
      <c r="O17" s="29">
        <f t="shared" si="3"/>
        <v>-1.7212128881121409E-2</v>
      </c>
      <c r="P17" s="30">
        <f t="shared" si="4"/>
        <v>-0.65140757438718022</v>
      </c>
      <c r="Q17" s="30">
        <f t="shared" si="5"/>
        <v>-1.4566751578816901</v>
      </c>
      <c r="R17" s="31">
        <f t="shared" si="6"/>
        <v>-0.55823856694924778</v>
      </c>
    </row>
    <row r="18" spans="1:18" x14ac:dyDescent="0.25">
      <c r="A18" s="63">
        <v>15</v>
      </c>
      <c r="B18" s="66">
        <v>167.95000000001164</v>
      </c>
      <c r="C18" s="63">
        <v>21.1</v>
      </c>
      <c r="D18" s="41">
        <v>1.9966666666666668</v>
      </c>
      <c r="E18" s="42">
        <v>13.32</v>
      </c>
      <c r="F18" s="25">
        <v>13.45</v>
      </c>
      <c r="G18" s="3">
        <v>7</v>
      </c>
      <c r="H18" s="3">
        <v>3</v>
      </c>
      <c r="I18" s="31">
        <v>23.45</v>
      </c>
      <c r="J18" s="25">
        <v>155</v>
      </c>
      <c r="K18" s="26">
        <v>155</v>
      </c>
      <c r="L18" s="56">
        <f t="shared" si="0"/>
        <v>0.57356076759061836</v>
      </c>
      <c r="M18" s="57">
        <f t="shared" si="1"/>
        <v>0.29850746268656719</v>
      </c>
      <c r="N18" s="58">
        <f t="shared" si="2"/>
        <v>0.1279317697228145</v>
      </c>
      <c r="O18" s="29">
        <f t="shared" si="3"/>
        <v>-8.5461229415228324E-2</v>
      </c>
      <c r="P18" s="30">
        <f t="shared" si="4"/>
        <v>-0.77866935399810733</v>
      </c>
      <c r="Q18" s="30">
        <f t="shared" si="5"/>
        <v>-1.6389967146756448</v>
      </c>
      <c r="R18" s="31">
        <f t="shared" si="6"/>
        <v>-0.65953968166885724</v>
      </c>
    </row>
    <row r="19" spans="1:18" s="199" customFormat="1" x14ac:dyDescent="0.25">
      <c r="A19" s="197">
        <v>16</v>
      </c>
      <c r="B19" s="197">
        <v>191.93333333329065</v>
      </c>
      <c r="C19" s="197">
        <v>24.1</v>
      </c>
      <c r="D19" s="227">
        <v>2.61</v>
      </c>
      <c r="E19" s="228">
        <v>13.840000000000002</v>
      </c>
      <c r="F19" s="226">
        <v>9</v>
      </c>
      <c r="G19" s="225">
        <v>4.3</v>
      </c>
      <c r="H19" s="225">
        <v>1.7</v>
      </c>
      <c r="I19" s="229">
        <v>15</v>
      </c>
      <c r="J19" s="235">
        <v>152</v>
      </c>
      <c r="K19" s="239">
        <v>152</v>
      </c>
      <c r="L19" s="236">
        <f t="shared" si="0"/>
        <v>0.6</v>
      </c>
      <c r="M19" s="237">
        <f t="shared" si="1"/>
        <v>0.28666666666666668</v>
      </c>
      <c r="N19" s="238">
        <f t="shared" si="2"/>
        <v>0.11333333333333333</v>
      </c>
      <c r="O19" s="232">
        <f t="shared" si="3"/>
        <v>-0.48721575812685686</v>
      </c>
      <c r="P19" s="233">
        <f t="shared" si="4"/>
        <v>-1.2659644803539039</v>
      </c>
      <c r="Q19" s="233">
        <f t="shared" si="5"/>
        <v>-2.2069807522815843</v>
      </c>
      <c r="R19" s="234">
        <f t="shared" si="6"/>
        <v>-1.1063599754589355</v>
      </c>
    </row>
    <row r="20" spans="1:18" x14ac:dyDescent="0.25">
      <c r="A20" s="63">
        <v>17</v>
      </c>
      <c r="B20" s="63">
        <v>216</v>
      </c>
      <c r="C20" s="63">
        <v>24.3</v>
      </c>
      <c r="D20" s="41">
        <v>2.5833333333333335</v>
      </c>
      <c r="E20" s="42">
        <v>13.836666666666668</v>
      </c>
      <c r="F20" s="25">
        <v>12.45</v>
      </c>
      <c r="G20" s="3">
        <v>5.55</v>
      </c>
      <c r="H20" s="3">
        <v>2</v>
      </c>
      <c r="I20" s="26">
        <v>20</v>
      </c>
      <c r="J20" s="25">
        <v>149</v>
      </c>
      <c r="K20" s="26">
        <v>149</v>
      </c>
      <c r="L20" s="56">
        <f t="shared" si="0"/>
        <v>0.62249999999999994</v>
      </c>
      <c r="M20" s="57">
        <f t="shared" si="1"/>
        <v>0.27749999999999997</v>
      </c>
      <c r="N20" s="58">
        <f t="shared" si="2"/>
        <v>0.1</v>
      </c>
      <c r="O20" s="29">
        <f t="shared" si="3"/>
        <v>-0.1627197125523597</v>
      </c>
      <c r="P20" s="30">
        <f t="shared" si="4"/>
        <v>-1.0107815752950775</v>
      </c>
      <c r="Q20" s="30">
        <f t="shared" si="5"/>
        <v>-2.0444618227838092</v>
      </c>
      <c r="R20" s="31">
        <f t="shared" si="6"/>
        <v>-0.81867790300715448</v>
      </c>
    </row>
    <row r="21" spans="1:18" x14ac:dyDescent="0.25">
      <c r="A21" s="64">
        <v>18</v>
      </c>
      <c r="B21" s="64">
        <v>287.95000000001164</v>
      </c>
      <c r="C21" s="64">
        <v>20.5</v>
      </c>
      <c r="D21" s="38">
        <v>2.5499999999999998</v>
      </c>
      <c r="E21" s="40">
        <v>14</v>
      </c>
      <c r="F21" s="38">
        <v>8.8000000000000007</v>
      </c>
      <c r="G21" s="39">
        <v>3.4</v>
      </c>
      <c r="H21" s="39">
        <v>1.05</v>
      </c>
      <c r="I21" s="40">
        <v>13.250000000000002</v>
      </c>
      <c r="J21" s="38">
        <v>146</v>
      </c>
      <c r="K21" s="40">
        <v>146</v>
      </c>
      <c r="L21" s="59">
        <f t="shared" si="0"/>
        <v>0.66415094339622638</v>
      </c>
      <c r="M21" s="60">
        <f t="shared" si="1"/>
        <v>0.2566037735849056</v>
      </c>
      <c r="N21" s="61">
        <f t="shared" si="2"/>
        <v>7.9245283018867921E-2</v>
      </c>
      <c r="O21" s="33">
        <f t="shared" si="3"/>
        <v>-0.50968861397891541</v>
      </c>
      <c r="P21" s="34">
        <f t="shared" si="4"/>
        <v>-1.5008040714313049</v>
      </c>
      <c r="Q21" s="34">
        <f t="shared" si="5"/>
        <v>-2.6888188391743224</v>
      </c>
      <c r="R21" s="35">
        <f t="shared" si="6"/>
        <v>-1.2304126241289142</v>
      </c>
    </row>
    <row r="24" spans="1:18" x14ac:dyDescent="0.25">
      <c r="E24" s="36" t="s">
        <v>164</v>
      </c>
      <c r="F24" s="27">
        <f>(F3*($J$3/1000))/(($J$3+$K$3)/1000)</f>
        <v>7.3250000000000002</v>
      </c>
      <c r="G24" s="27">
        <f>(G3*($J$3/1000))/(($J$3+$K$3)/1000)</f>
        <v>7.625</v>
      </c>
      <c r="H24" s="27">
        <f>(H3*($J$3/1000))/(($J$3+$K$3)/1000)</f>
        <v>7.7249999999999996</v>
      </c>
      <c r="I24" s="27">
        <f>(I3*($J$3/1000))/(($J$3+$K$3)/1000)</f>
        <v>22.674999999999994</v>
      </c>
      <c r="N24" t="s">
        <v>45</v>
      </c>
      <c r="O24" s="24">
        <f>-SLOPE(O3:O21,$B$3:$B$21)</f>
        <v>1.0256183495720901E-3</v>
      </c>
      <c r="P24" s="24">
        <f>-SLOPE(P3:P21,$B$3:$B$21)</f>
        <v>4.6914478681241694E-3</v>
      </c>
      <c r="Q24" s="24">
        <f>-SLOPE(Q3:Q21,$B$3:$B$21)</f>
        <v>9.0611982845816702E-3</v>
      </c>
      <c r="R24" s="24">
        <f>-SLOPE(R3:R21,$B$3:$B$21)</f>
        <v>3.7321178225204017E-3</v>
      </c>
    </row>
    <row r="25" spans="1:18" x14ac:dyDescent="0.25">
      <c r="N25" t="s">
        <v>43</v>
      </c>
      <c r="O25" s="24">
        <f>(CORREL(O3:O18,$B$3:$B$18))^2</f>
        <v>5.9512031836388857E-3</v>
      </c>
      <c r="P25" s="24">
        <f>(CORREL(P3:P18,$B$3:$B$18))^2</f>
        <v>0.80736258675043082</v>
      </c>
      <c r="Q25" s="24">
        <f>(CORREL(Q3:Q18,$B$3:$B$18))^2</f>
        <v>0.94525546578016317</v>
      </c>
      <c r="R25" s="24">
        <f>(CORREL(R3:R18,$B$3:$B$18))^2</f>
        <v>0.71385416432433113</v>
      </c>
    </row>
    <row r="26" spans="1:18" x14ac:dyDescent="0.25">
      <c r="B26" s="27"/>
      <c r="C26" s="27"/>
      <c r="D26" s="27"/>
      <c r="E26" s="82"/>
      <c r="F26" s="37"/>
      <c r="G26" s="37"/>
      <c r="H26" s="37"/>
      <c r="I26" s="37"/>
      <c r="J26" s="27"/>
      <c r="K26" s="27"/>
      <c r="N26" t="s">
        <v>46</v>
      </c>
      <c r="O26" s="62">
        <f>(O24*($J$3/1000000))/Constants!$K$8</f>
        <v>3.4886319883032502E-5</v>
      </c>
      <c r="P26" s="62">
        <f>(P24*($J$3/1000000))/Constants!$K$8</f>
        <v>1.5957919542901721E-4</v>
      </c>
      <c r="Q26" s="62">
        <f>(Q24*($J$3/1000000))/Constants!$K$8</f>
        <v>3.0821587972893632E-4</v>
      </c>
      <c r="R26" s="62">
        <f>(R24*($J$3/1000000))/Constants!$K$8</f>
        <v>1.2694766649985897E-4</v>
      </c>
    </row>
    <row r="27" spans="1:1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N27" t="s">
        <v>47</v>
      </c>
      <c r="O27" s="62">
        <f>O26/3600</f>
        <v>9.6906444119534726E-9</v>
      </c>
      <c r="P27" s="62">
        <f t="shared" ref="P27:R27" si="7">P26/3600</f>
        <v>4.4327554285838112E-8</v>
      </c>
      <c r="Q27" s="62">
        <f t="shared" si="7"/>
        <v>8.5615522146926762E-8</v>
      </c>
      <c r="R27" s="62">
        <f t="shared" si="7"/>
        <v>3.5263240694405266E-8</v>
      </c>
    </row>
    <row r="28" spans="1:18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N28" s="1" t="s">
        <v>64</v>
      </c>
      <c r="O28" s="65">
        <f>O27*10^6</f>
        <v>9.6906444119534731E-3</v>
      </c>
      <c r="P28" s="65">
        <f t="shared" ref="P28:R28" si="8">P27*10^6</f>
        <v>4.4327554285838115E-2</v>
      </c>
      <c r="Q28" s="65">
        <f t="shared" si="8"/>
        <v>8.5615522146926762E-2</v>
      </c>
      <c r="R28" s="65">
        <f t="shared" si="8"/>
        <v>3.5263240694405264E-2</v>
      </c>
    </row>
    <row r="30" spans="1:18" x14ac:dyDescent="0.25">
      <c r="E30" s="27"/>
      <c r="F30" s="27"/>
      <c r="G30" s="27"/>
      <c r="H30" s="27"/>
      <c r="I30" s="27"/>
      <c r="J30" s="27"/>
      <c r="K30" s="27"/>
    </row>
    <row r="31" spans="1:18" x14ac:dyDescent="0.25">
      <c r="E31" s="27"/>
      <c r="F31" s="27"/>
      <c r="G31" s="27"/>
      <c r="H31" s="27"/>
      <c r="I31" s="27"/>
      <c r="J31" s="27"/>
      <c r="K31" s="27"/>
    </row>
  </sheetData>
  <mergeCells count="8">
    <mergeCell ref="O1:R1"/>
    <mergeCell ref="J1:K1"/>
    <mergeCell ref="L1:N1"/>
    <mergeCell ref="A1:A2"/>
    <mergeCell ref="B1:B2"/>
    <mergeCell ref="C1:C2"/>
    <mergeCell ref="D1:E1"/>
    <mergeCell ref="F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26"/>
  <sheetViews>
    <sheetView workbookViewId="0">
      <selection sqref="A1:A2"/>
    </sheetView>
  </sheetViews>
  <sheetFormatPr defaultRowHeight="15" x14ac:dyDescent="0.25"/>
  <cols>
    <col min="4" max="4" width="9.85546875" bestFit="1" customWidth="1"/>
    <col min="23" max="23" width="10.7109375" bestFit="1" customWidth="1"/>
  </cols>
  <sheetData>
    <row r="1" spans="1:29" s="3" customFormat="1" x14ac:dyDescent="0.25">
      <c r="A1" s="269" t="s">
        <v>31</v>
      </c>
      <c r="B1" s="269" t="s">
        <v>32</v>
      </c>
      <c r="C1" s="273" t="s">
        <v>8</v>
      </c>
      <c r="D1" s="271"/>
      <c r="E1" s="273" t="s">
        <v>34</v>
      </c>
      <c r="F1" s="274"/>
      <c r="G1" s="274"/>
      <c r="H1" s="274"/>
      <c r="I1" s="274"/>
      <c r="J1" s="271"/>
      <c r="K1" s="273" t="s">
        <v>35</v>
      </c>
      <c r="L1" s="271"/>
      <c r="M1" s="273" t="s">
        <v>36</v>
      </c>
      <c r="N1" s="274"/>
      <c r="O1" s="274"/>
      <c r="P1" s="274"/>
      <c r="Q1" s="274"/>
      <c r="R1" s="271"/>
      <c r="S1" s="273" t="s">
        <v>44</v>
      </c>
      <c r="T1" s="274"/>
      <c r="U1" s="274"/>
      <c r="V1" s="274"/>
      <c r="W1" s="271"/>
      <c r="X1" s="273" t="s">
        <v>74</v>
      </c>
      <c r="Y1" s="274"/>
      <c r="Z1" s="274"/>
      <c r="AA1" s="274"/>
      <c r="AB1" s="274"/>
      <c r="AC1" s="271"/>
    </row>
    <row r="2" spans="1:29" s="3" customFormat="1" x14ac:dyDescent="0.25">
      <c r="A2" s="270"/>
      <c r="B2" s="270"/>
      <c r="C2" s="38" t="s">
        <v>37</v>
      </c>
      <c r="D2" s="40" t="s">
        <v>38</v>
      </c>
      <c r="E2" s="38" t="s">
        <v>39</v>
      </c>
      <c r="F2" s="39" t="s">
        <v>66</v>
      </c>
      <c r="G2" s="39" t="s">
        <v>40</v>
      </c>
      <c r="H2" s="39" t="s">
        <v>65</v>
      </c>
      <c r="I2" s="39" t="s">
        <v>67</v>
      </c>
      <c r="J2" s="40" t="s">
        <v>23</v>
      </c>
      <c r="K2" s="38" t="s">
        <v>42</v>
      </c>
      <c r="L2" s="40" t="s">
        <v>38</v>
      </c>
      <c r="M2" s="38" t="s">
        <v>39</v>
      </c>
      <c r="N2" s="39" t="s">
        <v>66</v>
      </c>
      <c r="O2" s="39" t="s">
        <v>40</v>
      </c>
      <c r="P2" s="39" t="s">
        <v>65</v>
      </c>
      <c r="Q2" s="39" t="s">
        <v>67</v>
      </c>
      <c r="R2" s="40" t="s">
        <v>23</v>
      </c>
      <c r="S2" s="38" t="s">
        <v>39</v>
      </c>
      <c r="T2" s="39" t="s">
        <v>66</v>
      </c>
      <c r="U2" s="39" t="s">
        <v>40</v>
      </c>
      <c r="V2" s="39" t="s">
        <v>65</v>
      </c>
      <c r="W2" s="39" t="s">
        <v>67</v>
      </c>
      <c r="X2" s="38" t="s">
        <v>39</v>
      </c>
      <c r="Y2" s="39" t="s">
        <v>66</v>
      </c>
      <c r="Z2" s="39" t="s">
        <v>40</v>
      </c>
      <c r="AA2" s="39" t="s">
        <v>65</v>
      </c>
      <c r="AB2" s="39" t="s">
        <v>67</v>
      </c>
      <c r="AC2" s="40" t="s">
        <v>23</v>
      </c>
    </row>
    <row r="3" spans="1:29" x14ac:dyDescent="0.25">
      <c r="A3" s="25">
        <v>0</v>
      </c>
      <c r="B3" s="30">
        <v>0</v>
      </c>
      <c r="C3" s="41">
        <v>2.61</v>
      </c>
      <c r="D3" s="42">
        <v>14</v>
      </c>
      <c r="E3" s="71">
        <v>5.25</v>
      </c>
      <c r="F3" s="72">
        <v>5.45</v>
      </c>
      <c r="G3" s="72">
        <v>1.8</v>
      </c>
      <c r="H3" s="72">
        <v>1.7</v>
      </c>
      <c r="I3" s="72">
        <v>0.95</v>
      </c>
      <c r="J3" s="73">
        <f>SUM(E3:I3)</f>
        <v>15.149999999999999</v>
      </c>
      <c r="K3" s="25">
        <v>200</v>
      </c>
      <c r="L3" s="26">
        <v>200</v>
      </c>
      <c r="M3" s="68">
        <f t="shared" ref="M3:M16" si="0">E3*($K3/1000)</f>
        <v>1.05</v>
      </c>
      <c r="N3" s="69">
        <f t="shared" ref="N3:N16" si="1">F3*($K3/1000)</f>
        <v>1.0900000000000001</v>
      </c>
      <c r="O3" s="69">
        <f t="shared" ref="O3:O16" si="2">G3*($K3/1000)</f>
        <v>0.36000000000000004</v>
      </c>
      <c r="P3" s="69">
        <f t="shared" ref="P3:P16" si="3">H3*($K3/1000)</f>
        <v>0.34</v>
      </c>
      <c r="Q3" s="69">
        <f t="shared" ref="Q3:Q16" si="4">I3*($K3/1000)</f>
        <v>0.19</v>
      </c>
      <c r="R3" s="70">
        <f t="shared" ref="R3:R16" si="5">J3*($K3/1000)</f>
        <v>3.03</v>
      </c>
      <c r="S3" s="56">
        <f t="shared" ref="S3:S16" si="6">E3/$J3</f>
        <v>0.34653465346534656</v>
      </c>
      <c r="T3" s="57">
        <f t="shared" ref="T3:T16" si="7">F3/$J3</f>
        <v>0.35973597359735976</v>
      </c>
      <c r="U3" s="57">
        <f t="shared" ref="U3:U16" si="8">G3/$J3</f>
        <v>0.11881188118811882</v>
      </c>
      <c r="V3" s="57">
        <f t="shared" ref="V3:V16" si="9">H3/$J3</f>
        <v>0.11221122112211222</v>
      </c>
      <c r="W3" s="58">
        <f t="shared" ref="W3:W16" si="10">I3/$J3</f>
        <v>6.2706270627062716E-2</v>
      </c>
      <c r="X3" s="29">
        <f t="shared" ref="X3:AC9" si="11">LN((E3)/(E$3))</f>
        <v>0</v>
      </c>
      <c r="Y3" s="30">
        <f t="shared" si="11"/>
        <v>0</v>
      </c>
      <c r="Z3" s="30">
        <f t="shared" si="11"/>
        <v>0</v>
      </c>
      <c r="AA3" s="30">
        <f t="shared" si="11"/>
        <v>0</v>
      </c>
      <c r="AB3" s="30">
        <f t="shared" si="11"/>
        <v>0</v>
      </c>
      <c r="AC3" s="31">
        <f t="shared" si="11"/>
        <v>0</v>
      </c>
    </row>
    <row r="4" spans="1:29" x14ac:dyDescent="0.25">
      <c r="A4" s="25">
        <v>1</v>
      </c>
      <c r="B4" s="30">
        <v>16.866666666639503</v>
      </c>
      <c r="C4" s="41">
        <v>2.6033333333333335</v>
      </c>
      <c r="D4" s="42">
        <v>14</v>
      </c>
      <c r="E4" s="71">
        <v>5.3</v>
      </c>
      <c r="F4" s="72">
        <v>5.35</v>
      </c>
      <c r="G4" s="72">
        <v>1.75</v>
      </c>
      <c r="H4" s="72">
        <v>1.4</v>
      </c>
      <c r="I4" s="72">
        <v>0.5</v>
      </c>
      <c r="J4" s="73">
        <f t="shared" ref="J4:J16" si="12">SUM(E4:I4)</f>
        <v>14.299999999999999</v>
      </c>
      <c r="K4" s="25">
        <v>197</v>
      </c>
      <c r="L4" s="26">
        <v>197</v>
      </c>
      <c r="M4" s="29">
        <f t="shared" si="0"/>
        <v>1.0441</v>
      </c>
      <c r="N4" s="12">
        <f t="shared" si="1"/>
        <v>1.0539499999999999</v>
      </c>
      <c r="O4" s="12">
        <f t="shared" si="2"/>
        <v>0.34475</v>
      </c>
      <c r="P4" s="12">
        <f t="shared" si="3"/>
        <v>0.27579999999999999</v>
      </c>
      <c r="Q4" s="12">
        <f t="shared" si="4"/>
        <v>9.8500000000000004E-2</v>
      </c>
      <c r="R4" s="42">
        <f t="shared" si="5"/>
        <v>2.8170999999999999</v>
      </c>
      <c r="S4" s="56">
        <f t="shared" si="6"/>
        <v>0.37062937062937062</v>
      </c>
      <c r="T4" s="57">
        <f t="shared" si="7"/>
        <v>0.37412587412587411</v>
      </c>
      <c r="U4" s="57">
        <f t="shared" si="8"/>
        <v>0.12237762237762238</v>
      </c>
      <c r="V4" s="57">
        <f t="shared" si="9"/>
        <v>9.7902097902097904E-2</v>
      </c>
      <c r="W4" s="58">
        <f t="shared" si="10"/>
        <v>3.4965034965034968E-2</v>
      </c>
      <c r="X4" s="29">
        <f t="shared" si="11"/>
        <v>9.4787439545437387E-3</v>
      </c>
      <c r="Y4" s="30">
        <f t="shared" si="11"/>
        <v>-1.8519047767237642E-2</v>
      </c>
      <c r="Z4" s="30">
        <f t="shared" si="11"/>
        <v>-2.8170876966696335E-2</v>
      </c>
      <c r="AA4" s="30">
        <f t="shared" si="11"/>
        <v>-0.19415601444095751</v>
      </c>
      <c r="AB4" s="30">
        <f t="shared" si="11"/>
        <v>-0.64185388617239481</v>
      </c>
      <c r="AC4" s="31">
        <f t="shared" si="11"/>
        <v>-5.7740994689516566E-2</v>
      </c>
    </row>
    <row r="5" spans="1:29" x14ac:dyDescent="0.25">
      <c r="A5" s="25">
        <v>2</v>
      </c>
      <c r="B5" s="30">
        <v>23.933333333290648</v>
      </c>
      <c r="C5" s="41">
        <v>2.4900000000000002</v>
      </c>
      <c r="D5" s="42">
        <v>14</v>
      </c>
      <c r="E5" s="71">
        <v>5</v>
      </c>
      <c r="F5" s="72">
        <v>5.0999999999999996</v>
      </c>
      <c r="G5" s="72">
        <v>1.65</v>
      </c>
      <c r="H5" s="72">
        <v>1.25</v>
      </c>
      <c r="I5" s="72">
        <v>0.4</v>
      </c>
      <c r="J5" s="73">
        <f t="shared" si="12"/>
        <v>13.4</v>
      </c>
      <c r="K5" s="25">
        <v>194</v>
      </c>
      <c r="L5" s="26">
        <v>194</v>
      </c>
      <c r="M5" s="29">
        <f t="shared" si="0"/>
        <v>0.97</v>
      </c>
      <c r="N5" s="12">
        <f t="shared" si="1"/>
        <v>0.98939999999999995</v>
      </c>
      <c r="O5" s="12">
        <f t="shared" si="2"/>
        <v>0.3201</v>
      </c>
      <c r="P5" s="12">
        <f t="shared" si="3"/>
        <v>0.24249999999999999</v>
      </c>
      <c r="Q5" s="12">
        <f t="shared" si="4"/>
        <v>7.7600000000000002E-2</v>
      </c>
      <c r="R5" s="42">
        <f t="shared" si="5"/>
        <v>2.5996000000000001</v>
      </c>
      <c r="S5" s="56">
        <f t="shared" si="6"/>
        <v>0.37313432835820892</v>
      </c>
      <c r="T5" s="57">
        <f t="shared" si="7"/>
        <v>0.38059701492537312</v>
      </c>
      <c r="U5" s="57">
        <f t="shared" si="8"/>
        <v>0.12313432835820895</v>
      </c>
      <c r="V5" s="57">
        <f t="shared" si="9"/>
        <v>9.3283582089552231E-2</v>
      </c>
      <c r="W5" s="58">
        <f t="shared" si="10"/>
        <v>2.9850746268656716E-2</v>
      </c>
      <c r="X5" s="29">
        <f t="shared" si="11"/>
        <v>-4.8790164169432056E-2</v>
      </c>
      <c r="Y5" s="30">
        <f t="shared" si="11"/>
        <v>-6.6375068944872689E-2</v>
      </c>
      <c r="Z5" s="30">
        <f t="shared" si="11"/>
        <v>-8.701137698962981E-2</v>
      </c>
      <c r="AA5" s="30">
        <f t="shared" si="11"/>
        <v>-0.30748469974796055</v>
      </c>
      <c r="AB5" s="30">
        <f t="shared" si="11"/>
        <v>-0.8649974374866044</v>
      </c>
      <c r="AC5" s="31">
        <f t="shared" si="11"/>
        <v>-0.12274582499851229</v>
      </c>
    </row>
    <row r="6" spans="1:29" x14ac:dyDescent="0.25">
      <c r="A6" s="25">
        <v>3</v>
      </c>
      <c r="B6" s="30">
        <v>40.866666666639503</v>
      </c>
      <c r="C6" s="41">
        <v>2.5066666666666664</v>
      </c>
      <c r="D6" s="42">
        <v>14</v>
      </c>
      <c r="E6" s="71">
        <v>5.2</v>
      </c>
      <c r="F6" s="72">
        <v>5.2</v>
      </c>
      <c r="G6" s="72">
        <v>1.65</v>
      </c>
      <c r="H6" s="72">
        <v>1.1499999999999999</v>
      </c>
      <c r="I6" s="72">
        <v>0.35</v>
      </c>
      <c r="J6" s="73">
        <f t="shared" si="12"/>
        <v>13.55</v>
      </c>
      <c r="K6" s="25">
        <v>191</v>
      </c>
      <c r="L6" s="26">
        <v>191</v>
      </c>
      <c r="M6" s="29">
        <f t="shared" si="0"/>
        <v>0.99320000000000008</v>
      </c>
      <c r="N6" s="12">
        <f t="shared" si="1"/>
        <v>0.99320000000000008</v>
      </c>
      <c r="O6" s="12">
        <f t="shared" si="2"/>
        <v>0.31514999999999999</v>
      </c>
      <c r="P6" s="12">
        <f t="shared" si="3"/>
        <v>0.21964999999999998</v>
      </c>
      <c r="Q6" s="12">
        <f t="shared" si="4"/>
        <v>6.6849999999999993E-2</v>
      </c>
      <c r="R6" s="42">
        <f t="shared" si="5"/>
        <v>2.58805</v>
      </c>
      <c r="S6" s="56">
        <f t="shared" si="6"/>
        <v>0.3837638376383764</v>
      </c>
      <c r="T6" s="57">
        <f t="shared" si="7"/>
        <v>0.3837638376383764</v>
      </c>
      <c r="U6" s="57">
        <f t="shared" si="8"/>
        <v>0.12177121771217711</v>
      </c>
      <c r="V6" s="57">
        <f t="shared" si="9"/>
        <v>8.4870848708487073E-2</v>
      </c>
      <c r="W6" s="58">
        <f t="shared" si="10"/>
        <v>2.5830258302583023E-2</v>
      </c>
      <c r="X6" s="29">
        <f t="shared" si="11"/>
        <v>-9.5694510161506725E-3</v>
      </c>
      <c r="Y6" s="30">
        <f t="shared" si="11"/>
        <v>-4.6956983087770979E-2</v>
      </c>
      <c r="Z6" s="30">
        <f t="shared" si="11"/>
        <v>-8.701137698962981E-2</v>
      </c>
      <c r="AA6" s="30">
        <f t="shared" si="11"/>
        <v>-0.39086630868701183</v>
      </c>
      <c r="AB6" s="30">
        <f t="shared" si="11"/>
        <v>-0.99852883011112725</v>
      </c>
      <c r="AC6" s="31">
        <f t="shared" si="11"/>
        <v>-0.11161398462966805</v>
      </c>
    </row>
    <row r="7" spans="1:29" x14ac:dyDescent="0.25">
      <c r="A7" s="25">
        <v>4</v>
      </c>
      <c r="B7" s="30">
        <v>48.216666666674428</v>
      </c>
      <c r="C7" s="41">
        <v>2.52</v>
      </c>
      <c r="D7" s="42">
        <v>14</v>
      </c>
      <c r="E7" s="71">
        <v>5.25</v>
      </c>
      <c r="F7" s="72">
        <v>5.2</v>
      </c>
      <c r="G7" s="72">
        <v>1.65</v>
      </c>
      <c r="H7" s="72">
        <v>1.1000000000000001</v>
      </c>
      <c r="I7" s="72">
        <v>0.25</v>
      </c>
      <c r="J7" s="73">
        <f t="shared" si="12"/>
        <v>13.45</v>
      </c>
      <c r="K7" s="25">
        <v>188</v>
      </c>
      <c r="L7" s="26">
        <v>188</v>
      </c>
      <c r="M7" s="29">
        <f t="shared" si="0"/>
        <v>0.98699999999999999</v>
      </c>
      <c r="N7" s="12">
        <f t="shared" si="1"/>
        <v>0.97760000000000002</v>
      </c>
      <c r="O7" s="12">
        <f t="shared" si="2"/>
        <v>0.31019999999999998</v>
      </c>
      <c r="P7" s="12">
        <f t="shared" si="3"/>
        <v>0.20680000000000001</v>
      </c>
      <c r="Q7" s="12">
        <f t="shared" si="4"/>
        <v>4.7E-2</v>
      </c>
      <c r="R7" s="42">
        <f t="shared" si="5"/>
        <v>2.5286</v>
      </c>
      <c r="S7" s="56">
        <f t="shared" si="6"/>
        <v>0.39033457249070636</v>
      </c>
      <c r="T7" s="57">
        <f t="shared" si="7"/>
        <v>0.38661710037174724</v>
      </c>
      <c r="U7" s="57">
        <f t="shared" si="8"/>
        <v>0.12267657992565056</v>
      </c>
      <c r="V7" s="57">
        <f t="shared" si="9"/>
        <v>8.1784386617100385E-2</v>
      </c>
      <c r="W7" s="58">
        <f t="shared" si="10"/>
        <v>1.858736059479554E-2</v>
      </c>
      <c r="X7" s="29">
        <f t="shared" si="11"/>
        <v>0</v>
      </c>
      <c r="Y7" s="30">
        <f t="shared" si="11"/>
        <v>-4.6956983087770979E-2</v>
      </c>
      <c r="Z7" s="30">
        <f t="shared" si="11"/>
        <v>-8.701137698962981E-2</v>
      </c>
      <c r="AA7" s="30">
        <f t="shared" si="11"/>
        <v>-0.4353180712578455</v>
      </c>
      <c r="AB7" s="30">
        <f t="shared" si="11"/>
        <v>-1.3350010667323402</v>
      </c>
      <c r="AC7" s="31">
        <f t="shared" si="11"/>
        <v>-0.11902142590752994</v>
      </c>
    </row>
    <row r="8" spans="1:29" x14ac:dyDescent="0.25">
      <c r="A8" s="25">
        <v>5</v>
      </c>
      <c r="B8" s="30">
        <v>65.083333333313931</v>
      </c>
      <c r="C8" s="41">
        <v>2.48</v>
      </c>
      <c r="D8" s="42">
        <v>13.76</v>
      </c>
      <c r="E8" s="71">
        <v>5.0999999999999996</v>
      </c>
      <c r="F8" s="72">
        <v>5.05</v>
      </c>
      <c r="G8" s="72">
        <v>1.6</v>
      </c>
      <c r="H8" s="72">
        <v>1</v>
      </c>
      <c r="I8" s="72">
        <v>0.15</v>
      </c>
      <c r="J8" s="73">
        <f t="shared" si="12"/>
        <v>12.899999999999999</v>
      </c>
      <c r="K8" s="25">
        <v>185</v>
      </c>
      <c r="L8" s="26">
        <v>185</v>
      </c>
      <c r="M8" s="29">
        <f t="shared" si="0"/>
        <v>0.94349999999999989</v>
      </c>
      <c r="N8" s="12">
        <f t="shared" si="1"/>
        <v>0.93424999999999991</v>
      </c>
      <c r="O8" s="12">
        <f t="shared" si="2"/>
        <v>0.29599999999999999</v>
      </c>
      <c r="P8" s="12">
        <f t="shared" si="3"/>
        <v>0.185</v>
      </c>
      <c r="Q8" s="12">
        <f t="shared" si="4"/>
        <v>2.775E-2</v>
      </c>
      <c r="R8" s="42">
        <f t="shared" si="5"/>
        <v>2.3864999999999998</v>
      </c>
      <c r="S8" s="56">
        <f t="shared" si="6"/>
        <v>0.39534883720930236</v>
      </c>
      <c r="T8" s="57">
        <f t="shared" si="7"/>
        <v>0.39147286821705429</v>
      </c>
      <c r="U8" s="57">
        <f t="shared" si="8"/>
        <v>0.12403100775193801</v>
      </c>
      <c r="V8" s="57">
        <f t="shared" si="9"/>
        <v>7.7519379844961253E-2</v>
      </c>
      <c r="W8" s="58">
        <f t="shared" si="10"/>
        <v>1.1627906976744188E-2</v>
      </c>
      <c r="X8" s="29">
        <f t="shared" si="11"/>
        <v>-2.8987536873252413E-2</v>
      </c>
      <c r="Y8" s="30">
        <f t="shared" si="11"/>
        <v>-7.6227365387884369E-2</v>
      </c>
      <c r="Z8" s="30">
        <f t="shared" si="11"/>
        <v>-0.11778303565638339</v>
      </c>
      <c r="AA8" s="30">
        <f t="shared" si="11"/>
        <v>-0.53062825106217038</v>
      </c>
      <c r="AB8" s="30">
        <f t="shared" si="11"/>
        <v>-1.8458266904983309</v>
      </c>
      <c r="AC8" s="31">
        <f t="shared" si="11"/>
        <v>-0.16077322058775173</v>
      </c>
    </row>
    <row r="9" spans="1:29" x14ac:dyDescent="0.25">
      <c r="A9" s="25">
        <v>6</v>
      </c>
      <c r="B9" s="30">
        <v>72.18333333323244</v>
      </c>
      <c r="C9" s="41">
        <v>2.6133333333333333</v>
      </c>
      <c r="D9" s="42">
        <v>14</v>
      </c>
      <c r="E9" s="71">
        <v>5.15</v>
      </c>
      <c r="F9" s="72">
        <v>5</v>
      </c>
      <c r="G9" s="72">
        <v>1.5</v>
      </c>
      <c r="H9" s="72">
        <v>0.9</v>
      </c>
      <c r="I9" s="72">
        <v>0.15</v>
      </c>
      <c r="J9" s="73">
        <f t="shared" si="12"/>
        <v>12.700000000000001</v>
      </c>
      <c r="K9" s="25">
        <v>182</v>
      </c>
      <c r="L9" s="26">
        <v>182</v>
      </c>
      <c r="M9" s="29">
        <f t="shared" si="0"/>
        <v>0.93730000000000002</v>
      </c>
      <c r="N9" s="12">
        <f t="shared" si="1"/>
        <v>0.90999999999999992</v>
      </c>
      <c r="O9" s="12">
        <f t="shared" si="2"/>
        <v>0.27300000000000002</v>
      </c>
      <c r="P9" s="12">
        <f t="shared" si="3"/>
        <v>0.1638</v>
      </c>
      <c r="Q9" s="12">
        <f t="shared" si="4"/>
        <v>2.7299999999999998E-2</v>
      </c>
      <c r="R9" s="42">
        <f t="shared" si="5"/>
        <v>2.3114000000000003</v>
      </c>
      <c r="S9" s="56">
        <f t="shared" si="6"/>
        <v>0.40551181102362205</v>
      </c>
      <c r="T9" s="57">
        <f t="shared" si="7"/>
        <v>0.39370078740157477</v>
      </c>
      <c r="U9" s="57">
        <f t="shared" si="8"/>
        <v>0.11811023622047243</v>
      </c>
      <c r="V9" s="57">
        <f t="shared" si="9"/>
        <v>7.0866141732283464E-2</v>
      </c>
      <c r="W9" s="58">
        <f t="shared" si="10"/>
        <v>1.1811023622047242E-2</v>
      </c>
      <c r="X9" s="29">
        <f t="shared" si="11"/>
        <v>-1.9231361927887533E-2</v>
      </c>
      <c r="Y9" s="30">
        <f t="shared" si="11"/>
        <v>-8.6177696241052398E-2</v>
      </c>
      <c r="Z9" s="30">
        <f t="shared" si="11"/>
        <v>-0.1823215567939547</v>
      </c>
      <c r="AA9" s="30">
        <f t="shared" si="11"/>
        <v>-0.63598876671999671</v>
      </c>
      <c r="AB9" s="30">
        <f t="shared" si="11"/>
        <v>-1.8458266904983309</v>
      </c>
      <c r="AC9" s="31">
        <f t="shared" si="11"/>
        <v>-0.17639853849083237</v>
      </c>
    </row>
    <row r="10" spans="1:29" x14ac:dyDescent="0.25">
      <c r="A10" s="25">
        <v>7</v>
      </c>
      <c r="B10" s="30">
        <v>89.216666666732635</v>
      </c>
      <c r="C10" s="41">
        <v>2.3733333333333331</v>
      </c>
      <c r="D10" s="42">
        <v>14</v>
      </c>
      <c r="E10" s="71">
        <v>5.15</v>
      </c>
      <c r="F10" s="72">
        <v>4.95</v>
      </c>
      <c r="G10" s="72">
        <v>1.5</v>
      </c>
      <c r="H10" s="72">
        <v>0.8</v>
      </c>
      <c r="I10" s="72">
        <v>0</v>
      </c>
      <c r="J10" s="73">
        <f t="shared" si="12"/>
        <v>12.400000000000002</v>
      </c>
      <c r="K10" s="25">
        <v>179</v>
      </c>
      <c r="L10" s="26">
        <v>179</v>
      </c>
      <c r="M10" s="29">
        <f t="shared" si="0"/>
        <v>0.92185000000000006</v>
      </c>
      <c r="N10" s="12">
        <f t="shared" si="1"/>
        <v>0.88605</v>
      </c>
      <c r="O10" s="12">
        <f t="shared" si="2"/>
        <v>0.26849999999999996</v>
      </c>
      <c r="P10" s="12">
        <f t="shared" si="3"/>
        <v>0.14319999999999999</v>
      </c>
      <c r="Q10" s="12">
        <f t="shared" si="4"/>
        <v>0</v>
      </c>
      <c r="R10" s="42">
        <f t="shared" si="5"/>
        <v>2.2196000000000002</v>
      </c>
      <c r="S10" s="56">
        <f t="shared" si="6"/>
        <v>0.41532258064516125</v>
      </c>
      <c r="T10" s="57">
        <f t="shared" si="7"/>
        <v>0.3991935483870967</v>
      </c>
      <c r="U10" s="57">
        <f t="shared" si="8"/>
        <v>0.12096774193548385</v>
      </c>
      <c r="V10" s="57">
        <f t="shared" si="9"/>
        <v>6.4516129032258063E-2</v>
      </c>
      <c r="W10" s="58">
        <f t="shared" si="10"/>
        <v>0</v>
      </c>
      <c r="X10" s="29">
        <f t="shared" ref="X10:AA16" si="13">LN((E10)/(E$3))</f>
        <v>-1.9231361927887533E-2</v>
      </c>
      <c r="Y10" s="30">
        <f t="shared" si="13"/>
        <v>-9.6228032094553773E-2</v>
      </c>
      <c r="Z10" s="30">
        <f t="shared" si="13"/>
        <v>-0.1823215567939547</v>
      </c>
      <c r="AA10" s="30">
        <f t="shared" si="13"/>
        <v>-0.75377180237638008</v>
      </c>
      <c r="AB10" s="30"/>
      <c r="AC10" s="31">
        <f t="shared" ref="AC10:AC16" si="14">LN((J10)/(J$3))</f>
        <v>-0.20030405934438666</v>
      </c>
    </row>
    <row r="11" spans="1:29" x14ac:dyDescent="0.25">
      <c r="A11" s="25">
        <v>8</v>
      </c>
      <c r="B11" s="30">
        <v>96.399999999906868</v>
      </c>
      <c r="C11" s="41">
        <v>2.3166666666666669</v>
      </c>
      <c r="D11" s="42">
        <v>14</v>
      </c>
      <c r="E11" s="71">
        <v>5.25</v>
      </c>
      <c r="F11" s="72">
        <v>5</v>
      </c>
      <c r="G11" s="72">
        <v>1.45</v>
      </c>
      <c r="H11" s="72">
        <v>0.8</v>
      </c>
      <c r="I11" s="72">
        <v>0.15</v>
      </c>
      <c r="J11" s="73">
        <f t="shared" si="12"/>
        <v>12.65</v>
      </c>
      <c r="K11" s="25">
        <v>176</v>
      </c>
      <c r="L11" s="26">
        <v>176</v>
      </c>
      <c r="M11" s="29">
        <f t="shared" si="0"/>
        <v>0.92399999999999993</v>
      </c>
      <c r="N11" s="12">
        <f t="shared" si="1"/>
        <v>0.87999999999999989</v>
      </c>
      <c r="O11" s="12">
        <f t="shared" si="2"/>
        <v>0.25519999999999998</v>
      </c>
      <c r="P11" s="12">
        <f t="shared" si="3"/>
        <v>0.14080000000000001</v>
      </c>
      <c r="Q11" s="12">
        <f t="shared" si="4"/>
        <v>2.6399999999999996E-2</v>
      </c>
      <c r="R11" s="42">
        <f t="shared" si="5"/>
        <v>2.2263999999999999</v>
      </c>
      <c r="S11" s="56">
        <f t="shared" si="6"/>
        <v>0.41501976284584979</v>
      </c>
      <c r="T11" s="57">
        <f t="shared" si="7"/>
        <v>0.39525691699604742</v>
      </c>
      <c r="U11" s="57">
        <f t="shared" si="8"/>
        <v>0.11462450592885375</v>
      </c>
      <c r="V11" s="57">
        <f t="shared" si="9"/>
        <v>6.3241106719367585E-2</v>
      </c>
      <c r="W11" s="58">
        <f t="shared" si="10"/>
        <v>1.1857707509881422E-2</v>
      </c>
      <c r="X11" s="29">
        <f t="shared" si="13"/>
        <v>0</v>
      </c>
      <c r="Y11" s="30">
        <f t="shared" si="13"/>
        <v>-8.6177696241052398E-2</v>
      </c>
      <c r="Z11" s="30">
        <f t="shared" si="13"/>
        <v>-0.21622310846963608</v>
      </c>
      <c r="AA11" s="30">
        <f t="shared" si="13"/>
        <v>-0.75377180237638008</v>
      </c>
      <c r="AB11" s="30">
        <f>LN((I11)/(I$3))</f>
        <v>-1.8458266904983309</v>
      </c>
      <c r="AC11" s="31">
        <f t="shared" si="14"/>
        <v>-0.18034331678184878</v>
      </c>
    </row>
    <row r="12" spans="1:29" x14ac:dyDescent="0.25">
      <c r="A12" s="25">
        <v>9</v>
      </c>
      <c r="B12" s="30">
        <v>161.88333333330229</v>
      </c>
      <c r="C12" s="41">
        <v>2.5299999999999998</v>
      </c>
      <c r="D12" s="42">
        <v>13.896666666666667</v>
      </c>
      <c r="E12" s="71">
        <v>5.05</v>
      </c>
      <c r="F12" s="72">
        <v>4.5999999999999996</v>
      </c>
      <c r="G12" s="72">
        <v>1.3</v>
      </c>
      <c r="H12" s="72">
        <v>0.6</v>
      </c>
      <c r="I12" s="72">
        <v>0</v>
      </c>
      <c r="J12" s="73">
        <f t="shared" si="12"/>
        <v>11.549999999999999</v>
      </c>
      <c r="K12" s="25">
        <v>173</v>
      </c>
      <c r="L12" s="26">
        <v>173</v>
      </c>
      <c r="M12" s="29">
        <f t="shared" si="0"/>
        <v>0.87364999999999993</v>
      </c>
      <c r="N12" s="12">
        <f t="shared" si="1"/>
        <v>0.79579999999999984</v>
      </c>
      <c r="O12" s="12">
        <f t="shared" si="2"/>
        <v>0.22489999999999999</v>
      </c>
      <c r="P12" s="12">
        <f t="shared" si="3"/>
        <v>0.10379999999999999</v>
      </c>
      <c r="Q12" s="12">
        <f t="shared" si="4"/>
        <v>0</v>
      </c>
      <c r="R12" s="42">
        <f t="shared" si="5"/>
        <v>1.9981499999999996</v>
      </c>
      <c r="S12" s="56">
        <f t="shared" si="6"/>
        <v>0.43722943722943725</v>
      </c>
      <c r="T12" s="57">
        <f t="shared" si="7"/>
        <v>0.39826839826839827</v>
      </c>
      <c r="U12" s="57">
        <f t="shared" si="8"/>
        <v>0.11255411255411257</v>
      </c>
      <c r="V12" s="57">
        <f t="shared" si="9"/>
        <v>5.1948051948051951E-2</v>
      </c>
      <c r="W12" s="58">
        <f t="shared" si="10"/>
        <v>0</v>
      </c>
      <c r="X12" s="29">
        <f t="shared" si="13"/>
        <v>-3.8839833316264012E-2</v>
      </c>
      <c r="Y12" s="30">
        <f t="shared" si="13"/>
        <v>-0.16955930518010345</v>
      </c>
      <c r="Z12" s="30">
        <f t="shared" si="13"/>
        <v>-0.325422400434628</v>
      </c>
      <c r="AA12" s="30">
        <f t="shared" si="13"/>
        <v>-1.041453874828161</v>
      </c>
      <c r="AB12" s="30"/>
      <c r="AC12" s="31">
        <f t="shared" si="14"/>
        <v>-0.27131509498757561</v>
      </c>
    </row>
    <row r="13" spans="1:29" x14ac:dyDescent="0.25">
      <c r="A13" s="25">
        <v>10</v>
      </c>
      <c r="B13" s="30">
        <v>167.91666666656965</v>
      </c>
      <c r="C13" s="41">
        <v>2.5533333333333332</v>
      </c>
      <c r="D13" s="42">
        <v>14</v>
      </c>
      <c r="E13" s="71">
        <v>4.7</v>
      </c>
      <c r="F13" s="72">
        <v>4.4000000000000004</v>
      </c>
      <c r="G13" s="72">
        <v>1.2</v>
      </c>
      <c r="H13" s="72">
        <v>0.55000000000000004</v>
      </c>
      <c r="I13" s="72">
        <v>0</v>
      </c>
      <c r="J13" s="73">
        <f t="shared" si="12"/>
        <v>10.850000000000001</v>
      </c>
      <c r="K13" s="25">
        <v>170</v>
      </c>
      <c r="L13" s="26">
        <v>170</v>
      </c>
      <c r="M13" s="29">
        <f t="shared" si="0"/>
        <v>0.79900000000000004</v>
      </c>
      <c r="N13" s="12">
        <f t="shared" si="1"/>
        <v>0.74800000000000011</v>
      </c>
      <c r="O13" s="12">
        <f t="shared" si="2"/>
        <v>0.20400000000000001</v>
      </c>
      <c r="P13" s="12">
        <f t="shared" si="3"/>
        <v>9.3500000000000014E-2</v>
      </c>
      <c r="Q13" s="12">
        <f t="shared" si="4"/>
        <v>0</v>
      </c>
      <c r="R13" s="42">
        <f t="shared" si="5"/>
        <v>1.8445000000000005</v>
      </c>
      <c r="S13" s="56">
        <f t="shared" si="6"/>
        <v>0.4331797235023041</v>
      </c>
      <c r="T13" s="57">
        <f t="shared" si="7"/>
        <v>0.40552995391705066</v>
      </c>
      <c r="U13" s="57">
        <f t="shared" si="8"/>
        <v>0.1105990783410138</v>
      </c>
      <c r="V13" s="57">
        <f t="shared" si="9"/>
        <v>5.0691244239631332E-2</v>
      </c>
      <c r="W13" s="58">
        <f t="shared" si="10"/>
        <v>0</v>
      </c>
      <c r="X13" s="29">
        <f t="shared" si="13"/>
        <v>-0.11066556788751943</v>
      </c>
      <c r="Y13" s="30">
        <f t="shared" si="13"/>
        <v>-0.21401106775093717</v>
      </c>
      <c r="Z13" s="30">
        <f t="shared" si="13"/>
        <v>-0.40546510810816444</v>
      </c>
      <c r="AA13" s="30">
        <f t="shared" si="13"/>
        <v>-1.1284652518177909</v>
      </c>
      <c r="AB13" s="30"/>
      <c r="AC13" s="31">
        <f t="shared" si="14"/>
        <v>-0.3338354519689094</v>
      </c>
    </row>
    <row r="14" spans="1:29" x14ac:dyDescent="0.25">
      <c r="A14" s="25">
        <v>11</v>
      </c>
      <c r="B14" s="30">
        <v>185.85000000003492</v>
      </c>
      <c r="C14" s="41">
        <v>2.6733333333333333</v>
      </c>
      <c r="D14" s="42">
        <v>14</v>
      </c>
      <c r="E14" s="71">
        <v>4.95</v>
      </c>
      <c r="F14" s="72">
        <v>4.5</v>
      </c>
      <c r="G14" s="72">
        <v>1.25</v>
      </c>
      <c r="H14" s="72">
        <v>0.5</v>
      </c>
      <c r="I14" s="72">
        <v>0</v>
      </c>
      <c r="J14" s="73">
        <f t="shared" si="12"/>
        <v>11.2</v>
      </c>
      <c r="K14" s="25">
        <v>167</v>
      </c>
      <c r="L14" s="26">
        <v>167</v>
      </c>
      <c r="M14" s="29">
        <f t="shared" si="0"/>
        <v>0.82665000000000011</v>
      </c>
      <c r="N14" s="12">
        <f t="shared" si="1"/>
        <v>0.75150000000000006</v>
      </c>
      <c r="O14" s="12">
        <f t="shared" si="2"/>
        <v>0.20875000000000002</v>
      </c>
      <c r="P14" s="12">
        <f t="shared" si="3"/>
        <v>8.3500000000000005E-2</v>
      </c>
      <c r="Q14" s="12">
        <f t="shared" si="4"/>
        <v>0</v>
      </c>
      <c r="R14" s="42">
        <f t="shared" si="5"/>
        <v>1.8704000000000001</v>
      </c>
      <c r="S14" s="56">
        <f t="shared" si="6"/>
        <v>0.44196428571428575</v>
      </c>
      <c r="T14" s="57">
        <f t="shared" si="7"/>
        <v>0.4017857142857143</v>
      </c>
      <c r="U14" s="57">
        <f t="shared" si="8"/>
        <v>0.11160714285714286</v>
      </c>
      <c r="V14" s="57">
        <f t="shared" si="9"/>
        <v>4.4642857142857144E-2</v>
      </c>
      <c r="W14" s="58">
        <f t="shared" si="10"/>
        <v>0</v>
      </c>
      <c r="X14" s="29">
        <f t="shared" si="13"/>
        <v>-5.8840500022933465E-2</v>
      </c>
      <c r="Y14" s="30">
        <f t="shared" si="13"/>
        <v>-0.19153821189887871</v>
      </c>
      <c r="Z14" s="30">
        <f t="shared" si="13"/>
        <v>-0.3646431135879093</v>
      </c>
      <c r="AA14" s="30">
        <f t="shared" si="13"/>
        <v>-1.2237754316221157</v>
      </c>
      <c r="AB14" s="30"/>
      <c r="AC14" s="31">
        <f t="shared" si="14"/>
        <v>-0.30208675365432919</v>
      </c>
    </row>
    <row r="15" spans="1:29" x14ac:dyDescent="0.25">
      <c r="A15" s="25">
        <v>12</v>
      </c>
      <c r="B15" s="30">
        <v>191.91666666656965</v>
      </c>
      <c r="C15" s="41">
        <v>2.6333333333333333</v>
      </c>
      <c r="D15" s="42">
        <v>13.92</v>
      </c>
      <c r="E15" s="71">
        <v>4.8499999999999996</v>
      </c>
      <c r="F15" s="72">
        <v>4.5</v>
      </c>
      <c r="G15" s="72">
        <v>1.2</v>
      </c>
      <c r="H15" s="72">
        <v>0.5</v>
      </c>
      <c r="I15" s="72">
        <v>0</v>
      </c>
      <c r="J15" s="73">
        <f t="shared" si="12"/>
        <v>11.049999999999999</v>
      </c>
      <c r="K15" s="25">
        <v>164</v>
      </c>
      <c r="L15" s="26">
        <v>164</v>
      </c>
      <c r="M15" s="29">
        <f t="shared" si="0"/>
        <v>0.7954</v>
      </c>
      <c r="N15" s="12">
        <f t="shared" si="1"/>
        <v>0.73799999999999999</v>
      </c>
      <c r="O15" s="12">
        <f t="shared" si="2"/>
        <v>0.1968</v>
      </c>
      <c r="P15" s="12">
        <f t="shared" si="3"/>
        <v>8.2000000000000003E-2</v>
      </c>
      <c r="Q15" s="12">
        <f t="shared" si="4"/>
        <v>0</v>
      </c>
      <c r="R15" s="42">
        <f t="shared" si="5"/>
        <v>1.8121999999999998</v>
      </c>
      <c r="S15" s="56">
        <f t="shared" si="6"/>
        <v>0.43891402714932126</v>
      </c>
      <c r="T15" s="57">
        <f t="shared" si="7"/>
        <v>0.40723981900452494</v>
      </c>
      <c r="U15" s="57">
        <f t="shared" si="8"/>
        <v>0.10859728506787331</v>
      </c>
      <c r="V15" s="57">
        <f t="shared" si="9"/>
        <v>4.5248868778280549E-2</v>
      </c>
      <c r="W15" s="58">
        <f t="shared" si="10"/>
        <v>0</v>
      </c>
      <c r="X15" s="29">
        <f t="shared" si="13"/>
        <v>-7.9249371654140616E-2</v>
      </c>
      <c r="Y15" s="30">
        <f t="shared" si="13"/>
        <v>-0.19153821189887871</v>
      </c>
      <c r="Z15" s="30">
        <f t="shared" si="13"/>
        <v>-0.40546510810816444</v>
      </c>
      <c r="AA15" s="30">
        <f t="shared" si="13"/>
        <v>-1.2237754316221157</v>
      </c>
      <c r="AB15" s="30"/>
      <c r="AC15" s="31">
        <f t="shared" si="14"/>
        <v>-0.31557010399161639</v>
      </c>
    </row>
    <row r="16" spans="1:29" x14ac:dyDescent="0.25">
      <c r="A16" s="38">
        <v>13</v>
      </c>
      <c r="B16" s="34">
        <v>209.28333333326736</v>
      </c>
      <c r="C16" s="43">
        <v>2.64</v>
      </c>
      <c r="D16" s="44">
        <v>13.826666666666668</v>
      </c>
      <c r="E16" s="74">
        <v>4.8</v>
      </c>
      <c r="F16" s="75">
        <v>4.5</v>
      </c>
      <c r="G16" s="75">
        <v>1.2</v>
      </c>
      <c r="H16" s="75">
        <v>0.45</v>
      </c>
      <c r="I16" s="75">
        <v>0</v>
      </c>
      <c r="J16" s="76">
        <f t="shared" si="12"/>
        <v>10.95</v>
      </c>
      <c r="K16" s="38">
        <v>161</v>
      </c>
      <c r="L16" s="40">
        <v>161</v>
      </c>
      <c r="M16" s="33">
        <f t="shared" si="0"/>
        <v>0.77280000000000004</v>
      </c>
      <c r="N16" s="67">
        <f t="shared" si="1"/>
        <v>0.72450000000000003</v>
      </c>
      <c r="O16" s="67">
        <f t="shared" si="2"/>
        <v>0.19320000000000001</v>
      </c>
      <c r="P16" s="67">
        <f t="shared" si="3"/>
        <v>7.2450000000000001E-2</v>
      </c>
      <c r="Q16" s="67">
        <f t="shared" si="4"/>
        <v>0</v>
      </c>
      <c r="R16" s="44">
        <f t="shared" si="5"/>
        <v>1.76295</v>
      </c>
      <c r="S16" s="59">
        <f t="shared" si="6"/>
        <v>0.43835616438356168</v>
      </c>
      <c r="T16" s="60">
        <f t="shared" si="7"/>
        <v>0.41095890410958907</v>
      </c>
      <c r="U16" s="60">
        <f t="shared" si="8"/>
        <v>0.10958904109589042</v>
      </c>
      <c r="V16" s="60">
        <f t="shared" si="9"/>
        <v>4.1095890410958909E-2</v>
      </c>
      <c r="W16" s="61">
        <f t="shared" si="10"/>
        <v>0</v>
      </c>
      <c r="X16" s="33">
        <f t="shared" si="13"/>
        <v>-8.9612158689687166E-2</v>
      </c>
      <c r="Y16" s="34">
        <f t="shared" si="13"/>
        <v>-0.19153821189887871</v>
      </c>
      <c r="Z16" s="34">
        <f t="shared" si="13"/>
        <v>-0.40546510810816444</v>
      </c>
      <c r="AA16" s="34">
        <f t="shared" si="13"/>
        <v>-1.329135947279942</v>
      </c>
      <c r="AB16" s="34"/>
      <c r="AC16" s="35">
        <f t="shared" si="14"/>
        <v>-0.32466107569286834</v>
      </c>
    </row>
    <row r="19" spans="2:29" x14ac:dyDescent="0.25">
      <c r="D19" s="36" t="s">
        <v>164</v>
      </c>
      <c r="E19" s="27">
        <f t="shared" ref="E19:J19" si="15">(E3*($K$3/1000))/(($K$3+$L$3)/1000)</f>
        <v>2.625</v>
      </c>
      <c r="F19" s="27">
        <f t="shared" si="15"/>
        <v>2.7250000000000001</v>
      </c>
      <c r="G19" s="27">
        <f t="shared" si="15"/>
        <v>0.9</v>
      </c>
      <c r="H19" s="27">
        <f t="shared" si="15"/>
        <v>0.85</v>
      </c>
      <c r="I19" s="27">
        <f t="shared" si="15"/>
        <v>0.47499999999999998</v>
      </c>
      <c r="J19" s="27">
        <f t="shared" si="15"/>
        <v>7.5749999999999993</v>
      </c>
      <c r="W19" t="s">
        <v>45</v>
      </c>
      <c r="X19" s="24">
        <f>-SLOPE(X3:X16,$B$3:$B$16)</f>
        <v>4.1521722581041605E-4</v>
      </c>
      <c r="Y19" s="24">
        <f t="shared" ref="Y19:AC19" si="16">-SLOPE(Y3:Y16,$B$3:$B$16)</f>
        <v>9.6850400479757295E-4</v>
      </c>
      <c r="Z19" s="24">
        <f t="shared" si="16"/>
        <v>2.0302352276618234E-3</v>
      </c>
      <c r="AA19" s="24">
        <f t="shared" si="16"/>
        <v>5.8572914113882721E-3</v>
      </c>
      <c r="AB19" s="24">
        <f t="shared" si="16"/>
        <v>2.0062155464773176E-2</v>
      </c>
      <c r="AC19" s="24">
        <f t="shared" si="16"/>
        <v>1.4219173226460398E-3</v>
      </c>
    </row>
    <row r="20" spans="2:29" x14ac:dyDescent="0.25">
      <c r="W20" t="s">
        <v>43</v>
      </c>
      <c r="X20" s="24">
        <f>(CORREL(X3:X16,$B$3:$B$16))^2</f>
        <v>0.63347006850306464</v>
      </c>
      <c r="Y20" s="24">
        <f t="shared" ref="Y20:AC20" si="17">(CORREL(Y3:Y16,$B$3:$B$16))^2</f>
        <v>0.94193711443071981</v>
      </c>
      <c r="Z20" s="24">
        <f t="shared" si="17"/>
        <v>0.97327326607088915</v>
      </c>
      <c r="AA20" s="24">
        <f t="shared" si="17"/>
        <v>0.98128053472817744</v>
      </c>
      <c r="AB20" s="24">
        <f t="shared" si="17"/>
        <v>0.89837334690212678</v>
      </c>
      <c r="AC20" s="24">
        <f t="shared" si="17"/>
        <v>0.94077881054644896</v>
      </c>
    </row>
    <row r="21" spans="2:29" x14ac:dyDescent="0.25">
      <c r="B21" s="27"/>
      <c r="C21" s="27"/>
      <c r="D21" s="82"/>
      <c r="E21" s="37"/>
      <c r="F21" s="37"/>
      <c r="G21" s="37"/>
      <c r="H21" s="37"/>
      <c r="I21" s="37"/>
      <c r="J21" s="37"/>
      <c r="K21" s="27"/>
      <c r="L21" s="27"/>
      <c r="M21" s="27"/>
      <c r="N21" s="27"/>
      <c r="O21" s="27"/>
      <c r="W21" t="s">
        <v>46</v>
      </c>
      <c r="X21" s="62">
        <f>(X19*($K$3/1000000))/Constants!$K$8</f>
        <v>1.412357819710532E-5</v>
      </c>
      <c r="Y21" s="62">
        <f>(Y19*($K$3/1000000))/Constants!$K$8</f>
        <v>3.2943580361508796E-5</v>
      </c>
      <c r="Z21" s="62">
        <f>(Z19*($K$3/1000000))/Constants!$K$8</f>
        <v>6.9058276521244381E-5</v>
      </c>
      <c r="AA21" s="62">
        <f>(AA19*($K$3/1000000))/Constants!$K$8</f>
        <v>1.992352632059332E-4</v>
      </c>
      <c r="AB21" s="62">
        <f>(AB19*($K$3/1000000))/Constants!$K$8</f>
        <v>6.8241249133190395E-4</v>
      </c>
      <c r="AC21" s="62">
        <f>(AC19*($K$3/1000000))/Constants!$K$8</f>
        <v>4.8366395341650568E-5</v>
      </c>
    </row>
    <row r="22" spans="2:29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W22" t="s">
        <v>47</v>
      </c>
      <c r="X22" s="62">
        <f>X21/3600</f>
        <v>3.9232161658625887E-9</v>
      </c>
      <c r="Y22" s="62">
        <f t="shared" ref="Y22:AC22" si="18">Y21/3600</f>
        <v>9.1509945448635553E-9</v>
      </c>
      <c r="Z22" s="62">
        <f t="shared" si="18"/>
        <v>1.9182854589234549E-8</v>
      </c>
      <c r="AA22" s="62">
        <f t="shared" si="18"/>
        <v>5.5343128668314781E-8</v>
      </c>
      <c r="AB22" s="62">
        <f t="shared" si="18"/>
        <v>1.8955902536997332E-7</v>
      </c>
      <c r="AC22" s="62">
        <f t="shared" si="18"/>
        <v>1.3435109817125158E-8</v>
      </c>
    </row>
    <row r="23" spans="2:29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W23" s="1" t="s">
        <v>64</v>
      </c>
      <c r="X23" s="65">
        <f>X22*10^6</f>
        <v>3.9232161658625886E-3</v>
      </c>
      <c r="Y23" s="65">
        <f t="shared" ref="Y23:AB23" si="19">Y22*10^6</f>
        <v>9.1509945448635544E-3</v>
      </c>
      <c r="Z23" s="65">
        <f t="shared" si="19"/>
        <v>1.9182854589234549E-2</v>
      </c>
      <c r="AA23" s="65">
        <f t="shared" si="19"/>
        <v>5.5343128668314784E-2</v>
      </c>
      <c r="AB23" s="65">
        <f t="shared" si="19"/>
        <v>0.18955902536997332</v>
      </c>
      <c r="AC23" s="65">
        <f>AC22*10^6</f>
        <v>1.3435109817125158E-2</v>
      </c>
    </row>
    <row r="25" spans="2:29" x14ac:dyDescent="0.25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2:29" x14ac:dyDescent="0.2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8">
    <mergeCell ref="X1:AC1"/>
    <mergeCell ref="K1:L1"/>
    <mergeCell ref="M1:R1"/>
    <mergeCell ref="S1:W1"/>
    <mergeCell ref="A1:A2"/>
    <mergeCell ref="B1:B2"/>
    <mergeCell ref="C1:D1"/>
    <mergeCell ref="E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26"/>
  <sheetViews>
    <sheetView workbookViewId="0">
      <selection sqref="A1:A2"/>
    </sheetView>
  </sheetViews>
  <sheetFormatPr defaultRowHeight="15" x14ac:dyDescent="0.25"/>
  <cols>
    <col min="4" max="4" width="9.85546875" bestFit="1" customWidth="1"/>
  </cols>
  <sheetData>
    <row r="1" spans="1:29" s="3" customFormat="1" x14ac:dyDescent="0.25">
      <c r="A1" s="269" t="s">
        <v>31</v>
      </c>
      <c r="B1" s="269" t="s">
        <v>32</v>
      </c>
      <c r="C1" s="273" t="s">
        <v>8</v>
      </c>
      <c r="D1" s="271"/>
      <c r="E1" s="273" t="s">
        <v>34</v>
      </c>
      <c r="F1" s="274"/>
      <c r="G1" s="274"/>
      <c r="H1" s="274"/>
      <c r="I1" s="274"/>
      <c r="J1" s="271"/>
      <c r="K1" s="273" t="s">
        <v>35</v>
      </c>
      <c r="L1" s="271"/>
      <c r="M1" s="273" t="s">
        <v>36</v>
      </c>
      <c r="N1" s="274"/>
      <c r="O1" s="274"/>
      <c r="P1" s="274"/>
      <c r="Q1" s="274"/>
      <c r="R1" s="271"/>
      <c r="S1" s="273" t="s">
        <v>44</v>
      </c>
      <c r="T1" s="274"/>
      <c r="U1" s="274"/>
      <c r="V1" s="274"/>
      <c r="W1" s="271"/>
      <c r="X1" s="273" t="s">
        <v>74</v>
      </c>
      <c r="Y1" s="274"/>
      <c r="Z1" s="274"/>
      <c r="AA1" s="274"/>
      <c r="AB1" s="274"/>
      <c r="AC1" s="271"/>
    </row>
    <row r="2" spans="1:29" s="3" customFormat="1" x14ac:dyDescent="0.25">
      <c r="A2" s="270"/>
      <c r="B2" s="270"/>
      <c r="C2" s="38" t="s">
        <v>37</v>
      </c>
      <c r="D2" s="40" t="s">
        <v>38</v>
      </c>
      <c r="E2" s="38" t="s">
        <v>39</v>
      </c>
      <c r="F2" s="39" t="s">
        <v>66</v>
      </c>
      <c r="G2" s="39" t="s">
        <v>40</v>
      </c>
      <c r="H2" s="39" t="s">
        <v>65</v>
      </c>
      <c r="I2" s="39" t="s">
        <v>67</v>
      </c>
      <c r="J2" s="40" t="s">
        <v>23</v>
      </c>
      <c r="K2" s="38" t="s">
        <v>42</v>
      </c>
      <c r="L2" s="40" t="s">
        <v>38</v>
      </c>
      <c r="M2" s="38" t="s">
        <v>39</v>
      </c>
      <c r="N2" s="39" t="s">
        <v>66</v>
      </c>
      <c r="O2" s="39" t="s">
        <v>40</v>
      </c>
      <c r="P2" s="39" t="s">
        <v>65</v>
      </c>
      <c r="Q2" s="39" t="s">
        <v>67</v>
      </c>
      <c r="R2" s="40" t="s">
        <v>23</v>
      </c>
      <c r="S2" s="38" t="s">
        <v>39</v>
      </c>
      <c r="T2" s="39" t="s">
        <v>66</v>
      </c>
      <c r="U2" s="39" t="s">
        <v>40</v>
      </c>
      <c r="V2" s="39" t="s">
        <v>65</v>
      </c>
      <c r="W2" s="39" t="s">
        <v>67</v>
      </c>
      <c r="X2" s="38" t="s">
        <v>39</v>
      </c>
      <c r="Y2" s="39" t="s">
        <v>66</v>
      </c>
      <c r="Z2" s="39" t="s">
        <v>40</v>
      </c>
      <c r="AA2" s="39" t="s">
        <v>65</v>
      </c>
      <c r="AB2" s="39" t="s">
        <v>67</v>
      </c>
      <c r="AC2" s="40" t="s">
        <v>23</v>
      </c>
    </row>
    <row r="3" spans="1:29" x14ac:dyDescent="0.25">
      <c r="A3" s="25">
        <v>0</v>
      </c>
      <c r="B3" s="30">
        <v>0</v>
      </c>
      <c r="C3" s="41">
        <v>2.5299999999999998</v>
      </c>
      <c r="D3" s="42">
        <v>14.026666666666666</v>
      </c>
      <c r="E3" s="159">
        <v>5.0999999999999996</v>
      </c>
      <c r="F3" s="69">
        <v>5.4</v>
      </c>
      <c r="G3" s="69">
        <v>1.75</v>
      </c>
      <c r="H3" s="69">
        <v>1.65</v>
      </c>
      <c r="I3" s="69">
        <v>0.9</v>
      </c>
      <c r="J3" s="160">
        <v>14.8</v>
      </c>
      <c r="K3" s="29">
        <v>200</v>
      </c>
      <c r="L3" s="31">
        <v>200</v>
      </c>
      <c r="M3" s="68">
        <f t="shared" ref="M3:R6" si="0">E3*($K3/1000)</f>
        <v>1.02</v>
      </c>
      <c r="N3" s="69">
        <f t="shared" si="0"/>
        <v>1.08</v>
      </c>
      <c r="O3" s="69">
        <f t="shared" si="0"/>
        <v>0.35000000000000003</v>
      </c>
      <c r="P3" s="69">
        <f t="shared" si="0"/>
        <v>0.33</v>
      </c>
      <c r="Q3" s="69">
        <f t="shared" si="0"/>
        <v>0.18000000000000002</v>
      </c>
      <c r="R3" s="70">
        <f t="shared" si="0"/>
        <v>2.9600000000000004</v>
      </c>
      <c r="S3" s="56">
        <f t="shared" ref="S3:W6" si="1">E3/$J3</f>
        <v>0.34459459459459457</v>
      </c>
      <c r="T3" s="57">
        <f t="shared" si="1"/>
        <v>0.36486486486486486</v>
      </c>
      <c r="U3" s="57">
        <f t="shared" si="1"/>
        <v>0.11824324324324324</v>
      </c>
      <c r="V3" s="57">
        <f t="shared" si="1"/>
        <v>0.11148648648648647</v>
      </c>
      <c r="W3" s="58">
        <f t="shared" si="1"/>
        <v>6.0810810810810807E-2</v>
      </c>
      <c r="X3" s="29">
        <f t="shared" ref="X3:AC6" si="2">LN((E3)/(E$3))</f>
        <v>0</v>
      </c>
      <c r="Y3" s="30">
        <f t="shared" si="2"/>
        <v>0</v>
      </c>
      <c r="Z3" s="30">
        <f t="shared" si="2"/>
        <v>0</v>
      </c>
      <c r="AA3" s="30">
        <f t="shared" si="2"/>
        <v>0</v>
      </c>
      <c r="AB3" s="30">
        <f t="shared" si="2"/>
        <v>0</v>
      </c>
      <c r="AC3" s="31">
        <f t="shared" si="2"/>
        <v>0</v>
      </c>
    </row>
    <row r="4" spans="1:29" x14ac:dyDescent="0.25">
      <c r="A4" s="25">
        <v>1</v>
      </c>
      <c r="B4" s="30">
        <v>16.866666666639503</v>
      </c>
      <c r="C4" s="41">
        <v>2.5533333333333332</v>
      </c>
      <c r="D4" s="42">
        <v>13.959999999999999</v>
      </c>
      <c r="E4" s="41">
        <v>4.95</v>
      </c>
      <c r="F4" s="12">
        <v>5</v>
      </c>
      <c r="G4" s="12">
        <v>1.6</v>
      </c>
      <c r="H4" s="12">
        <v>1.25</v>
      </c>
      <c r="I4" s="12">
        <v>0.45</v>
      </c>
      <c r="J4" s="73">
        <v>13.249999999999998</v>
      </c>
      <c r="K4" s="29">
        <v>197</v>
      </c>
      <c r="L4" s="31">
        <v>197</v>
      </c>
      <c r="M4" s="29">
        <f t="shared" si="0"/>
        <v>0.97515000000000007</v>
      </c>
      <c r="N4" s="12">
        <f t="shared" si="0"/>
        <v>0.9850000000000001</v>
      </c>
      <c r="O4" s="12">
        <f t="shared" si="0"/>
        <v>0.31520000000000004</v>
      </c>
      <c r="P4" s="12">
        <f t="shared" si="0"/>
        <v>0.24625000000000002</v>
      </c>
      <c r="Q4" s="12">
        <f t="shared" si="0"/>
        <v>8.8650000000000007E-2</v>
      </c>
      <c r="R4" s="42">
        <f t="shared" si="0"/>
        <v>2.6102499999999997</v>
      </c>
      <c r="S4" s="56">
        <f t="shared" si="1"/>
        <v>0.37358490566037744</v>
      </c>
      <c r="T4" s="57">
        <f t="shared" si="1"/>
        <v>0.37735849056603776</v>
      </c>
      <c r="U4" s="57">
        <f t="shared" si="1"/>
        <v>0.1207547169811321</v>
      </c>
      <c r="V4" s="57">
        <f t="shared" si="1"/>
        <v>9.4339622641509441E-2</v>
      </c>
      <c r="W4" s="58">
        <f t="shared" si="1"/>
        <v>3.3962264150943403E-2</v>
      </c>
      <c r="X4" s="29">
        <f t="shared" si="2"/>
        <v>-2.9852963149681045E-2</v>
      </c>
      <c r="Y4" s="30">
        <f t="shared" si="2"/>
        <v>-7.6961041136128436E-2</v>
      </c>
      <c r="Z4" s="30">
        <f t="shared" si="2"/>
        <v>-8.9612158689687041E-2</v>
      </c>
      <c r="AA4" s="30">
        <f t="shared" si="2"/>
        <v>-0.2776317365982795</v>
      </c>
      <c r="AB4" s="30">
        <f t="shared" si="2"/>
        <v>-0.69314718055994529</v>
      </c>
      <c r="AC4" s="31">
        <f t="shared" si="2"/>
        <v>-0.11062962833783839</v>
      </c>
    </row>
    <row r="5" spans="1:29" s="230" customFormat="1" x14ac:dyDescent="0.25">
      <c r="A5" s="241">
        <v>2</v>
      </c>
      <c r="B5" s="240">
        <v>23.933333333290648</v>
      </c>
      <c r="C5" s="242">
        <v>2.5566666666666666</v>
      </c>
      <c r="D5" s="244">
        <v>13.89</v>
      </c>
      <c r="E5" s="242">
        <v>4.45</v>
      </c>
      <c r="F5" s="243">
        <v>4.5999999999999996</v>
      </c>
      <c r="G5" s="243">
        <v>1.5</v>
      </c>
      <c r="H5" s="243">
        <v>1.1499999999999999</v>
      </c>
      <c r="I5" s="243">
        <v>0.4</v>
      </c>
      <c r="J5" s="244">
        <v>12.100000000000001</v>
      </c>
      <c r="K5" s="250">
        <v>194</v>
      </c>
      <c r="L5" s="251">
        <v>194</v>
      </c>
      <c r="M5" s="246">
        <f t="shared" si="0"/>
        <v>0.86330000000000007</v>
      </c>
      <c r="N5" s="245">
        <f t="shared" si="0"/>
        <v>0.89239999999999997</v>
      </c>
      <c r="O5" s="245">
        <f t="shared" si="0"/>
        <v>0.29100000000000004</v>
      </c>
      <c r="P5" s="245">
        <f t="shared" si="0"/>
        <v>0.22309999999999999</v>
      </c>
      <c r="Q5" s="245">
        <f t="shared" si="0"/>
        <v>7.7600000000000002E-2</v>
      </c>
      <c r="R5" s="249">
        <f t="shared" si="0"/>
        <v>2.3474000000000004</v>
      </c>
      <c r="S5" s="252">
        <f t="shared" si="1"/>
        <v>0.36776859504132231</v>
      </c>
      <c r="T5" s="253">
        <f t="shared" si="1"/>
        <v>0.38016528925619825</v>
      </c>
      <c r="U5" s="253">
        <f t="shared" si="1"/>
        <v>0.12396694214876032</v>
      </c>
      <c r="V5" s="253">
        <f t="shared" si="1"/>
        <v>9.5041322314049562E-2</v>
      </c>
      <c r="W5" s="254">
        <f t="shared" si="1"/>
        <v>3.3057851239669422E-2</v>
      </c>
      <c r="X5" s="246">
        <f t="shared" si="2"/>
        <v>-0.13633644355213109</v>
      </c>
      <c r="Y5" s="247">
        <f t="shared" si="2"/>
        <v>-0.1603426500751795</v>
      </c>
      <c r="Z5" s="247">
        <f t="shared" si="2"/>
        <v>-0.15415067982725836</v>
      </c>
      <c r="AA5" s="247">
        <f t="shared" si="2"/>
        <v>-0.36101334553733061</v>
      </c>
      <c r="AB5" s="247">
        <f t="shared" si="2"/>
        <v>-0.81093021621632866</v>
      </c>
      <c r="AC5" s="248">
        <f t="shared" si="2"/>
        <v>-0.20142172816737386</v>
      </c>
    </row>
    <row r="6" spans="1:29" x14ac:dyDescent="0.25">
      <c r="A6" s="231">
        <v>3</v>
      </c>
      <c r="B6" s="233">
        <v>40.866666666639503</v>
      </c>
      <c r="C6" s="41">
        <v>2.6433333333333331</v>
      </c>
      <c r="D6" s="42">
        <v>13.783333333333331</v>
      </c>
      <c r="E6" s="41">
        <v>5.0999999999999996</v>
      </c>
      <c r="F6" s="12">
        <v>5.0999999999999996</v>
      </c>
      <c r="G6" s="12">
        <v>1.65</v>
      </c>
      <c r="H6" s="12">
        <v>1.1499999999999999</v>
      </c>
      <c r="I6" s="12">
        <v>0.3</v>
      </c>
      <c r="J6" s="73">
        <v>13.3</v>
      </c>
      <c r="K6" s="29">
        <v>191</v>
      </c>
      <c r="L6" s="31">
        <v>191</v>
      </c>
      <c r="M6" s="29">
        <f t="shared" si="0"/>
        <v>0.97409999999999997</v>
      </c>
      <c r="N6" s="12">
        <f t="shared" si="0"/>
        <v>0.97409999999999997</v>
      </c>
      <c r="O6" s="12">
        <f t="shared" si="0"/>
        <v>0.31514999999999999</v>
      </c>
      <c r="P6" s="12">
        <f t="shared" si="0"/>
        <v>0.21964999999999998</v>
      </c>
      <c r="Q6" s="12">
        <f t="shared" si="0"/>
        <v>5.7299999999999997E-2</v>
      </c>
      <c r="R6" s="42">
        <f t="shared" si="0"/>
        <v>2.5403000000000002</v>
      </c>
      <c r="S6" s="56">
        <f t="shared" si="1"/>
        <v>0.38345864661654133</v>
      </c>
      <c r="T6" s="57">
        <f t="shared" si="1"/>
        <v>0.38345864661654133</v>
      </c>
      <c r="U6" s="57">
        <f t="shared" si="1"/>
        <v>0.12406015037593984</v>
      </c>
      <c r="V6" s="57">
        <f t="shared" si="1"/>
        <v>8.646616541353383E-2</v>
      </c>
      <c r="W6" s="58">
        <f t="shared" si="1"/>
        <v>2.2556390977443608E-2</v>
      </c>
      <c r="X6" s="29">
        <f t="shared" si="2"/>
        <v>0</v>
      </c>
      <c r="Y6" s="30">
        <f t="shared" si="2"/>
        <v>-5.7158413839948755E-2</v>
      </c>
      <c r="Z6" s="30">
        <f t="shared" si="2"/>
        <v>-5.8840500022933465E-2</v>
      </c>
      <c r="AA6" s="30">
        <f t="shared" si="2"/>
        <v>-0.36101334553733061</v>
      </c>
      <c r="AB6" s="30">
        <f t="shared" si="2"/>
        <v>-1.0986122886681098</v>
      </c>
      <c r="AC6" s="31">
        <f t="shared" si="2"/>
        <v>-0.10686314554236126</v>
      </c>
    </row>
    <row r="7" spans="1:29" x14ac:dyDescent="0.25">
      <c r="A7" s="25">
        <v>4</v>
      </c>
      <c r="B7" s="30">
        <v>48.216666666674428</v>
      </c>
      <c r="C7" s="41">
        <v>2.6300000000000003</v>
      </c>
      <c r="D7" s="42">
        <v>13.86</v>
      </c>
      <c r="E7" s="41"/>
      <c r="F7" s="12"/>
      <c r="G7" s="12"/>
      <c r="H7" s="12"/>
      <c r="I7" s="12"/>
      <c r="J7" s="73"/>
      <c r="K7" s="29">
        <v>188</v>
      </c>
      <c r="L7" s="31">
        <v>188</v>
      </c>
      <c r="M7" s="29"/>
      <c r="N7" s="12"/>
      <c r="O7" s="12"/>
      <c r="P7" s="12"/>
      <c r="Q7" s="12"/>
      <c r="R7" s="42"/>
      <c r="S7" s="56"/>
      <c r="T7" s="57"/>
      <c r="U7" s="57"/>
      <c r="V7" s="57"/>
      <c r="W7" s="58"/>
      <c r="X7" s="29"/>
      <c r="Y7" s="30"/>
      <c r="Z7" s="30"/>
      <c r="AA7" s="30"/>
      <c r="AB7" s="30"/>
      <c r="AC7" s="31"/>
    </row>
    <row r="8" spans="1:29" x14ac:dyDescent="0.25">
      <c r="A8" s="25">
        <v>5</v>
      </c>
      <c r="B8" s="30">
        <v>65.083333333313931</v>
      </c>
      <c r="C8" s="41">
        <v>1.8833333333333335</v>
      </c>
      <c r="D8" s="42">
        <v>13.863333333333332</v>
      </c>
      <c r="E8" s="41">
        <v>5.0999999999999996</v>
      </c>
      <c r="F8" s="12">
        <v>5</v>
      </c>
      <c r="G8" s="12">
        <v>1.55</v>
      </c>
      <c r="H8" s="12">
        <v>1</v>
      </c>
      <c r="I8" s="12">
        <v>0.2</v>
      </c>
      <c r="J8" s="73">
        <v>12.85</v>
      </c>
      <c r="K8" s="29">
        <v>185</v>
      </c>
      <c r="L8" s="31">
        <v>185</v>
      </c>
      <c r="M8" s="29">
        <f t="shared" ref="M8:M16" si="3">E8*($K8/1000)</f>
        <v>0.94349999999999989</v>
      </c>
      <c r="N8" s="12">
        <f t="shared" ref="N8:N16" si="4">F8*($K8/1000)</f>
        <v>0.92500000000000004</v>
      </c>
      <c r="O8" s="12">
        <f t="shared" ref="O8:O16" si="5">G8*($K8/1000)</f>
        <v>0.28675</v>
      </c>
      <c r="P8" s="12">
        <f t="shared" ref="P8:P16" si="6">H8*($K8/1000)</f>
        <v>0.185</v>
      </c>
      <c r="Q8" s="12">
        <f t="shared" ref="Q8:Q16" si="7">I8*($K8/1000)</f>
        <v>3.6999999999999998E-2</v>
      </c>
      <c r="R8" s="42">
        <f t="shared" ref="R8:R16" si="8">J8*($K8/1000)</f>
        <v>2.3772500000000001</v>
      </c>
      <c r="S8" s="56">
        <f t="shared" ref="S8:S16" si="9">E8/$J8</f>
        <v>0.39688715953307391</v>
      </c>
      <c r="T8" s="57">
        <f t="shared" ref="T8:T16" si="10">F8/$J8</f>
        <v>0.38910505836575876</v>
      </c>
      <c r="U8" s="57">
        <f t="shared" ref="U8:U16" si="11">G8/$J8</f>
        <v>0.12062256809338522</v>
      </c>
      <c r="V8" s="57">
        <f t="shared" ref="V8:V16" si="12">H8/$J8</f>
        <v>7.7821011673151752E-2</v>
      </c>
      <c r="W8" s="58">
        <f t="shared" ref="W8:W16" si="13">I8/$J8</f>
        <v>1.5564202334630352E-2</v>
      </c>
      <c r="X8" s="29">
        <f t="shared" ref="X8:AC9" si="14">LN((E8)/(E$3))</f>
        <v>0</v>
      </c>
      <c r="Y8" s="30">
        <f t="shared" si="14"/>
        <v>-7.6961041136128436E-2</v>
      </c>
      <c r="Z8" s="30">
        <f t="shared" si="14"/>
        <v>-0.12136085700426735</v>
      </c>
      <c r="AA8" s="30">
        <f t="shared" si="14"/>
        <v>-0.50077528791248926</v>
      </c>
      <c r="AB8" s="30">
        <f t="shared" si="14"/>
        <v>-1.5040773967762739</v>
      </c>
      <c r="AC8" s="31">
        <f t="shared" si="14"/>
        <v>-0.14128336942884062</v>
      </c>
    </row>
    <row r="9" spans="1:29" x14ac:dyDescent="0.25">
      <c r="A9" s="25">
        <v>6</v>
      </c>
      <c r="B9" s="30">
        <v>72.18333333323244</v>
      </c>
      <c r="C9" s="41">
        <v>2.5433333333333334</v>
      </c>
      <c r="D9" s="42">
        <v>13.846666666666666</v>
      </c>
      <c r="E9" s="41">
        <v>5.0999999999999996</v>
      </c>
      <c r="F9" s="12">
        <v>4.95</v>
      </c>
      <c r="G9" s="12">
        <v>1.5</v>
      </c>
      <c r="H9" s="12">
        <v>0.9</v>
      </c>
      <c r="I9" s="12">
        <v>0.15</v>
      </c>
      <c r="J9" s="73">
        <v>12.600000000000001</v>
      </c>
      <c r="K9" s="29">
        <v>182</v>
      </c>
      <c r="L9" s="31">
        <v>182</v>
      </c>
      <c r="M9" s="29">
        <f t="shared" si="3"/>
        <v>0.92819999999999991</v>
      </c>
      <c r="N9" s="12">
        <f t="shared" si="4"/>
        <v>0.90090000000000003</v>
      </c>
      <c r="O9" s="12">
        <f t="shared" si="5"/>
        <v>0.27300000000000002</v>
      </c>
      <c r="P9" s="12">
        <f t="shared" si="6"/>
        <v>0.1638</v>
      </c>
      <c r="Q9" s="12">
        <f t="shared" si="7"/>
        <v>2.7299999999999998E-2</v>
      </c>
      <c r="R9" s="42">
        <f t="shared" si="8"/>
        <v>2.2932000000000001</v>
      </c>
      <c r="S9" s="56">
        <f t="shared" si="9"/>
        <v>0.40476190476190471</v>
      </c>
      <c r="T9" s="57">
        <f t="shared" si="10"/>
        <v>0.39285714285714285</v>
      </c>
      <c r="U9" s="57">
        <f t="shared" si="11"/>
        <v>0.11904761904761904</v>
      </c>
      <c r="V9" s="57">
        <f t="shared" si="12"/>
        <v>7.1428571428571425E-2</v>
      </c>
      <c r="W9" s="58">
        <f t="shared" si="13"/>
        <v>1.1904761904761902E-2</v>
      </c>
      <c r="X9" s="29">
        <f t="shared" si="14"/>
        <v>0</v>
      </c>
      <c r="Y9" s="30">
        <f t="shared" si="14"/>
        <v>-8.701137698962981E-2</v>
      </c>
      <c r="Z9" s="30">
        <f t="shared" si="14"/>
        <v>-0.15415067982725836</v>
      </c>
      <c r="AA9" s="30">
        <f t="shared" si="14"/>
        <v>-0.60613580357031538</v>
      </c>
      <c r="AB9" s="30">
        <f t="shared" si="14"/>
        <v>-1.791759469228055</v>
      </c>
      <c r="AC9" s="31">
        <f t="shared" si="14"/>
        <v>-0.16093036681263698</v>
      </c>
    </row>
    <row r="10" spans="1:29" x14ac:dyDescent="0.25">
      <c r="A10" s="25">
        <v>7</v>
      </c>
      <c r="B10" s="30">
        <v>89.216666666732635</v>
      </c>
      <c r="C10" s="41">
        <v>2.5333333333333332</v>
      </c>
      <c r="D10" s="42">
        <v>13.88</v>
      </c>
      <c r="E10" s="41">
        <v>4.7</v>
      </c>
      <c r="F10" s="12">
        <v>4.5999999999999996</v>
      </c>
      <c r="G10" s="12">
        <v>1.35</v>
      </c>
      <c r="H10" s="12">
        <v>0.8</v>
      </c>
      <c r="I10" s="12">
        <v>0</v>
      </c>
      <c r="J10" s="73">
        <v>11.450000000000001</v>
      </c>
      <c r="K10" s="29">
        <v>179</v>
      </c>
      <c r="L10" s="31">
        <v>179</v>
      </c>
      <c r="M10" s="29">
        <f t="shared" si="3"/>
        <v>0.84130000000000005</v>
      </c>
      <c r="N10" s="12">
        <f t="shared" si="4"/>
        <v>0.82339999999999991</v>
      </c>
      <c r="O10" s="12">
        <f t="shared" si="5"/>
        <v>0.24165</v>
      </c>
      <c r="P10" s="12">
        <f t="shared" si="6"/>
        <v>0.14319999999999999</v>
      </c>
      <c r="Q10" s="12">
        <f t="shared" si="7"/>
        <v>0</v>
      </c>
      <c r="R10" s="42">
        <f t="shared" si="8"/>
        <v>2.04955</v>
      </c>
      <c r="S10" s="56">
        <f t="shared" si="9"/>
        <v>0.41048034934497812</v>
      </c>
      <c r="T10" s="57">
        <f t="shared" si="10"/>
        <v>0.40174672489082963</v>
      </c>
      <c r="U10" s="57">
        <f t="shared" si="11"/>
        <v>0.11790393013100436</v>
      </c>
      <c r="V10" s="57">
        <f t="shared" si="12"/>
        <v>6.9868995633187769E-2</v>
      </c>
      <c r="W10" s="58">
        <f t="shared" si="13"/>
        <v>0</v>
      </c>
      <c r="X10" s="29">
        <f t="shared" ref="X10:AA16" si="15">LN((E10)/(E$3))</f>
        <v>-8.1678031014267127E-2</v>
      </c>
      <c r="Y10" s="30">
        <f t="shared" si="15"/>
        <v>-0.1603426500751795</v>
      </c>
      <c r="Z10" s="30">
        <f t="shared" si="15"/>
        <v>-0.25951119548508456</v>
      </c>
      <c r="AA10" s="30">
        <f t="shared" si="15"/>
        <v>-0.72391883922669886</v>
      </c>
      <c r="AB10" s="30"/>
      <c r="AC10" s="31">
        <f t="shared" ref="AC10:AC16" si="16">LN((J10)/(J$3))</f>
        <v>-0.2566374507698207</v>
      </c>
    </row>
    <row r="11" spans="1:29" x14ac:dyDescent="0.25">
      <c r="A11" s="25">
        <v>8</v>
      </c>
      <c r="B11" s="30">
        <v>96.399999999906868</v>
      </c>
      <c r="C11" s="41">
        <v>2.5099999999999998</v>
      </c>
      <c r="D11" s="42">
        <v>14.03</v>
      </c>
      <c r="E11" s="41">
        <v>4.75</v>
      </c>
      <c r="F11" s="12">
        <v>4.6500000000000004</v>
      </c>
      <c r="G11" s="12">
        <v>1.35</v>
      </c>
      <c r="H11" s="12">
        <v>0.75</v>
      </c>
      <c r="I11" s="12">
        <v>0</v>
      </c>
      <c r="J11" s="73">
        <v>11.5</v>
      </c>
      <c r="K11" s="29">
        <v>176</v>
      </c>
      <c r="L11" s="31">
        <v>176</v>
      </c>
      <c r="M11" s="29">
        <f t="shared" si="3"/>
        <v>0.83599999999999997</v>
      </c>
      <c r="N11" s="12">
        <f t="shared" si="4"/>
        <v>0.81840000000000002</v>
      </c>
      <c r="O11" s="12">
        <f t="shared" si="5"/>
        <v>0.23760000000000001</v>
      </c>
      <c r="P11" s="12">
        <f t="shared" si="6"/>
        <v>0.13200000000000001</v>
      </c>
      <c r="Q11" s="12">
        <f t="shared" si="7"/>
        <v>0</v>
      </c>
      <c r="R11" s="42">
        <f t="shared" si="8"/>
        <v>2.024</v>
      </c>
      <c r="S11" s="56">
        <f t="shared" si="9"/>
        <v>0.41304347826086957</v>
      </c>
      <c r="T11" s="57">
        <f t="shared" si="10"/>
        <v>0.40434782608695657</v>
      </c>
      <c r="U11" s="57">
        <f t="shared" si="11"/>
        <v>0.11739130434782609</v>
      </c>
      <c r="V11" s="57">
        <f t="shared" si="12"/>
        <v>6.5217391304347824E-2</v>
      </c>
      <c r="W11" s="58">
        <f t="shared" si="13"/>
        <v>0</v>
      </c>
      <c r="X11" s="29">
        <f t="shared" si="15"/>
        <v>-7.1095921683730218E-2</v>
      </c>
      <c r="Y11" s="30">
        <f t="shared" si="15"/>
        <v>-0.1495317339709637</v>
      </c>
      <c r="Z11" s="30">
        <f t="shared" si="15"/>
        <v>-0.25951119548508456</v>
      </c>
      <c r="AA11" s="30">
        <f t="shared" si="15"/>
        <v>-0.78845736036427005</v>
      </c>
      <c r="AB11" s="30"/>
      <c r="AC11" s="31">
        <f t="shared" si="16"/>
        <v>-0.25228014540086507</v>
      </c>
    </row>
    <row r="12" spans="1:29" x14ac:dyDescent="0.25">
      <c r="A12" s="25">
        <v>9</v>
      </c>
      <c r="B12" s="30">
        <v>161.88333333330229</v>
      </c>
      <c r="C12" s="41">
        <v>2.5333333333333332</v>
      </c>
      <c r="D12" s="42">
        <v>14.050000000000002</v>
      </c>
      <c r="E12" s="41">
        <v>5</v>
      </c>
      <c r="F12" s="12">
        <v>4.8</v>
      </c>
      <c r="G12" s="12">
        <v>1.4</v>
      </c>
      <c r="H12" s="12">
        <v>0.6</v>
      </c>
      <c r="I12" s="12">
        <v>0</v>
      </c>
      <c r="J12" s="73">
        <v>11.8</v>
      </c>
      <c r="K12" s="29">
        <v>173</v>
      </c>
      <c r="L12" s="31">
        <v>173</v>
      </c>
      <c r="M12" s="29">
        <f t="shared" si="3"/>
        <v>0.86499999999999999</v>
      </c>
      <c r="N12" s="12">
        <f t="shared" si="4"/>
        <v>0.83039999999999992</v>
      </c>
      <c r="O12" s="12">
        <f t="shared" si="5"/>
        <v>0.24219999999999997</v>
      </c>
      <c r="P12" s="12">
        <f t="shared" si="6"/>
        <v>0.10379999999999999</v>
      </c>
      <c r="Q12" s="12">
        <f t="shared" si="7"/>
        <v>0</v>
      </c>
      <c r="R12" s="42">
        <f t="shared" si="8"/>
        <v>2.0413999999999999</v>
      </c>
      <c r="S12" s="56">
        <f t="shared" si="9"/>
        <v>0.42372881355932202</v>
      </c>
      <c r="T12" s="57">
        <f t="shared" si="10"/>
        <v>0.40677966101694912</v>
      </c>
      <c r="U12" s="57">
        <f t="shared" si="11"/>
        <v>0.11864406779661016</v>
      </c>
      <c r="V12" s="57">
        <f t="shared" si="12"/>
        <v>5.084745762711864E-2</v>
      </c>
      <c r="W12" s="58">
        <f t="shared" si="13"/>
        <v>0</v>
      </c>
      <c r="X12" s="29">
        <f t="shared" si="15"/>
        <v>-1.9802627296179643E-2</v>
      </c>
      <c r="Y12" s="30">
        <f t="shared" si="15"/>
        <v>-0.11778303565638351</v>
      </c>
      <c r="Z12" s="30">
        <f t="shared" si="15"/>
        <v>-0.22314355131420985</v>
      </c>
      <c r="AA12" s="30">
        <f t="shared" si="15"/>
        <v>-1.0116009116784799</v>
      </c>
      <c r="AB12" s="30"/>
      <c r="AC12" s="31">
        <f t="shared" si="16"/>
        <v>-0.22652764929845035</v>
      </c>
    </row>
    <row r="13" spans="1:29" x14ac:dyDescent="0.25">
      <c r="A13" s="25">
        <v>10</v>
      </c>
      <c r="B13" s="30">
        <v>167.91666666656965</v>
      </c>
      <c r="C13" s="41">
        <v>2.5166666666666666</v>
      </c>
      <c r="D13" s="42">
        <v>14.050000000000002</v>
      </c>
      <c r="E13" s="41">
        <v>5</v>
      </c>
      <c r="F13" s="12">
        <v>4.6500000000000004</v>
      </c>
      <c r="G13" s="12">
        <v>1.25</v>
      </c>
      <c r="H13" s="12">
        <v>0.6</v>
      </c>
      <c r="I13" s="12">
        <v>0</v>
      </c>
      <c r="J13" s="73">
        <v>11.5</v>
      </c>
      <c r="K13" s="29">
        <v>170</v>
      </c>
      <c r="L13" s="31">
        <v>170</v>
      </c>
      <c r="M13" s="29">
        <f t="shared" si="3"/>
        <v>0.85000000000000009</v>
      </c>
      <c r="N13" s="12">
        <f t="shared" si="4"/>
        <v>0.79050000000000009</v>
      </c>
      <c r="O13" s="12">
        <f t="shared" si="5"/>
        <v>0.21250000000000002</v>
      </c>
      <c r="P13" s="12">
        <f t="shared" si="6"/>
        <v>0.10200000000000001</v>
      </c>
      <c r="Q13" s="12">
        <f t="shared" si="7"/>
        <v>0</v>
      </c>
      <c r="R13" s="42">
        <f t="shared" si="8"/>
        <v>1.9550000000000001</v>
      </c>
      <c r="S13" s="56">
        <f t="shared" si="9"/>
        <v>0.43478260869565216</v>
      </c>
      <c r="T13" s="57">
        <f t="shared" si="10"/>
        <v>0.40434782608695657</v>
      </c>
      <c r="U13" s="57">
        <f t="shared" si="11"/>
        <v>0.10869565217391304</v>
      </c>
      <c r="V13" s="57">
        <f t="shared" si="12"/>
        <v>5.2173913043478258E-2</v>
      </c>
      <c r="W13" s="58">
        <f t="shared" si="13"/>
        <v>0</v>
      </c>
      <c r="X13" s="29">
        <f t="shared" si="15"/>
        <v>-1.9802627296179643E-2</v>
      </c>
      <c r="Y13" s="30">
        <f t="shared" si="15"/>
        <v>-0.1495317339709637</v>
      </c>
      <c r="Z13" s="30">
        <f t="shared" si="15"/>
        <v>-0.33647223662121289</v>
      </c>
      <c r="AA13" s="30">
        <f t="shared" si="15"/>
        <v>-1.0116009116784799</v>
      </c>
      <c r="AB13" s="30"/>
      <c r="AC13" s="31">
        <f t="shared" si="16"/>
        <v>-0.25228014540086507</v>
      </c>
    </row>
    <row r="14" spans="1:29" x14ac:dyDescent="0.25">
      <c r="A14" s="25">
        <v>11</v>
      </c>
      <c r="B14" s="30">
        <v>185.85000000003492</v>
      </c>
      <c r="C14" s="41">
        <v>2.5466666666666664</v>
      </c>
      <c r="D14" s="42">
        <v>13.78</v>
      </c>
      <c r="E14" s="41">
        <v>4.95</v>
      </c>
      <c r="F14" s="12">
        <v>4.5</v>
      </c>
      <c r="G14" s="12">
        <v>1.2</v>
      </c>
      <c r="H14" s="12">
        <v>0.5</v>
      </c>
      <c r="I14" s="12">
        <v>0</v>
      </c>
      <c r="J14" s="73">
        <v>11.149999999999999</v>
      </c>
      <c r="K14" s="29">
        <v>167</v>
      </c>
      <c r="L14" s="31">
        <v>167</v>
      </c>
      <c r="M14" s="29">
        <f t="shared" si="3"/>
        <v>0.82665000000000011</v>
      </c>
      <c r="N14" s="12">
        <f t="shared" si="4"/>
        <v>0.75150000000000006</v>
      </c>
      <c r="O14" s="12">
        <f t="shared" si="5"/>
        <v>0.20039999999999999</v>
      </c>
      <c r="P14" s="12">
        <f t="shared" si="6"/>
        <v>8.3500000000000005E-2</v>
      </c>
      <c r="Q14" s="12">
        <f t="shared" si="7"/>
        <v>0</v>
      </c>
      <c r="R14" s="42">
        <f t="shared" si="8"/>
        <v>1.8620499999999998</v>
      </c>
      <c r="S14" s="56">
        <f t="shared" si="9"/>
        <v>0.44394618834080724</v>
      </c>
      <c r="T14" s="57">
        <f t="shared" si="10"/>
        <v>0.4035874439461884</v>
      </c>
      <c r="U14" s="57">
        <f t="shared" si="11"/>
        <v>0.10762331838565023</v>
      </c>
      <c r="V14" s="57">
        <f t="shared" si="12"/>
        <v>4.4843049327354265E-2</v>
      </c>
      <c r="W14" s="58">
        <f t="shared" si="13"/>
        <v>0</v>
      </c>
      <c r="X14" s="29">
        <f t="shared" si="15"/>
        <v>-2.9852963149681045E-2</v>
      </c>
      <c r="Y14" s="30">
        <f t="shared" si="15"/>
        <v>-0.1823215567939547</v>
      </c>
      <c r="Z14" s="30">
        <f t="shared" si="15"/>
        <v>-0.37729423114146804</v>
      </c>
      <c r="AA14" s="30">
        <f t="shared" si="15"/>
        <v>-1.1939224684724346</v>
      </c>
      <c r="AB14" s="30"/>
      <c r="AC14" s="31">
        <f t="shared" si="16"/>
        <v>-0.28318768286394175</v>
      </c>
    </row>
    <row r="15" spans="1:29" x14ac:dyDescent="0.25">
      <c r="A15" s="25">
        <v>12</v>
      </c>
      <c r="B15" s="30">
        <v>191.91666666656965</v>
      </c>
      <c r="C15" s="41">
        <v>2.3766666666666665</v>
      </c>
      <c r="D15" s="42">
        <v>13.773333333333333</v>
      </c>
      <c r="E15" s="41">
        <v>5.05</v>
      </c>
      <c r="F15" s="12">
        <v>4.55</v>
      </c>
      <c r="G15" s="12">
        <v>1.3</v>
      </c>
      <c r="H15" s="12">
        <v>0.5</v>
      </c>
      <c r="I15" s="12">
        <v>0</v>
      </c>
      <c r="J15" s="73">
        <v>11.4</v>
      </c>
      <c r="K15" s="29">
        <v>164</v>
      </c>
      <c r="L15" s="31">
        <v>164</v>
      </c>
      <c r="M15" s="29">
        <f t="shared" si="3"/>
        <v>0.82820000000000005</v>
      </c>
      <c r="N15" s="12">
        <f t="shared" si="4"/>
        <v>0.74619999999999997</v>
      </c>
      <c r="O15" s="12">
        <f t="shared" si="5"/>
        <v>0.21320000000000003</v>
      </c>
      <c r="P15" s="12">
        <f t="shared" si="6"/>
        <v>8.2000000000000003E-2</v>
      </c>
      <c r="Q15" s="12">
        <f t="shared" si="7"/>
        <v>0</v>
      </c>
      <c r="R15" s="42">
        <f t="shared" si="8"/>
        <v>1.8696000000000002</v>
      </c>
      <c r="S15" s="56">
        <f t="shared" si="9"/>
        <v>0.44298245614035087</v>
      </c>
      <c r="T15" s="57">
        <f t="shared" si="10"/>
        <v>0.39912280701754382</v>
      </c>
      <c r="U15" s="57">
        <f t="shared" si="11"/>
        <v>0.11403508771929824</v>
      </c>
      <c r="V15" s="57">
        <f t="shared" si="12"/>
        <v>4.3859649122807015E-2</v>
      </c>
      <c r="W15" s="58">
        <f t="shared" si="13"/>
        <v>0</v>
      </c>
      <c r="X15" s="29">
        <f t="shared" si="15"/>
        <v>-9.8522964430115944E-3</v>
      </c>
      <c r="Y15" s="30">
        <f t="shared" si="15"/>
        <v>-0.1712717206073697</v>
      </c>
      <c r="Z15" s="30">
        <f t="shared" si="15"/>
        <v>-0.2972515234679316</v>
      </c>
      <c r="AA15" s="30">
        <f t="shared" si="15"/>
        <v>-1.1939224684724346</v>
      </c>
      <c r="AB15" s="30"/>
      <c r="AC15" s="31">
        <f t="shared" si="16"/>
        <v>-0.26101382536961959</v>
      </c>
    </row>
    <row r="16" spans="1:29" x14ac:dyDescent="0.25">
      <c r="A16" s="38">
        <v>13</v>
      </c>
      <c r="B16" s="34">
        <v>209.28333333326736</v>
      </c>
      <c r="C16" s="43">
        <v>2.4866666666666668</v>
      </c>
      <c r="D16" s="44">
        <v>13.92</v>
      </c>
      <c r="E16" s="43">
        <v>4.8499999999999996</v>
      </c>
      <c r="F16" s="67">
        <v>4.3499999999999996</v>
      </c>
      <c r="G16" s="67">
        <v>1.2</v>
      </c>
      <c r="H16" s="67">
        <v>0.45</v>
      </c>
      <c r="I16" s="67">
        <v>0</v>
      </c>
      <c r="J16" s="76">
        <v>10.849999999999998</v>
      </c>
      <c r="K16" s="33">
        <v>161</v>
      </c>
      <c r="L16" s="35">
        <v>161</v>
      </c>
      <c r="M16" s="33">
        <f t="shared" si="3"/>
        <v>0.78084999999999993</v>
      </c>
      <c r="N16" s="67">
        <f t="shared" si="4"/>
        <v>0.70034999999999992</v>
      </c>
      <c r="O16" s="67">
        <f t="shared" si="5"/>
        <v>0.19320000000000001</v>
      </c>
      <c r="P16" s="67">
        <f t="shared" si="6"/>
        <v>7.2450000000000001E-2</v>
      </c>
      <c r="Q16" s="67">
        <f t="shared" si="7"/>
        <v>0</v>
      </c>
      <c r="R16" s="44">
        <f t="shared" si="8"/>
        <v>1.7468499999999998</v>
      </c>
      <c r="S16" s="59">
        <f t="shared" si="9"/>
        <v>0.44700460829493094</v>
      </c>
      <c r="T16" s="60">
        <f t="shared" si="10"/>
        <v>0.40092165898617516</v>
      </c>
      <c r="U16" s="60">
        <f t="shared" si="11"/>
        <v>0.11059907834101385</v>
      </c>
      <c r="V16" s="60">
        <f t="shared" si="12"/>
        <v>4.1474654377880192E-2</v>
      </c>
      <c r="W16" s="61">
        <f t="shared" si="13"/>
        <v>0</v>
      </c>
      <c r="X16" s="33">
        <f t="shared" si="15"/>
        <v>-5.0261834780888311E-2</v>
      </c>
      <c r="Y16" s="34">
        <f t="shared" si="15"/>
        <v>-0.21622310846963608</v>
      </c>
      <c r="Z16" s="34">
        <f t="shared" si="15"/>
        <v>-0.37729423114146804</v>
      </c>
      <c r="AA16" s="34">
        <f t="shared" si="15"/>
        <v>-1.2992829841302607</v>
      </c>
      <c r="AB16" s="34"/>
      <c r="AC16" s="35">
        <f t="shared" si="16"/>
        <v>-0.31046210078360109</v>
      </c>
    </row>
    <row r="19" spans="2:29" x14ac:dyDescent="0.25">
      <c r="D19" s="36" t="s">
        <v>164</v>
      </c>
      <c r="E19" s="27">
        <f t="shared" ref="E19:J19" si="17">(E3*($K$3/1000))/(($K$3+$L$3)/1000)</f>
        <v>2.5499999999999998</v>
      </c>
      <c r="F19" s="27">
        <f t="shared" si="17"/>
        <v>2.7</v>
      </c>
      <c r="G19" s="27">
        <f t="shared" si="17"/>
        <v>0.875</v>
      </c>
      <c r="H19" s="27">
        <f t="shared" si="17"/>
        <v>0.82499999999999996</v>
      </c>
      <c r="I19" s="27">
        <f t="shared" si="17"/>
        <v>0.45</v>
      </c>
      <c r="J19" s="27">
        <f t="shared" si="17"/>
        <v>7.4</v>
      </c>
      <c r="W19" t="s">
        <v>45</v>
      </c>
      <c r="X19" s="24">
        <f t="shared" ref="X19:AC19" si="18">-SLOPE(X3:X16,$B$3:$B$16)</f>
        <v>-4.9559956861724936E-5</v>
      </c>
      <c r="Y19" s="24">
        <f t="shared" si="18"/>
        <v>6.2769147283510776E-4</v>
      </c>
      <c r="Z19" s="24">
        <f t="shared" si="18"/>
        <v>1.5233661048267575E-3</v>
      </c>
      <c r="AA19" s="24">
        <f t="shared" si="18"/>
        <v>5.4787619361277747E-3</v>
      </c>
      <c r="AB19" s="24">
        <f t="shared" si="18"/>
        <v>2.2080436424173788E-2</v>
      </c>
      <c r="AC19" s="24">
        <f t="shared" si="18"/>
        <v>1.0117230293979591E-3</v>
      </c>
    </row>
    <row r="20" spans="2:29" x14ac:dyDescent="0.25">
      <c r="W20" t="s">
        <v>43</v>
      </c>
      <c r="X20" s="24">
        <f t="shared" ref="X20:AC20" si="19">(CORREL(X3:X16,$B$3:$B$16))^2</f>
        <v>7.9083509797246553E-3</v>
      </c>
      <c r="Y20" s="24">
        <f t="shared" si="19"/>
        <v>0.58060782450027548</v>
      </c>
      <c r="Z20" s="24">
        <f t="shared" si="19"/>
        <v>0.83062910080490926</v>
      </c>
      <c r="AA20" s="24">
        <f t="shared" si="19"/>
        <v>0.9715467535040716</v>
      </c>
      <c r="AB20" s="24">
        <f t="shared" si="19"/>
        <v>0.96234792978744454</v>
      </c>
      <c r="AC20" s="24">
        <f t="shared" si="19"/>
        <v>0.70400149021446135</v>
      </c>
    </row>
    <row r="21" spans="2:29" x14ac:dyDescent="0.25">
      <c r="B21" s="27"/>
      <c r="C21" s="27"/>
      <c r="D21" s="82"/>
      <c r="E21" s="37"/>
      <c r="F21" s="37"/>
      <c r="G21" s="37"/>
      <c r="H21" s="37"/>
      <c r="I21" s="37"/>
      <c r="J21" s="37"/>
      <c r="K21" s="27"/>
      <c r="L21" s="27"/>
      <c r="M21" s="27"/>
      <c r="N21" s="27"/>
      <c r="O21" s="27"/>
      <c r="W21" t="s">
        <v>46</v>
      </c>
      <c r="X21" s="62">
        <f>(X19*($K$3/1000000))/Constants!$K$8</f>
        <v>-1.6857776668960621E-6</v>
      </c>
      <c r="Y21" s="62">
        <f>(Y19*($K$3/1000000))/Constants!$K$8</f>
        <v>2.1350871421434324E-5</v>
      </c>
      <c r="Z21" s="62">
        <f>(Z19*($K$3/1000000))/Constants!$K$8</f>
        <v>5.1817166935564834E-5</v>
      </c>
      <c r="AA21" s="62">
        <f>(AA19*($K$3/1000000))/Constants!$K$8</f>
        <v>1.8635961568597243E-4</v>
      </c>
      <c r="AB21" s="62">
        <f>(AB19*($K$3/1000000))/Constants!$K$8</f>
        <v>7.5106414444717847E-4</v>
      </c>
      <c r="AC21" s="62">
        <f>(AC19*($K$3/1000000))/Constants!$K$8</f>
        <v>3.44136717633161E-5</v>
      </c>
    </row>
    <row r="22" spans="2:29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W22" t="s">
        <v>47</v>
      </c>
      <c r="X22" s="62">
        <f>X21/3600</f>
        <v>-4.6827157413779497E-10</v>
      </c>
      <c r="Y22" s="62">
        <f t="shared" ref="Y22:AC22" si="20">Y21/3600</f>
        <v>5.9307976170650904E-9</v>
      </c>
      <c r="Z22" s="62">
        <f t="shared" si="20"/>
        <v>1.4393657482101343E-8</v>
      </c>
      <c r="AA22" s="62">
        <f t="shared" si="20"/>
        <v>5.176655991277012E-8</v>
      </c>
      <c r="AB22" s="62">
        <f t="shared" si="20"/>
        <v>2.0862892901310512E-7</v>
      </c>
      <c r="AC22" s="62">
        <f t="shared" si="20"/>
        <v>9.5593532675878061E-9</v>
      </c>
    </row>
    <row r="23" spans="2:29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W23" s="1" t="s">
        <v>64</v>
      </c>
      <c r="X23" s="65">
        <f>X22*10^6</f>
        <v>-4.6827157413779495E-4</v>
      </c>
      <c r="Y23" s="65">
        <f t="shared" ref="Y23:AC23" si="21">Y22*10^6</f>
        <v>5.9307976170650907E-3</v>
      </c>
      <c r="Z23" s="65">
        <f t="shared" si="21"/>
        <v>1.4393657482101344E-2</v>
      </c>
      <c r="AA23" s="65">
        <f t="shared" si="21"/>
        <v>5.176655991277012E-2</v>
      </c>
      <c r="AB23" s="65">
        <f t="shared" si="21"/>
        <v>0.20862892901310512</v>
      </c>
      <c r="AC23" s="65">
        <f t="shared" si="21"/>
        <v>9.5593532675878057E-3</v>
      </c>
    </row>
    <row r="25" spans="2:29" x14ac:dyDescent="0.25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2:29" x14ac:dyDescent="0.2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8">
    <mergeCell ref="X1:AC1"/>
    <mergeCell ref="A1:A2"/>
    <mergeCell ref="B1:B2"/>
    <mergeCell ref="C1:D1"/>
    <mergeCell ref="E1:J1"/>
    <mergeCell ref="K1:L1"/>
    <mergeCell ref="M1:R1"/>
    <mergeCell ref="S1:W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2"/>
  <sheetViews>
    <sheetView workbookViewId="0">
      <selection sqref="A1:A2"/>
    </sheetView>
  </sheetViews>
  <sheetFormatPr defaultRowHeight="15" x14ac:dyDescent="0.25"/>
  <sheetData>
    <row r="1" spans="1:15" s="3" customFormat="1" x14ac:dyDescent="0.25">
      <c r="A1" s="269" t="s">
        <v>31</v>
      </c>
      <c r="B1" s="271" t="s">
        <v>32</v>
      </c>
      <c r="C1" s="273" t="s">
        <v>34</v>
      </c>
      <c r="D1" s="274"/>
      <c r="E1" s="274"/>
      <c r="F1" s="271"/>
      <c r="G1" s="273" t="s">
        <v>35</v>
      </c>
      <c r="H1" s="271"/>
      <c r="I1" s="273" t="s">
        <v>44</v>
      </c>
      <c r="J1" s="274"/>
      <c r="K1" s="271"/>
      <c r="L1" s="275" t="s">
        <v>73</v>
      </c>
      <c r="M1" s="276"/>
      <c r="N1" s="276"/>
      <c r="O1" s="277"/>
    </row>
    <row r="2" spans="1:15" s="3" customFormat="1" x14ac:dyDescent="0.25">
      <c r="A2" s="270"/>
      <c r="B2" s="272"/>
      <c r="C2" s="38" t="s">
        <v>39</v>
      </c>
      <c r="D2" s="39" t="s">
        <v>40</v>
      </c>
      <c r="E2" s="39" t="s">
        <v>41</v>
      </c>
      <c r="F2" s="40" t="s">
        <v>23</v>
      </c>
      <c r="G2" s="38" t="s">
        <v>42</v>
      </c>
      <c r="H2" s="40" t="s">
        <v>38</v>
      </c>
      <c r="I2" s="38" t="s">
        <v>39</v>
      </c>
      <c r="J2" s="39" t="s">
        <v>40</v>
      </c>
      <c r="K2" s="40" t="s">
        <v>41</v>
      </c>
      <c r="L2" s="2" t="s">
        <v>39</v>
      </c>
      <c r="M2" s="3" t="s">
        <v>40</v>
      </c>
      <c r="N2" s="3" t="s">
        <v>41</v>
      </c>
      <c r="O2" s="146" t="s">
        <v>23</v>
      </c>
    </row>
    <row r="3" spans="1:15" x14ac:dyDescent="0.25">
      <c r="A3" s="63">
        <v>0</v>
      </c>
      <c r="B3" s="31">
        <v>0</v>
      </c>
      <c r="C3" s="25">
        <v>9.6</v>
      </c>
      <c r="D3" s="3">
        <v>9.9</v>
      </c>
      <c r="E3" s="3">
        <v>9.75</v>
      </c>
      <c r="F3" s="31">
        <v>29.25</v>
      </c>
      <c r="G3" s="25">
        <v>200</v>
      </c>
      <c r="H3" s="26">
        <v>200</v>
      </c>
      <c r="I3" s="56">
        <f t="shared" ref="I3:I13" si="0">C3/$F3</f>
        <v>0.3282051282051282</v>
      </c>
      <c r="J3" s="57">
        <f t="shared" ref="J3:J13" si="1">D3/$F3</f>
        <v>0.33846153846153848</v>
      </c>
      <c r="K3" s="58">
        <f t="shared" ref="K3:K13" si="2">E3/$F3</f>
        <v>0.33333333333333331</v>
      </c>
      <c r="L3" s="156">
        <f t="shared" ref="L3:L12" si="3">LN((C3-C$13)/(C$3-C$13))</f>
        <v>0</v>
      </c>
      <c r="M3" s="157">
        <f t="shared" ref="M3:M12" si="4">LN((D3-D$13)/(D$3-D$13))</f>
        <v>0</v>
      </c>
      <c r="N3" s="157">
        <f t="shared" ref="N3:N12" si="5">LN((E3-E$13)/(E$3-E$13))</f>
        <v>0</v>
      </c>
      <c r="O3" s="158">
        <f t="shared" ref="O3:O12" si="6">LN((F3-F$13)/(F$3-F$13))</f>
        <v>0</v>
      </c>
    </row>
    <row r="4" spans="1:15" x14ac:dyDescent="0.25">
      <c r="A4" s="63">
        <v>2</v>
      </c>
      <c r="B4" s="31">
        <v>70.550000000162981</v>
      </c>
      <c r="C4" s="25">
        <v>9.8000000000000007</v>
      </c>
      <c r="D4" s="3">
        <v>7.55</v>
      </c>
      <c r="E4" s="3">
        <v>5.45</v>
      </c>
      <c r="F4" s="31">
        <v>22.8</v>
      </c>
      <c r="G4" s="25">
        <v>195</v>
      </c>
      <c r="H4" s="26">
        <v>196</v>
      </c>
      <c r="I4" s="56">
        <f t="shared" si="0"/>
        <v>0.42982456140350878</v>
      </c>
      <c r="J4" s="57">
        <f t="shared" si="1"/>
        <v>0.33114035087719296</v>
      </c>
      <c r="K4" s="58">
        <f t="shared" si="2"/>
        <v>0.23903508771929824</v>
      </c>
      <c r="L4" s="30">
        <f t="shared" si="3"/>
        <v>5.3345980705292929E-2</v>
      </c>
      <c r="M4" s="3">
        <f t="shared" si="4"/>
        <v>-0.44015066609605441</v>
      </c>
      <c r="N4" s="3">
        <f t="shared" si="5"/>
        <v>-0.94142670514569737</v>
      </c>
      <c r="O4" s="26">
        <f t="shared" si="6"/>
        <v>-0.46654142151726463</v>
      </c>
    </row>
    <row r="5" spans="1:15" x14ac:dyDescent="0.25">
      <c r="A5" s="63">
        <v>3</v>
      </c>
      <c r="B5" s="31">
        <v>78.550000000046566</v>
      </c>
      <c r="C5" s="25">
        <v>7.9</v>
      </c>
      <c r="D5" s="3">
        <v>5.65</v>
      </c>
      <c r="E5" s="3">
        <v>4</v>
      </c>
      <c r="F5" s="31">
        <v>17.55</v>
      </c>
      <c r="G5" s="25">
        <v>192</v>
      </c>
      <c r="H5" s="26">
        <f t="shared" ref="H5:H13" si="7">H4-2</f>
        <v>194</v>
      </c>
      <c r="I5" s="56">
        <f t="shared" si="0"/>
        <v>0.45014245014245013</v>
      </c>
      <c r="J5" s="57">
        <f t="shared" si="1"/>
        <v>0.32193732193732194</v>
      </c>
      <c r="K5" s="58">
        <f t="shared" si="2"/>
        <v>0.22792022792022792</v>
      </c>
      <c r="L5" s="30">
        <f t="shared" si="3"/>
        <v>-0.62689779501874443</v>
      </c>
      <c r="M5" s="3">
        <f t="shared" si="4"/>
        <v>-1.0326543208763121</v>
      </c>
      <c r="N5" s="3">
        <f t="shared" si="5"/>
        <v>-1.6906633523566863</v>
      </c>
      <c r="O5" s="26">
        <f t="shared" si="6"/>
        <v>-1.1279399037626294</v>
      </c>
    </row>
    <row r="6" spans="1:15" x14ac:dyDescent="0.25">
      <c r="A6" s="63">
        <v>4</v>
      </c>
      <c r="B6" s="31">
        <v>94.966666666790843</v>
      </c>
      <c r="C6" s="25">
        <v>10.4</v>
      </c>
      <c r="D6" s="3">
        <v>7.4</v>
      </c>
      <c r="E6" s="3">
        <v>5.35</v>
      </c>
      <c r="F6" s="31">
        <v>23.15</v>
      </c>
      <c r="G6" s="25">
        <v>190</v>
      </c>
      <c r="H6" s="26">
        <f t="shared" si="7"/>
        <v>192</v>
      </c>
      <c r="I6" s="56">
        <f t="shared" si="0"/>
        <v>0.44924406047516202</v>
      </c>
      <c r="J6" s="57">
        <f t="shared" si="1"/>
        <v>0.31965442764578839</v>
      </c>
      <c r="K6" s="58">
        <f t="shared" si="2"/>
        <v>0.23110151187904968</v>
      </c>
      <c r="L6" s="30">
        <f t="shared" si="3"/>
        <v>0.19817692858374888</v>
      </c>
      <c r="M6" s="3">
        <f t="shared" si="4"/>
        <v>-0.47608267532211773</v>
      </c>
      <c r="N6" s="3">
        <f t="shared" si="5"/>
        <v>-0.97846797682604658</v>
      </c>
      <c r="O6" s="26">
        <f t="shared" si="6"/>
        <v>-0.43479272320268458</v>
      </c>
    </row>
    <row r="7" spans="1:15" x14ac:dyDescent="0.25">
      <c r="A7" s="63">
        <v>5</v>
      </c>
      <c r="B7" s="31">
        <v>102.81666666670935</v>
      </c>
      <c r="C7" s="25">
        <v>9.4499999999999993</v>
      </c>
      <c r="D7" s="3">
        <v>6.5</v>
      </c>
      <c r="E7" s="3">
        <v>4.6500000000000004</v>
      </c>
      <c r="F7" s="31">
        <v>20.6</v>
      </c>
      <c r="G7" s="25">
        <v>187</v>
      </c>
      <c r="H7" s="26">
        <f t="shared" si="7"/>
        <v>190</v>
      </c>
      <c r="I7" s="56">
        <f t="shared" si="0"/>
        <v>0.45873786407766981</v>
      </c>
      <c r="J7" s="57">
        <f t="shared" si="1"/>
        <v>0.31553398058252424</v>
      </c>
      <c r="K7" s="58">
        <f t="shared" si="2"/>
        <v>0.22572815533980584</v>
      </c>
      <c r="L7" s="30">
        <f t="shared" si="3"/>
        <v>-4.1964199099032193E-2</v>
      </c>
      <c r="M7" s="3">
        <f t="shared" si="4"/>
        <v>-0.72391883922669897</v>
      </c>
      <c r="N7" s="3">
        <f t="shared" si="5"/>
        <v>-1.2851982442485219</v>
      </c>
      <c r="O7" s="26">
        <f t="shared" si="6"/>
        <v>-0.69314718055994506</v>
      </c>
    </row>
    <row r="8" spans="1:15" x14ac:dyDescent="0.25">
      <c r="A8" s="63">
        <v>6</v>
      </c>
      <c r="B8" s="31">
        <v>118.60000000015134</v>
      </c>
      <c r="C8" s="25">
        <v>9.6999999999999993</v>
      </c>
      <c r="D8" s="3">
        <v>6.5</v>
      </c>
      <c r="E8" s="3">
        <v>4.7</v>
      </c>
      <c r="F8" s="31">
        <v>20.9</v>
      </c>
      <c r="G8" s="25">
        <v>185</v>
      </c>
      <c r="H8" s="26">
        <f t="shared" si="7"/>
        <v>188</v>
      </c>
      <c r="I8" s="56">
        <f t="shared" si="0"/>
        <v>0.46411483253588515</v>
      </c>
      <c r="J8" s="57">
        <f t="shared" si="1"/>
        <v>0.31100478468899523</v>
      </c>
      <c r="K8" s="58">
        <f t="shared" si="2"/>
        <v>0.22488038277511965</v>
      </c>
      <c r="L8" s="30">
        <f t="shared" si="3"/>
        <v>2.70286723879192E-2</v>
      </c>
      <c r="M8" s="3">
        <f t="shared" si="4"/>
        <v>-0.72391883922669897</v>
      </c>
      <c r="N8" s="3">
        <f t="shared" si="5"/>
        <v>-1.259880436264232</v>
      </c>
      <c r="O8" s="26">
        <f t="shared" si="6"/>
        <v>-0.65905296921696943</v>
      </c>
    </row>
    <row r="9" spans="1:15" x14ac:dyDescent="0.25">
      <c r="A9" s="63">
        <v>7</v>
      </c>
      <c r="B9" s="31">
        <v>126.5333333335002</v>
      </c>
      <c r="C9" s="25">
        <v>8.1</v>
      </c>
      <c r="D9" s="3">
        <v>5.3</v>
      </c>
      <c r="E9" s="3">
        <v>3.8</v>
      </c>
      <c r="F9" s="31">
        <v>17.2</v>
      </c>
      <c r="G9" s="25">
        <v>182</v>
      </c>
      <c r="H9" s="26">
        <f t="shared" si="7"/>
        <v>186</v>
      </c>
      <c r="I9" s="56">
        <f t="shared" si="0"/>
        <v>0.47093023255813954</v>
      </c>
      <c r="J9" s="57">
        <f t="shared" si="1"/>
        <v>0.30813953488372092</v>
      </c>
      <c r="K9" s="58">
        <f t="shared" si="2"/>
        <v>0.22093023255813954</v>
      </c>
      <c r="L9" s="30">
        <f t="shared" si="3"/>
        <v>-0.5292593254548289</v>
      </c>
      <c r="M9" s="3">
        <f t="shared" si="4"/>
        <v>-1.1939224684724348</v>
      </c>
      <c r="N9" s="3">
        <f t="shared" si="5"/>
        <v>-1.8577174370198528</v>
      </c>
      <c r="O9" s="26">
        <f t="shared" si="6"/>
        <v>-1.192478424900201</v>
      </c>
    </row>
    <row r="10" spans="1:15" x14ac:dyDescent="0.25">
      <c r="A10" s="63">
        <v>8</v>
      </c>
      <c r="B10" s="31">
        <v>142.81666666682577</v>
      </c>
      <c r="C10" s="25">
        <v>9.5500000000000007</v>
      </c>
      <c r="D10" s="3">
        <v>6.05</v>
      </c>
      <c r="E10" s="3">
        <v>4.55</v>
      </c>
      <c r="F10" s="31">
        <v>20.150000000000002</v>
      </c>
      <c r="G10" s="25">
        <v>180</v>
      </c>
      <c r="H10" s="26">
        <f t="shared" si="7"/>
        <v>184</v>
      </c>
      <c r="I10" s="56">
        <f t="shared" si="0"/>
        <v>0.47394540942928037</v>
      </c>
      <c r="J10" s="57">
        <f t="shared" si="1"/>
        <v>0.30024813895781632</v>
      </c>
      <c r="K10" s="58">
        <f t="shared" si="2"/>
        <v>0.22580645161290319</v>
      </c>
      <c r="L10" s="30">
        <f t="shared" si="3"/>
        <v>-1.3793322132335535E-2</v>
      </c>
      <c r="M10" s="3">
        <f t="shared" si="4"/>
        <v>-0.87546873735390007</v>
      </c>
      <c r="N10" s="3">
        <f t="shared" si="5"/>
        <v>-1.3378419777339441</v>
      </c>
      <c r="O10" s="26">
        <f t="shared" si="6"/>
        <v>-0.7465723472335255</v>
      </c>
    </row>
    <row r="11" spans="1:15" x14ac:dyDescent="0.25">
      <c r="A11" s="63">
        <v>10</v>
      </c>
      <c r="B11" s="31">
        <v>166.5</v>
      </c>
      <c r="C11" s="25">
        <v>10.050000000000001</v>
      </c>
      <c r="D11" s="3">
        <v>6.05</v>
      </c>
      <c r="E11" s="3">
        <v>4.6500000000000004</v>
      </c>
      <c r="F11" s="31">
        <v>20.75</v>
      </c>
      <c r="G11" s="25">
        <v>175</v>
      </c>
      <c r="H11" s="26">
        <v>180</v>
      </c>
      <c r="I11" s="56">
        <f t="shared" si="0"/>
        <v>0.48433734939759038</v>
      </c>
      <c r="J11" s="57">
        <f t="shared" si="1"/>
        <v>0.29156626506024097</v>
      </c>
      <c r="K11" s="58">
        <f t="shared" si="2"/>
        <v>0.22409638554216868</v>
      </c>
      <c r="L11" s="30">
        <f t="shared" si="3"/>
        <v>0.11625980611586223</v>
      </c>
      <c r="M11" s="3">
        <f t="shared" si="4"/>
        <v>-0.87546873735390007</v>
      </c>
      <c r="N11" s="3">
        <f t="shared" si="5"/>
        <v>-1.2851982442485219</v>
      </c>
      <c r="O11" s="26">
        <f t="shared" si="6"/>
        <v>-0.67595478001957254</v>
      </c>
    </row>
    <row r="12" spans="1:15" x14ac:dyDescent="0.25">
      <c r="A12" s="63">
        <v>11</v>
      </c>
      <c r="B12" s="31">
        <v>174.05000000016298</v>
      </c>
      <c r="C12" s="25">
        <v>6.25</v>
      </c>
      <c r="D12" s="3">
        <v>3.7</v>
      </c>
      <c r="E12" s="3">
        <v>2.85</v>
      </c>
      <c r="F12" s="31">
        <v>12.799999999999999</v>
      </c>
      <c r="G12" s="25">
        <v>172</v>
      </c>
      <c r="H12" s="26">
        <f t="shared" si="7"/>
        <v>178</v>
      </c>
      <c r="I12" s="56">
        <f t="shared" si="0"/>
        <v>0.48828125000000006</v>
      </c>
      <c r="J12" s="57">
        <f t="shared" si="1"/>
        <v>0.28906250000000006</v>
      </c>
      <c r="K12" s="58">
        <f t="shared" si="2"/>
        <v>0.22265625000000003</v>
      </c>
      <c r="L12" s="30">
        <f t="shared" si="3"/>
        <v>-2.4986999719203364</v>
      </c>
      <c r="M12" s="3">
        <f t="shared" si="4"/>
        <v>-2.8033603809065339</v>
      </c>
      <c r="N12" s="3">
        <f t="shared" si="5"/>
        <v>-3.8501476017100593</v>
      </c>
      <c r="O12" s="26">
        <f t="shared" si="6"/>
        <v>-3.0132254310015085</v>
      </c>
    </row>
    <row r="13" spans="1:15" x14ac:dyDescent="0.25">
      <c r="A13" s="64">
        <v>12</v>
      </c>
      <c r="B13" s="35">
        <v>239.93333333346527</v>
      </c>
      <c r="C13" s="38">
        <v>5.95</v>
      </c>
      <c r="D13" s="39">
        <v>3.3</v>
      </c>
      <c r="E13" s="39">
        <v>2.7</v>
      </c>
      <c r="F13" s="35">
        <v>11.95</v>
      </c>
      <c r="G13" s="38">
        <v>170</v>
      </c>
      <c r="H13" s="26">
        <f t="shared" si="7"/>
        <v>176</v>
      </c>
      <c r="I13" s="59">
        <f t="shared" si="0"/>
        <v>0.497907949790795</v>
      </c>
      <c r="J13" s="60">
        <f t="shared" si="1"/>
        <v>0.27615062761506276</v>
      </c>
      <c r="K13" s="61">
        <f t="shared" si="2"/>
        <v>0.22594142259414229</v>
      </c>
      <c r="L13" s="34"/>
      <c r="M13" s="39"/>
      <c r="N13" s="39"/>
      <c r="O13" s="40"/>
    </row>
    <row r="14" spans="1:15" x14ac:dyDescent="0.25">
      <c r="L14" s="3"/>
      <c r="M14" s="3"/>
      <c r="N14" s="3"/>
      <c r="O14" s="3"/>
    </row>
    <row r="15" spans="1:15" x14ac:dyDescent="0.25">
      <c r="B15" s="36" t="s">
        <v>164</v>
      </c>
      <c r="C15" s="27">
        <f>(C3*($G$3/1000))/(($G$3+$H$3)/1000)</f>
        <v>4.8</v>
      </c>
      <c r="D15" s="27">
        <f>(D3*($G$3/1000))/(($G$3+$H$3)/1000)</f>
        <v>4.95</v>
      </c>
      <c r="E15" s="27">
        <f>(E3*($G$3/1000))/(($G$3+$H$3)/1000)</f>
        <v>4.875</v>
      </c>
      <c r="F15" s="27">
        <f>(F3*($G$3/1000))/(($G$3+$H$3)/1000)</f>
        <v>14.625</v>
      </c>
      <c r="K15" t="s">
        <v>45</v>
      </c>
      <c r="L15" s="15">
        <f>-SLOPE(L3:L13,$B$3:$B$13)</f>
        <v>6.6015200592421733E-3</v>
      </c>
      <c r="M15" s="15">
        <f>-SLOPE(M3:M13,$B$3:$B$13)</f>
        <v>1.0348367987959092E-2</v>
      </c>
      <c r="N15" s="15">
        <f>-SLOPE(N3:N13,$B$3:$B$13)</f>
        <v>1.3827781929114755E-2</v>
      </c>
      <c r="O15" s="15">
        <f>-SLOPE(O3:O13,$B$3:$B$13)</f>
        <v>1.0086662863443854E-2</v>
      </c>
    </row>
    <row r="16" spans="1:15" x14ac:dyDescent="0.25">
      <c r="K16" t="s">
        <v>43</v>
      </c>
      <c r="L16" s="15">
        <f>(CORREL(L3:L13,$B$3:$B$13))^2</f>
        <v>0.17490907080147747</v>
      </c>
      <c r="M16" s="15">
        <f>(CORREL(M3:M13,$B$3:$B$13))^2</f>
        <v>0.50616713288812554</v>
      </c>
      <c r="N16" s="15">
        <f>(CORREL(N3:N13,$B$3:$B$13))^2</f>
        <v>0.51997787691981823</v>
      </c>
      <c r="O16" s="15">
        <f>(CORREL(O3:O13,$B$3:$B$13))^2</f>
        <v>0.40039076722890993</v>
      </c>
    </row>
    <row r="17" spans="2:15" x14ac:dyDescent="0.25">
      <c r="B17" s="82"/>
      <c r="C17" s="37"/>
      <c r="D17" s="37"/>
      <c r="E17" s="37"/>
      <c r="F17" s="37"/>
      <c r="G17" s="27"/>
      <c r="H17" s="27"/>
      <c r="K17" t="s">
        <v>46</v>
      </c>
      <c r="L17" s="142">
        <f>(L15*($G$3/1000000))/Constants!$K$8</f>
        <v>2.2455013660497138E-4</v>
      </c>
      <c r="M17" s="142">
        <f>(M15*($G$3/1000000))/Constants!$K$8</f>
        <v>3.5199884639924601E-4</v>
      </c>
      <c r="N17" s="142">
        <f>(N15*($G$3/1000000))/Constants!$K$8</f>
        <v>4.7035081212536936E-4</v>
      </c>
      <c r="O17" s="142">
        <f>(O15*($G$3/1000000))/Constants!$K$8</f>
        <v>3.4309696911450683E-4</v>
      </c>
    </row>
    <row r="18" spans="2:15" x14ac:dyDescent="0.25">
      <c r="B18" s="27"/>
      <c r="C18" s="27"/>
      <c r="D18" s="27"/>
      <c r="E18" s="27"/>
      <c r="F18" s="27"/>
      <c r="G18" s="27"/>
      <c r="H18" s="27"/>
      <c r="K18" t="s">
        <v>47</v>
      </c>
      <c r="L18" s="142">
        <f t="shared" ref="L18:O18" si="8">L17/3600</f>
        <v>6.2375037945825381E-8</v>
      </c>
      <c r="M18" s="142">
        <f t="shared" si="8"/>
        <v>9.777745733312389E-8</v>
      </c>
      <c r="N18" s="142">
        <f t="shared" si="8"/>
        <v>1.3065300336815817E-7</v>
      </c>
      <c r="O18" s="142">
        <f t="shared" si="8"/>
        <v>9.5304713642918571E-8</v>
      </c>
    </row>
    <row r="19" spans="2:15" x14ac:dyDescent="0.25">
      <c r="B19" s="27"/>
      <c r="C19" s="27"/>
      <c r="D19" s="27"/>
      <c r="E19" s="27"/>
      <c r="F19" s="27"/>
      <c r="G19" s="27"/>
      <c r="H19" s="27"/>
      <c r="K19" s="1" t="s">
        <v>64</v>
      </c>
      <c r="L19" s="155">
        <f t="shared" ref="L19:O19" si="9">L18*10^6</f>
        <v>6.2375037945825378E-2</v>
      </c>
      <c r="M19" s="155">
        <f t="shared" si="9"/>
        <v>9.7777457333123888E-2</v>
      </c>
      <c r="N19" s="155">
        <f t="shared" si="9"/>
        <v>0.13065300336815816</v>
      </c>
      <c r="O19" s="155">
        <f t="shared" si="9"/>
        <v>9.5304713642918565E-2</v>
      </c>
    </row>
    <row r="21" spans="2:15" x14ac:dyDescent="0.25">
      <c r="C21" s="27"/>
      <c r="D21" s="27"/>
      <c r="E21" s="27"/>
      <c r="F21" s="27"/>
      <c r="G21" s="27"/>
      <c r="H21" s="27"/>
    </row>
    <row r="22" spans="2:15" x14ac:dyDescent="0.25">
      <c r="C22" s="27"/>
      <c r="D22" s="27"/>
      <c r="E22" s="27"/>
      <c r="F22" s="27"/>
      <c r="G22" s="27"/>
      <c r="H22" s="27"/>
    </row>
  </sheetData>
  <mergeCells count="6">
    <mergeCell ref="L1:O1"/>
    <mergeCell ref="A1:A2"/>
    <mergeCell ref="B1:B2"/>
    <mergeCell ref="C1:F1"/>
    <mergeCell ref="G1:H1"/>
    <mergeCell ref="I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Expt overview</vt:lpstr>
      <vt:lpstr>Table 6</vt:lpstr>
      <vt:lpstr>Expt. 1.1</vt:lpstr>
      <vt:lpstr>Expt. 1.2</vt:lpstr>
      <vt:lpstr>Expt. 2.1</vt:lpstr>
      <vt:lpstr>Expt. 2.2</vt:lpstr>
      <vt:lpstr>Expt. 3.1</vt:lpstr>
      <vt:lpstr>Expt. 3.2</vt:lpstr>
      <vt:lpstr>Expt. 4.1</vt:lpstr>
      <vt:lpstr>Expt. 4.2</vt:lpstr>
      <vt:lpstr>Expt. 5.1</vt:lpstr>
      <vt:lpstr>Expt. 5.2</vt:lpstr>
      <vt:lpstr>Expt. 6.1</vt:lpstr>
      <vt:lpstr>Expt. 6.2</vt:lpstr>
      <vt:lpstr>Table 3</vt:lpstr>
      <vt:lpstr> HBu Transfer</vt:lpstr>
      <vt:lpstr>Constants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Outram V.</dc:creator>
  <cp:lastModifiedBy>Zhang Y.</cp:lastModifiedBy>
  <cp:lastPrinted>2018-07-23T14:07:15Z</cp:lastPrinted>
  <dcterms:created xsi:type="dcterms:W3CDTF">2018-05-23T08:51:40Z</dcterms:created>
  <dcterms:modified xsi:type="dcterms:W3CDTF">2018-09-12T09:04:52Z</dcterms:modified>
</cp:coreProperties>
</file>