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/>
  </bookViews>
  <sheets>
    <sheet name="Variables" sheetId="7" r:id="rId1"/>
    <sheet name="Tickets" sheetId="1" r:id="rId2"/>
    <sheet name="Users" sheetId="2" r:id="rId3"/>
    <sheet name="Reliability" sheetId="3" r:id="rId4"/>
    <sheet name="RideQuality" sheetId="4" r:id="rId5"/>
    <sheet name="Noise" sheetId="5" r:id="rId6"/>
    <sheet name="CBA" sheetId="6" r:id="rId7"/>
  </sheets>
  <calcPr calcId="152511"/>
</workbook>
</file>

<file path=xl/calcChain.xml><?xml version="1.0" encoding="utf-8"?>
<calcChain xmlns="http://schemas.openxmlformats.org/spreadsheetml/2006/main">
  <c r="G5" i="6" l="1"/>
  <c r="D209" i="1" l="1"/>
  <c r="E209" i="1"/>
  <c r="B29" i="6" l="1"/>
  <c r="AA92" i="2" l="1"/>
  <c r="Z92" i="2"/>
  <c r="AA91" i="2"/>
  <c r="Z91" i="2"/>
  <c r="AA90" i="2"/>
  <c r="Z90" i="2"/>
  <c r="AA89" i="2"/>
  <c r="Z89" i="2"/>
  <c r="AA88" i="2"/>
  <c r="Z88" i="2"/>
  <c r="AA87" i="2"/>
  <c r="Z87" i="2"/>
  <c r="AA86" i="2"/>
  <c r="Z86" i="2"/>
  <c r="AA85" i="2"/>
  <c r="Z85" i="2"/>
  <c r="AA84" i="2"/>
  <c r="Z84" i="2"/>
  <c r="AA79" i="2"/>
  <c r="Z79" i="2"/>
  <c r="AA78" i="2"/>
  <c r="Z78" i="2"/>
  <c r="AA77" i="2"/>
  <c r="Z77" i="2"/>
  <c r="AA76" i="2"/>
  <c r="Z76" i="2"/>
  <c r="AA75" i="2"/>
  <c r="Z75" i="2"/>
  <c r="AA74" i="2"/>
  <c r="Z74" i="2"/>
  <c r="AA73" i="2"/>
  <c r="Z73" i="2"/>
  <c r="AA72" i="2"/>
  <c r="Z72" i="2"/>
  <c r="AA71" i="2"/>
  <c r="Z71" i="2"/>
  <c r="AA67" i="2"/>
  <c r="Z67" i="2"/>
  <c r="AA66" i="2"/>
  <c r="Z66" i="2"/>
  <c r="AA65" i="2"/>
  <c r="Z65" i="2"/>
  <c r="AA64" i="2"/>
  <c r="Z64" i="2"/>
  <c r="AA63" i="2"/>
  <c r="Z63" i="2"/>
  <c r="AA62" i="2"/>
  <c r="Z62" i="2"/>
  <c r="AA61" i="2"/>
  <c r="Z61" i="2"/>
  <c r="AA60" i="2"/>
  <c r="Z60" i="2"/>
  <c r="AA59" i="2"/>
  <c r="Z59" i="2"/>
  <c r="AA55" i="2"/>
  <c r="Z55" i="2"/>
  <c r="AA54" i="2"/>
  <c r="Z54" i="2"/>
  <c r="AA53" i="2"/>
  <c r="Z53" i="2"/>
  <c r="AA52" i="2"/>
  <c r="Z52" i="2"/>
  <c r="AA51" i="2"/>
  <c r="Z51" i="2"/>
  <c r="AA50" i="2"/>
  <c r="Z50" i="2"/>
  <c r="AA49" i="2"/>
  <c r="Z49" i="2"/>
  <c r="AA48" i="2"/>
  <c r="Z48" i="2"/>
  <c r="AA47" i="2"/>
  <c r="Z47" i="2"/>
  <c r="AA43" i="2"/>
  <c r="Z43" i="2"/>
  <c r="AA38" i="2"/>
  <c r="Z38" i="2"/>
  <c r="AA37" i="2"/>
  <c r="Z37" i="2"/>
  <c r="AA36" i="2"/>
  <c r="Z36" i="2"/>
  <c r="AA35" i="2"/>
  <c r="Z35" i="2"/>
  <c r="AA32" i="2"/>
  <c r="Z32" i="2"/>
  <c r="AA31" i="2"/>
  <c r="Z31" i="2"/>
  <c r="AA30" i="2"/>
  <c r="Z30" i="2"/>
  <c r="AA29" i="2"/>
  <c r="Z29" i="2"/>
  <c r="AA28" i="2"/>
  <c r="Z28" i="2"/>
  <c r="AA24" i="2"/>
  <c r="Z24" i="2"/>
  <c r="AA23" i="2"/>
  <c r="Z23" i="2"/>
  <c r="AA22" i="2"/>
  <c r="Z22" i="2"/>
  <c r="AA21" i="2"/>
  <c r="Z21" i="2"/>
  <c r="AA18" i="2"/>
  <c r="Z18" i="2"/>
  <c r="AA17" i="2"/>
  <c r="Z17" i="2"/>
  <c r="AA16" i="2"/>
  <c r="Z16" i="2"/>
  <c r="AA15" i="2"/>
  <c r="Z15" i="2"/>
  <c r="AA14" i="2"/>
  <c r="Z14" i="2"/>
  <c r="R27" i="2"/>
  <c r="R26" i="2"/>
  <c r="L26" i="2"/>
  <c r="U25" i="2"/>
  <c r="R25" i="2"/>
  <c r="L25" i="2"/>
  <c r="U24" i="2"/>
  <c r="R24" i="2"/>
  <c r="O24" i="2"/>
  <c r="L24" i="2"/>
  <c r="O23" i="2"/>
  <c r="L23" i="2"/>
  <c r="T20" i="2"/>
  <c r="S20" i="2"/>
  <c r="R20" i="2"/>
  <c r="Q20" i="2"/>
  <c r="P20" i="2"/>
  <c r="O20" i="2"/>
  <c r="N20" i="2"/>
  <c r="M20" i="2"/>
  <c r="L20" i="2"/>
  <c r="K20" i="2"/>
  <c r="J20" i="2"/>
  <c r="T19" i="2"/>
  <c r="S19" i="2"/>
  <c r="R19" i="2"/>
  <c r="Q19" i="2"/>
  <c r="P19" i="2"/>
  <c r="O19" i="2"/>
  <c r="N19" i="2"/>
  <c r="M19" i="2"/>
  <c r="L19" i="2"/>
  <c r="K19" i="2"/>
  <c r="J19" i="2"/>
  <c r="T18" i="2"/>
  <c r="S18" i="2"/>
  <c r="R18" i="2"/>
  <c r="Q18" i="2"/>
  <c r="P18" i="2"/>
  <c r="O18" i="2"/>
  <c r="N18" i="2"/>
  <c r="M18" i="2"/>
  <c r="L18" i="2"/>
  <c r="K18" i="2"/>
  <c r="J18" i="2"/>
  <c r="T17" i="2"/>
  <c r="S17" i="2"/>
  <c r="R17" i="2"/>
  <c r="Q17" i="2"/>
  <c r="P17" i="2"/>
  <c r="O17" i="2"/>
  <c r="N17" i="2"/>
  <c r="M17" i="2"/>
  <c r="L17" i="2"/>
  <c r="K17" i="2"/>
  <c r="J17" i="2"/>
  <c r="T16" i="2"/>
  <c r="S16" i="2"/>
  <c r="R16" i="2"/>
  <c r="Q16" i="2"/>
  <c r="P16" i="2"/>
  <c r="O16" i="2"/>
  <c r="N16" i="2"/>
  <c r="M16" i="2"/>
  <c r="L16" i="2"/>
  <c r="K16" i="2"/>
  <c r="J16" i="2"/>
  <c r="H33" i="2"/>
  <c r="G33" i="2"/>
  <c r="H32" i="2"/>
  <c r="G32" i="2"/>
  <c r="H31" i="2"/>
  <c r="G31" i="2"/>
  <c r="H30" i="2"/>
  <c r="G30" i="2"/>
  <c r="G29" i="2"/>
  <c r="J39" i="2"/>
  <c r="B39" i="2"/>
  <c r="J38" i="2"/>
  <c r="B38" i="2"/>
  <c r="M37" i="2"/>
  <c r="J37" i="2"/>
  <c r="F37" i="2"/>
  <c r="B37" i="2"/>
  <c r="M36" i="2"/>
  <c r="J36" i="2"/>
  <c r="F36" i="2"/>
  <c r="B36" i="2"/>
  <c r="C249" i="1" l="1"/>
  <c r="C237" i="1"/>
  <c r="I206" i="1"/>
  <c r="H206" i="1"/>
  <c r="G206" i="1"/>
  <c r="F206" i="1"/>
  <c r="E206" i="1"/>
  <c r="D206" i="1"/>
  <c r="C206" i="1"/>
  <c r="I193" i="1"/>
  <c r="H193" i="1"/>
  <c r="G193" i="1"/>
  <c r="F193" i="1"/>
  <c r="E193" i="1"/>
  <c r="D193" i="1"/>
  <c r="C193" i="1"/>
  <c r="F177" i="1"/>
  <c r="F174" i="1"/>
  <c r="F175" i="1"/>
  <c r="F176" i="1"/>
  <c r="E177" i="1"/>
  <c r="E174" i="1"/>
  <c r="E175" i="1"/>
  <c r="E176" i="1"/>
  <c r="D177" i="1"/>
  <c r="D174" i="1"/>
  <c r="D175" i="1"/>
  <c r="D176" i="1"/>
  <c r="F166" i="1"/>
  <c r="E166" i="1"/>
  <c r="D166" i="1"/>
  <c r="F163" i="1"/>
  <c r="F164" i="1"/>
  <c r="F165" i="1"/>
  <c r="E163" i="1"/>
  <c r="E164" i="1"/>
  <c r="E165" i="1"/>
  <c r="D163" i="1"/>
  <c r="D164" i="1"/>
  <c r="D165" i="1"/>
  <c r="F155" i="1"/>
  <c r="F152" i="1"/>
  <c r="F153" i="1"/>
  <c r="F154" i="1"/>
  <c r="E155" i="1"/>
  <c r="E152" i="1"/>
  <c r="E153" i="1"/>
  <c r="E154" i="1"/>
  <c r="D155" i="1"/>
  <c r="D148" i="1"/>
  <c r="D149" i="1"/>
  <c r="D150" i="1"/>
  <c r="D151" i="1"/>
  <c r="D152" i="1"/>
  <c r="D153" i="1"/>
  <c r="D154" i="1"/>
  <c r="D147" i="1"/>
  <c r="F144" i="1"/>
  <c r="F137" i="1"/>
  <c r="F138" i="1"/>
  <c r="F139" i="1"/>
  <c r="F140" i="1"/>
  <c r="F141" i="1"/>
  <c r="F142" i="1"/>
  <c r="F143" i="1"/>
  <c r="F136" i="1"/>
  <c r="E144" i="1"/>
  <c r="E137" i="1"/>
  <c r="E138" i="1"/>
  <c r="E139" i="1"/>
  <c r="E140" i="1"/>
  <c r="E141" i="1"/>
  <c r="E142" i="1"/>
  <c r="E143" i="1"/>
  <c r="E136" i="1"/>
  <c r="D144" i="1"/>
  <c r="D137" i="1"/>
  <c r="D138" i="1"/>
  <c r="D139" i="1"/>
  <c r="D140" i="1"/>
  <c r="D141" i="1"/>
  <c r="D142" i="1"/>
  <c r="D143" i="1"/>
  <c r="D136" i="1"/>
  <c r="H133" i="1"/>
  <c r="G133" i="1"/>
  <c r="F133" i="1"/>
  <c r="E133" i="1"/>
  <c r="D133" i="1"/>
  <c r="D122" i="1"/>
  <c r="E122" i="1"/>
  <c r="F122" i="1"/>
  <c r="G122" i="1"/>
  <c r="H122" i="1"/>
  <c r="I122" i="1"/>
  <c r="J122" i="1"/>
  <c r="J111" i="1"/>
  <c r="I111" i="1"/>
  <c r="H111" i="1"/>
  <c r="G111" i="1"/>
  <c r="F111" i="1"/>
  <c r="E111" i="1"/>
  <c r="D111" i="1"/>
  <c r="H126" i="1"/>
  <c r="H127" i="1"/>
  <c r="H128" i="1"/>
  <c r="H129" i="1"/>
  <c r="H130" i="1"/>
  <c r="H131" i="1"/>
  <c r="H132" i="1"/>
  <c r="H125" i="1"/>
  <c r="G126" i="1"/>
  <c r="G127" i="1"/>
  <c r="G128" i="1"/>
  <c r="G129" i="1"/>
  <c r="G130" i="1"/>
  <c r="G131" i="1"/>
  <c r="G132" i="1"/>
  <c r="G125" i="1"/>
  <c r="F126" i="1"/>
  <c r="F127" i="1"/>
  <c r="F128" i="1"/>
  <c r="F129" i="1"/>
  <c r="F130" i="1"/>
  <c r="F131" i="1"/>
  <c r="F132" i="1"/>
  <c r="F125" i="1"/>
  <c r="E126" i="1"/>
  <c r="E127" i="1"/>
  <c r="E128" i="1"/>
  <c r="E129" i="1"/>
  <c r="E130" i="1"/>
  <c r="E131" i="1"/>
  <c r="E132" i="1"/>
  <c r="E125" i="1"/>
  <c r="D126" i="1"/>
  <c r="D127" i="1"/>
  <c r="D128" i="1"/>
  <c r="D129" i="1"/>
  <c r="D130" i="1"/>
  <c r="D131" i="1"/>
  <c r="D132" i="1"/>
  <c r="D125" i="1"/>
  <c r="J115" i="1"/>
  <c r="J116" i="1"/>
  <c r="J117" i="1"/>
  <c r="J118" i="1"/>
  <c r="J119" i="1"/>
  <c r="J120" i="1"/>
  <c r="J121" i="1"/>
  <c r="J114" i="1"/>
  <c r="I115" i="1"/>
  <c r="I116" i="1"/>
  <c r="I117" i="1"/>
  <c r="I118" i="1"/>
  <c r="I119" i="1"/>
  <c r="I120" i="1"/>
  <c r="I121" i="1"/>
  <c r="I114" i="1"/>
  <c r="H115" i="1"/>
  <c r="H116" i="1"/>
  <c r="H117" i="1"/>
  <c r="H118" i="1"/>
  <c r="H119" i="1"/>
  <c r="H120" i="1"/>
  <c r="H121" i="1"/>
  <c r="H114" i="1"/>
  <c r="G115" i="1"/>
  <c r="G116" i="1"/>
  <c r="G117" i="1"/>
  <c r="G118" i="1"/>
  <c r="G119" i="1"/>
  <c r="G120" i="1"/>
  <c r="G121" i="1"/>
  <c r="G114" i="1"/>
  <c r="F115" i="1"/>
  <c r="F116" i="1"/>
  <c r="F117" i="1"/>
  <c r="F118" i="1"/>
  <c r="F119" i="1"/>
  <c r="F120" i="1"/>
  <c r="F121" i="1"/>
  <c r="F114" i="1"/>
  <c r="E115" i="1"/>
  <c r="E116" i="1"/>
  <c r="E117" i="1"/>
  <c r="E118" i="1"/>
  <c r="E119" i="1"/>
  <c r="E120" i="1"/>
  <c r="E121" i="1"/>
  <c r="E114" i="1"/>
  <c r="D115" i="1"/>
  <c r="D116" i="1"/>
  <c r="D117" i="1"/>
  <c r="D118" i="1"/>
  <c r="D119" i="1"/>
  <c r="D120" i="1"/>
  <c r="D121" i="1"/>
  <c r="D114" i="1"/>
  <c r="J104" i="1"/>
  <c r="J105" i="1"/>
  <c r="J106" i="1"/>
  <c r="J107" i="1"/>
  <c r="J108" i="1"/>
  <c r="J109" i="1"/>
  <c r="J110" i="1"/>
  <c r="J103" i="1"/>
  <c r="I104" i="1"/>
  <c r="I105" i="1"/>
  <c r="I106" i="1"/>
  <c r="I107" i="1"/>
  <c r="I108" i="1"/>
  <c r="I109" i="1"/>
  <c r="I110" i="1"/>
  <c r="I103" i="1"/>
  <c r="F104" i="1"/>
  <c r="F105" i="1"/>
  <c r="F106" i="1"/>
  <c r="F107" i="1"/>
  <c r="F108" i="1"/>
  <c r="F109" i="1"/>
  <c r="F110" i="1"/>
  <c r="F103" i="1"/>
  <c r="H104" i="1"/>
  <c r="H105" i="1"/>
  <c r="H106" i="1"/>
  <c r="H107" i="1"/>
  <c r="H108" i="1"/>
  <c r="H109" i="1"/>
  <c r="H110" i="1"/>
  <c r="H103" i="1"/>
  <c r="G104" i="1"/>
  <c r="G105" i="1"/>
  <c r="G106" i="1"/>
  <c r="G107" i="1"/>
  <c r="G108" i="1"/>
  <c r="G109" i="1"/>
  <c r="G110" i="1"/>
  <c r="G103" i="1"/>
  <c r="E104" i="1"/>
  <c r="E105" i="1"/>
  <c r="E106" i="1"/>
  <c r="E107" i="1"/>
  <c r="E108" i="1"/>
  <c r="E109" i="1"/>
  <c r="E110" i="1"/>
  <c r="E103" i="1"/>
  <c r="D104" i="1" l="1"/>
  <c r="D105" i="1"/>
  <c r="D106" i="1"/>
  <c r="D107" i="1"/>
  <c r="D108" i="1"/>
  <c r="D109" i="1"/>
  <c r="D110" i="1"/>
  <c r="D103" i="1"/>
  <c r="F79" i="1"/>
  <c r="G79" i="1"/>
  <c r="H79" i="1"/>
  <c r="I79" i="1"/>
  <c r="J79" i="1"/>
  <c r="K79" i="1"/>
  <c r="L79" i="1"/>
  <c r="M79" i="1"/>
  <c r="N79" i="1"/>
  <c r="O79" i="1"/>
  <c r="P79" i="1"/>
  <c r="F80" i="1"/>
  <c r="G80" i="1"/>
  <c r="H80" i="1"/>
  <c r="I80" i="1"/>
  <c r="J80" i="1"/>
  <c r="K80" i="1"/>
  <c r="L80" i="1"/>
  <c r="M80" i="1"/>
  <c r="N80" i="1"/>
  <c r="O80" i="1"/>
  <c r="P80" i="1"/>
  <c r="F81" i="1"/>
  <c r="G81" i="1"/>
  <c r="H81" i="1"/>
  <c r="I81" i="1"/>
  <c r="J81" i="1"/>
  <c r="K81" i="1"/>
  <c r="L81" i="1"/>
  <c r="M81" i="1"/>
  <c r="N81" i="1"/>
  <c r="O81" i="1"/>
  <c r="P81" i="1"/>
  <c r="F82" i="1"/>
  <c r="G82" i="1"/>
  <c r="H82" i="1"/>
  <c r="I82" i="1"/>
  <c r="J82" i="1"/>
  <c r="K82" i="1"/>
  <c r="L82" i="1"/>
  <c r="M82" i="1"/>
  <c r="N82" i="1"/>
  <c r="O82" i="1"/>
  <c r="P82" i="1"/>
  <c r="F83" i="1"/>
  <c r="G83" i="1"/>
  <c r="H83" i="1"/>
  <c r="I83" i="1"/>
  <c r="J83" i="1"/>
  <c r="K83" i="1"/>
  <c r="L83" i="1"/>
  <c r="M83" i="1"/>
  <c r="N83" i="1"/>
  <c r="O83" i="1"/>
  <c r="P83" i="1"/>
  <c r="F149" i="1" s="1"/>
  <c r="F160" i="1" s="1"/>
  <c r="F171" i="1" s="1"/>
  <c r="F84" i="1"/>
  <c r="G84" i="1"/>
  <c r="H84" i="1"/>
  <c r="I84" i="1"/>
  <c r="J84" i="1"/>
  <c r="K84" i="1"/>
  <c r="L84" i="1"/>
  <c r="M84" i="1"/>
  <c r="N84" i="1"/>
  <c r="O84" i="1"/>
  <c r="P84" i="1"/>
  <c r="F85" i="1"/>
  <c r="G85" i="1"/>
  <c r="H85" i="1"/>
  <c r="I85" i="1"/>
  <c r="J85" i="1"/>
  <c r="K85" i="1"/>
  <c r="L85" i="1"/>
  <c r="M85" i="1"/>
  <c r="N85" i="1"/>
  <c r="O85" i="1"/>
  <c r="P85" i="1"/>
  <c r="F86" i="1"/>
  <c r="G86" i="1"/>
  <c r="H86" i="1"/>
  <c r="I86" i="1"/>
  <c r="J86" i="1"/>
  <c r="K86" i="1"/>
  <c r="L86" i="1"/>
  <c r="M86" i="1"/>
  <c r="N86" i="1"/>
  <c r="O86" i="1"/>
  <c r="P86" i="1"/>
  <c r="Q80" i="1"/>
  <c r="Q81" i="1"/>
  <c r="Q82" i="1"/>
  <c r="Q83" i="1"/>
  <c r="Q84" i="1"/>
  <c r="Q85" i="1"/>
  <c r="Q86" i="1"/>
  <c r="Q79" i="1"/>
  <c r="N38" i="1"/>
  <c r="L10" i="1"/>
  <c r="J10" i="1"/>
  <c r="J2" i="1"/>
  <c r="L2" i="1"/>
  <c r="J3" i="1"/>
  <c r="L3" i="1"/>
  <c r="J4" i="1"/>
  <c r="L4" i="1"/>
  <c r="J5" i="1"/>
  <c r="L5" i="1"/>
  <c r="J128" i="1" s="1"/>
  <c r="J6" i="1"/>
  <c r="L6" i="1"/>
  <c r="J7" i="1"/>
  <c r="L7" i="1"/>
  <c r="J8" i="1"/>
  <c r="L8" i="1"/>
  <c r="J9" i="1"/>
  <c r="L9" i="1"/>
  <c r="I133" i="1"/>
  <c r="I144" i="1" s="1"/>
  <c r="I155" i="1" s="1"/>
  <c r="I166" i="1" s="1"/>
  <c r="I177" i="1" s="1"/>
  <c r="D26" i="1"/>
  <c r="E26" i="1"/>
  <c r="F26" i="1"/>
  <c r="G26" i="1"/>
  <c r="H26" i="1"/>
  <c r="J26" i="1"/>
  <c r="L26" i="1"/>
  <c r="N26" i="1"/>
  <c r="D27" i="1"/>
  <c r="E27" i="1"/>
  <c r="F27" i="1"/>
  <c r="G27" i="1"/>
  <c r="H27" i="1"/>
  <c r="J27" i="1"/>
  <c r="L27" i="1"/>
  <c r="N27" i="1"/>
  <c r="D28" i="1"/>
  <c r="E28" i="1"/>
  <c r="F28" i="1"/>
  <c r="G28" i="1"/>
  <c r="H28" i="1"/>
  <c r="J28" i="1"/>
  <c r="L28" i="1"/>
  <c r="N28" i="1"/>
  <c r="D29" i="1"/>
  <c r="E29" i="1"/>
  <c r="F29" i="1"/>
  <c r="G29" i="1"/>
  <c r="H29" i="1"/>
  <c r="J29" i="1"/>
  <c r="L29" i="1"/>
  <c r="N29" i="1"/>
  <c r="D30" i="1"/>
  <c r="E30" i="1"/>
  <c r="F30" i="1"/>
  <c r="G30" i="1"/>
  <c r="H30" i="1"/>
  <c r="J30" i="1"/>
  <c r="L30" i="1"/>
  <c r="N30" i="1"/>
  <c r="D31" i="1"/>
  <c r="E31" i="1"/>
  <c r="F31" i="1"/>
  <c r="G31" i="1"/>
  <c r="H31" i="1"/>
  <c r="J31" i="1"/>
  <c r="L31" i="1"/>
  <c r="N31" i="1"/>
  <c r="D32" i="1"/>
  <c r="E32" i="1"/>
  <c r="F32" i="1"/>
  <c r="G32" i="1"/>
  <c r="H32" i="1"/>
  <c r="J32" i="1"/>
  <c r="L32" i="1"/>
  <c r="N32" i="1"/>
  <c r="D33" i="1"/>
  <c r="E33" i="1"/>
  <c r="F33" i="1"/>
  <c r="G33" i="1"/>
  <c r="H33" i="1"/>
  <c r="J33" i="1"/>
  <c r="L33" i="1"/>
  <c r="N33" i="1"/>
  <c r="D34" i="1"/>
  <c r="E34" i="1"/>
  <c r="F34" i="1"/>
  <c r="G34" i="1"/>
  <c r="H34" i="1"/>
  <c r="J34" i="1"/>
  <c r="L34" i="1"/>
  <c r="N34" i="1"/>
  <c r="D35" i="1"/>
  <c r="E35" i="1"/>
  <c r="F35" i="1"/>
  <c r="G35" i="1"/>
  <c r="H35" i="1"/>
  <c r="J35" i="1"/>
  <c r="L35" i="1"/>
  <c r="N35" i="1"/>
  <c r="D36" i="1"/>
  <c r="E36" i="1"/>
  <c r="F36" i="1"/>
  <c r="G36" i="1"/>
  <c r="H36" i="1"/>
  <c r="J36" i="1"/>
  <c r="L36" i="1"/>
  <c r="N36" i="1"/>
  <c r="D37" i="1"/>
  <c r="E37" i="1"/>
  <c r="F37" i="1"/>
  <c r="G37" i="1"/>
  <c r="H37" i="1"/>
  <c r="J37" i="1"/>
  <c r="L37" i="1"/>
  <c r="N37" i="1"/>
  <c r="D38" i="1"/>
  <c r="E38" i="1"/>
  <c r="F38" i="1"/>
  <c r="G38" i="1"/>
  <c r="H38" i="1"/>
  <c r="J38" i="1"/>
  <c r="L38" i="1"/>
  <c r="H67" i="1"/>
  <c r="H73" i="1"/>
  <c r="I74" i="1"/>
  <c r="J74" i="1"/>
  <c r="F148" i="1"/>
  <c r="F159" i="1" s="1"/>
  <c r="F170" i="1" s="1"/>
  <c r="H139" i="1"/>
  <c r="H150" i="1" s="1"/>
  <c r="H161" i="1" s="1"/>
  <c r="H172" i="1" s="1"/>
  <c r="F147" i="1"/>
  <c r="F158" i="1" s="1"/>
  <c r="E149" i="1"/>
  <c r="E160" i="1" s="1"/>
  <c r="E171" i="1" s="1"/>
  <c r="J133" i="1"/>
  <c r="J144" i="1" s="1"/>
  <c r="J155" i="1" s="1"/>
  <c r="J166" i="1" s="1"/>
  <c r="J177" i="1" s="1"/>
  <c r="I132" i="1"/>
  <c r="I143" i="1" s="1"/>
  <c r="G144" i="1"/>
  <c r="G155" i="1" s="1"/>
  <c r="G166" i="1" s="1"/>
  <c r="G177" i="1" s="1"/>
  <c r="H144" i="1"/>
  <c r="H155" i="1" s="1"/>
  <c r="H166" i="1" s="1"/>
  <c r="H177" i="1" s="1"/>
  <c r="M223" i="1"/>
  <c r="N223" i="1"/>
  <c r="O223" i="1"/>
  <c r="P223" i="1" s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AR225" i="1"/>
  <c r="AS225" i="1"/>
  <c r="AT225" i="1"/>
  <c r="AU225" i="1"/>
  <c r="AV225" i="1"/>
  <c r="AW225" i="1"/>
  <c r="AX225" i="1"/>
  <c r="AY225" i="1"/>
  <c r="AZ225" i="1"/>
  <c r="BA225" i="1"/>
  <c r="BB225" i="1"/>
  <c r="BC225" i="1"/>
  <c r="BD225" i="1"/>
  <c r="BE225" i="1"/>
  <c r="BF225" i="1"/>
  <c r="BG225" i="1"/>
  <c r="BH225" i="1"/>
  <c r="BI225" i="1"/>
  <c r="BJ225" i="1"/>
  <c r="BK225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C240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C266" i="1"/>
  <c r="D266" i="1"/>
  <c r="E266" i="1"/>
  <c r="F266" i="1"/>
  <c r="F271" i="1" s="1"/>
  <c r="G266" i="1"/>
  <c r="G271" i="1" s="1"/>
  <c r="H266" i="1"/>
  <c r="I266" i="1"/>
  <c r="J266" i="1"/>
  <c r="K266" i="1"/>
  <c r="L266" i="1"/>
  <c r="L271" i="1" s="1"/>
  <c r="M266" i="1"/>
  <c r="M271" i="1" s="1"/>
  <c r="N266" i="1"/>
  <c r="N271" i="1" s="1"/>
  <c r="O266" i="1"/>
  <c r="O271" i="1" s="1"/>
  <c r="P266" i="1"/>
  <c r="C271" i="1"/>
  <c r="D271" i="1"/>
  <c r="E271" i="1"/>
  <c r="H271" i="1"/>
  <c r="I271" i="1"/>
  <c r="J271" i="1"/>
  <c r="K271" i="1"/>
  <c r="P271" i="1"/>
  <c r="AC275" i="1"/>
  <c r="BD275" i="1"/>
  <c r="AF276" i="1"/>
  <c r="BJ276" i="1"/>
  <c r="AN2" i="2"/>
  <c r="AO3" i="2"/>
  <c r="AO2" i="2" s="1"/>
  <c r="X6" i="2"/>
  <c r="Y6" i="2"/>
  <c r="Z6" i="2"/>
  <c r="S2" i="3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BD2" i="3" s="1"/>
  <c r="BE2" i="3" s="1"/>
  <c r="BF2" i="3" s="1"/>
  <c r="BG2" i="3" s="1"/>
  <c r="BH2" i="3" s="1"/>
  <c r="BI2" i="3" s="1"/>
  <c r="BJ2" i="3" s="1"/>
  <c r="BK2" i="3" s="1"/>
  <c r="BL2" i="3" s="1"/>
  <c r="BM2" i="3" s="1"/>
  <c r="BN2" i="3" s="1"/>
  <c r="BO2" i="3" s="1"/>
  <c r="BP2" i="3" s="1"/>
  <c r="BQ2" i="3" s="1"/>
  <c r="BR2" i="3" s="1"/>
  <c r="BS2" i="3" s="1"/>
  <c r="BT2" i="3" s="1"/>
  <c r="BU2" i="3" s="1"/>
  <c r="BV2" i="3" s="1"/>
  <c r="BW2" i="3" s="1"/>
  <c r="BX2" i="3" s="1"/>
  <c r="BY2" i="3" s="1"/>
  <c r="BZ2" i="3" s="1"/>
  <c r="R5" i="3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L5" i="3" s="1"/>
  <c r="AM5" i="3" s="1"/>
  <c r="AN5" i="3" s="1"/>
  <c r="AO5" i="3" s="1"/>
  <c r="AP5" i="3" s="1"/>
  <c r="AQ5" i="3" s="1"/>
  <c r="AR5" i="3" s="1"/>
  <c r="AS5" i="3" s="1"/>
  <c r="AT5" i="3" s="1"/>
  <c r="AU5" i="3" s="1"/>
  <c r="AV5" i="3" s="1"/>
  <c r="AW5" i="3" s="1"/>
  <c r="AX5" i="3" s="1"/>
  <c r="AY5" i="3" s="1"/>
  <c r="AZ5" i="3" s="1"/>
  <c r="BA5" i="3" s="1"/>
  <c r="BB5" i="3" s="1"/>
  <c r="BC5" i="3" s="1"/>
  <c r="BD5" i="3" s="1"/>
  <c r="BE5" i="3" s="1"/>
  <c r="BF5" i="3" s="1"/>
  <c r="BG5" i="3" s="1"/>
  <c r="BH5" i="3" s="1"/>
  <c r="BI5" i="3" s="1"/>
  <c r="BJ5" i="3" s="1"/>
  <c r="BK5" i="3" s="1"/>
  <c r="BL5" i="3" s="1"/>
  <c r="BM5" i="3" s="1"/>
  <c r="BN5" i="3" s="1"/>
  <c r="BO5" i="3" s="1"/>
  <c r="BP5" i="3" s="1"/>
  <c r="BQ5" i="3" s="1"/>
  <c r="BR5" i="3" s="1"/>
  <c r="BS5" i="3" s="1"/>
  <c r="BT5" i="3" s="1"/>
  <c r="BU5" i="3" s="1"/>
  <c r="BV5" i="3" s="1"/>
  <c r="BW5" i="3" s="1"/>
  <c r="BX5" i="3" s="1"/>
  <c r="BY5" i="3" s="1"/>
  <c r="BZ5" i="3" s="1"/>
  <c r="E151" i="1" l="1"/>
  <c r="E162" i="1" s="1"/>
  <c r="E173" i="1" s="1"/>
  <c r="F169" i="1"/>
  <c r="F151" i="1"/>
  <c r="F162" i="1" s="1"/>
  <c r="F173" i="1" s="1"/>
  <c r="E148" i="1"/>
  <c r="E159" i="1" s="1"/>
  <c r="E170" i="1" s="1"/>
  <c r="F150" i="1"/>
  <c r="F161" i="1" s="1"/>
  <c r="F172" i="1" s="1"/>
  <c r="E150" i="1"/>
  <c r="E161" i="1" s="1"/>
  <c r="E172" i="1" s="1"/>
  <c r="E147" i="1"/>
  <c r="E158" i="1" s="1"/>
  <c r="E169" i="1" s="1"/>
  <c r="J139" i="1"/>
  <c r="J150" i="1" s="1"/>
  <c r="J161" i="1" s="1"/>
  <c r="J172" i="1" s="1"/>
  <c r="J132" i="1"/>
  <c r="H192" i="1"/>
  <c r="I192" i="1"/>
  <c r="J127" i="1"/>
  <c r="J138" i="1" s="1"/>
  <c r="J149" i="1" s="1"/>
  <c r="J160" i="1" s="1"/>
  <c r="J171" i="1" s="1"/>
  <c r="J131" i="1"/>
  <c r="J142" i="1" s="1"/>
  <c r="J153" i="1" s="1"/>
  <c r="J164" i="1" s="1"/>
  <c r="J175" i="1" s="1"/>
  <c r="J125" i="1"/>
  <c r="J136" i="1" s="1"/>
  <c r="J147" i="1" s="1"/>
  <c r="J158" i="1" s="1"/>
  <c r="J169" i="1" s="1"/>
  <c r="J129" i="1"/>
  <c r="J140" i="1" s="1"/>
  <c r="J151" i="1" s="1"/>
  <c r="J162" i="1" s="1"/>
  <c r="J173" i="1" s="1"/>
  <c r="I188" i="1"/>
  <c r="I154" i="1"/>
  <c r="J130" i="1"/>
  <c r="J141" i="1" s="1"/>
  <c r="J152" i="1" s="1"/>
  <c r="J163" i="1" s="1"/>
  <c r="J174" i="1" s="1"/>
  <c r="J126" i="1"/>
  <c r="J137" i="1" s="1"/>
  <c r="J148" i="1" s="1"/>
  <c r="J159" i="1" s="1"/>
  <c r="J170" i="1" s="1"/>
  <c r="I68" i="1"/>
  <c r="J68" i="1"/>
  <c r="H137" i="1"/>
  <c r="H148" i="1" s="1"/>
  <c r="H159" i="1" s="1"/>
  <c r="H170" i="1" s="1"/>
  <c r="H136" i="1"/>
  <c r="H147" i="1" s="1"/>
  <c r="H158" i="1" s="1"/>
  <c r="H169" i="1" s="1"/>
  <c r="H141" i="1"/>
  <c r="H152" i="1" s="1"/>
  <c r="H163" i="1" s="1"/>
  <c r="H174" i="1" s="1"/>
  <c r="H143" i="1"/>
  <c r="H154" i="1" s="1"/>
  <c r="H165" i="1" s="1"/>
  <c r="H176" i="1" s="1"/>
  <c r="H140" i="1"/>
  <c r="H151" i="1" s="1"/>
  <c r="H162" i="1" s="1"/>
  <c r="H173" i="1" s="1"/>
  <c r="H142" i="1"/>
  <c r="H153" i="1" s="1"/>
  <c r="H164" i="1" s="1"/>
  <c r="H175" i="1" s="1"/>
  <c r="H138" i="1"/>
  <c r="H149" i="1" s="1"/>
  <c r="H160" i="1" s="1"/>
  <c r="H171" i="1" s="1"/>
  <c r="Q223" i="1"/>
  <c r="P228" i="1"/>
  <c r="AP3" i="2"/>
  <c r="I191" i="1" l="1"/>
  <c r="R223" i="1"/>
  <c r="Q240" i="1"/>
  <c r="Q228" i="1"/>
  <c r="Q253" i="1"/>
  <c r="Q266" i="1"/>
  <c r="Q271" i="1" s="1"/>
  <c r="I204" i="1"/>
  <c r="I200" i="1"/>
  <c r="I187" i="1"/>
  <c r="I189" i="1"/>
  <c r="I205" i="1"/>
  <c r="I131" i="1"/>
  <c r="H191" i="1"/>
  <c r="I201" i="1"/>
  <c r="I190" i="1"/>
  <c r="I203" i="1"/>
  <c r="I186" i="1"/>
  <c r="I202" i="1"/>
  <c r="H188" i="1"/>
  <c r="I128" i="1"/>
  <c r="I185" i="1"/>
  <c r="I198" i="1"/>
  <c r="I199" i="1"/>
  <c r="I165" i="1"/>
  <c r="J143" i="1"/>
  <c r="G192" i="1"/>
  <c r="AP2" i="2"/>
  <c r="AQ3" i="2"/>
  <c r="D160" i="1" l="1"/>
  <c r="D171" i="1" s="1"/>
  <c r="G191" i="1"/>
  <c r="I142" i="1"/>
  <c r="I176" i="1"/>
  <c r="H203" i="1"/>
  <c r="J154" i="1"/>
  <c r="F192" i="1"/>
  <c r="H204" i="1"/>
  <c r="H186" i="1"/>
  <c r="I126" i="1"/>
  <c r="H199" i="1"/>
  <c r="I130" i="1"/>
  <c r="H190" i="1"/>
  <c r="I129" i="1"/>
  <c r="H189" i="1"/>
  <c r="I125" i="1"/>
  <c r="H185" i="1"/>
  <c r="G188" i="1"/>
  <c r="I139" i="1"/>
  <c r="H187" i="1"/>
  <c r="I127" i="1"/>
  <c r="H198" i="1"/>
  <c r="H202" i="1"/>
  <c r="H201" i="1"/>
  <c r="H205" i="1"/>
  <c r="H200" i="1"/>
  <c r="R240" i="1"/>
  <c r="S223" i="1"/>
  <c r="R228" i="1"/>
  <c r="R253" i="1"/>
  <c r="R266" i="1"/>
  <c r="R271" i="1" s="1"/>
  <c r="AQ2" i="2"/>
  <c r="AR3" i="2"/>
  <c r="G142" i="1" l="1"/>
  <c r="G204" i="1"/>
  <c r="G141" i="1"/>
  <c r="G203" i="1"/>
  <c r="F188" i="1"/>
  <c r="I150" i="1"/>
  <c r="G199" i="1"/>
  <c r="G137" i="1"/>
  <c r="J165" i="1"/>
  <c r="E192" i="1"/>
  <c r="F191" i="1"/>
  <c r="I153" i="1"/>
  <c r="G190" i="1"/>
  <c r="I141" i="1"/>
  <c r="G140" i="1"/>
  <c r="G202" i="1"/>
  <c r="G200" i="1"/>
  <c r="G138" i="1"/>
  <c r="G187" i="1"/>
  <c r="I138" i="1"/>
  <c r="G186" i="1"/>
  <c r="I137" i="1"/>
  <c r="G139" i="1"/>
  <c r="G201" i="1"/>
  <c r="S228" i="1"/>
  <c r="S240" i="1"/>
  <c r="T223" i="1"/>
  <c r="S266" i="1"/>
  <c r="S271" i="1" s="1"/>
  <c r="S253" i="1"/>
  <c r="G198" i="1"/>
  <c r="G136" i="1"/>
  <c r="G185" i="1"/>
  <c r="I136" i="1"/>
  <c r="G143" i="1"/>
  <c r="G205" i="1"/>
  <c r="I140" i="1"/>
  <c r="G189" i="1"/>
  <c r="AR2" i="2"/>
  <c r="AS3" i="2"/>
  <c r="F199" i="1" l="1"/>
  <c r="G148" i="1"/>
  <c r="F189" i="1"/>
  <c r="I151" i="1"/>
  <c r="G150" i="1"/>
  <c r="F201" i="1"/>
  <c r="I164" i="1"/>
  <c r="E191" i="1"/>
  <c r="G154" i="1"/>
  <c r="F205" i="1"/>
  <c r="D158" i="1"/>
  <c r="D159" i="1"/>
  <c r="F202" i="1"/>
  <c r="G151" i="1"/>
  <c r="I152" i="1"/>
  <c r="F190" i="1"/>
  <c r="I161" i="1"/>
  <c r="E188" i="1"/>
  <c r="D161" i="1"/>
  <c r="D162" i="1"/>
  <c r="F186" i="1"/>
  <c r="I148" i="1"/>
  <c r="I149" i="1"/>
  <c r="F187" i="1"/>
  <c r="G147" i="1"/>
  <c r="F198" i="1"/>
  <c r="U223" i="1"/>
  <c r="T240" i="1"/>
  <c r="T228" i="1"/>
  <c r="T253" i="1"/>
  <c r="T266" i="1"/>
  <c r="T271" i="1" s="1"/>
  <c r="G149" i="1"/>
  <c r="F200" i="1"/>
  <c r="G152" i="1"/>
  <c r="F203" i="1"/>
  <c r="F185" i="1"/>
  <c r="I147" i="1"/>
  <c r="J176" i="1"/>
  <c r="C192" i="1" s="1"/>
  <c r="D192" i="1"/>
  <c r="C236" i="1" s="1"/>
  <c r="G153" i="1"/>
  <c r="F204" i="1"/>
  <c r="AS2" i="2"/>
  <c r="AT3" i="2"/>
  <c r="U228" i="1" l="1"/>
  <c r="V223" i="1"/>
  <c r="U253" i="1"/>
  <c r="U266" i="1"/>
  <c r="U271" i="1" s="1"/>
  <c r="U240" i="1"/>
  <c r="D191" i="1"/>
  <c r="C235" i="1" s="1"/>
  <c r="I175" i="1"/>
  <c r="C191" i="1" s="1"/>
  <c r="E198" i="1"/>
  <c r="G158" i="1"/>
  <c r="G161" i="1"/>
  <c r="E201" i="1"/>
  <c r="I160" i="1"/>
  <c r="E187" i="1"/>
  <c r="I172" i="1"/>
  <c r="C188" i="1" s="1"/>
  <c r="D188" i="1"/>
  <c r="C232" i="1" s="1"/>
  <c r="I162" i="1"/>
  <c r="E189" i="1"/>
  <c r="D173" i="1"/>
  <c r="G163" i="1"/>
  <c r="E203" i="1"/>
  <c r="D170" i="1"/>
  <c r="D172" i="1"/>
  <c r="E204" i="1"/>
  <c r="G164" i="1"/>
  <c r="E185" i="1"/>
  <c r="I158" i="1"/>
  <c r="I163" i="1"/>
  <c r="E190" i="1"/>
  <c r="G159" i="1"/>
  <c r="E199" i="1"/>
  <c r="G160" i="1"/>
  <c r="E200" i="1"/>
  <c r="I159" i="1"/>
  <c r="E186" i="1"/>
  <c r="D169" i="1"/>
  <c r="E202" i="1"/>
  <c r="G162" i="1"/>
  <c r="E205" i="1"/>
  <c r="G165" i="1"/>
  <c r="AT2" i="2"/>
  <c r="AU3" i="2"/>
  <c r="D204" i="1" l="1"/>
  <c r="C247" i="1" s="1"/>
  <c r="G175" i="1"/>
  <c r="C204" i="1" s="1"/>
  <c r="G173" i="1"/>
  <c r="C202" i="1" s="1"/>
  <c r="D202" i="1"/>
  <c r="C245" i="1" s="1"/>
  <c r="D200" i="1"/>
  <c r="C243" i="1" s="1"/>
  <c r="G171" i="1"/>
  <c r="C200" i="1" s="1"/>
  <c r="I174" i="1"/>
  <c r="C190" i="1" s="1"/>
  <c r="D190" i="1"/>
  <c r="C234" i="1" s="1"/>
  <c r="D205" i="1"/>
  <c r="C248" i="1" s="1"/>
  <c r="G176" i="1"/>
  <c r="C205" i="1" s="1"/>
  <c r="D187" i="1"/>
  <c r="C231" i="1" s="1"/>
  <c r="I171" i="1"/>
  <c r="C187" i="1" s="1"/>
  <c r="D201" i="1"/>
  <c r="C244" i="1" s="1"/>
  <c r="G172" i="1"/>
  <c r="C201" i="1" s="1"/>
  <c r="V228" i="1"/>
  <c r="V240" i="1"/>
  <c r="V253" i="1"/>
  <c r="V266" i="1"/>
  <c r="V271" i="1" s="1"/>
  <c r="W223" i="1"/>
  <c r="I169" i="1"/>
  <c r="C185" i="1" s="1"/>
  <c r="D185" i="1"/>
  <c r="C229" i="1" s="1"/>
  <c r="D186" i="1"/>
  <c r="C230" i="1" s="1"/>
  <c r="I170" i="1"/>
  <c r="C186" i="1" s="1"/>
  <c r="D203" i="1"/>
  <c r="C246" i="1" s="1"/>
  <c r="G174" i="1"/>
  <c r="C203" i="1" s="1"/>
  <c r="G170" i="1"/>
  <c r="C199" i="1" s="1"/>
  <c r="D199" i="1"/>
  <c r="C242" i="1" s="1"/>
  <c r="I173" i="1"/>
  <c r="C189" i="1" s="1"/>
  <c r="D189" i="1"/>
  <c r="C233" i="1" s="1"/>
  <c r="D198" i="1"/>
  <c r="C241" i="1" s="1"/>
  <c r="G169" i="1"/>
  <c r="C198" i="1" s="1"/>
  <c r="AU2" i="2"/>
  <c r="AV3" i="2"/>
  <c r="X223" i="1" l="1"/>
  <c r="W240" i="1"/>
  <c r="W228" i="1"/>
  <c r="W253" i="1"/>
  <c r="W266" i="1"/>
  <c r="W271" i="1" s="1"/>
  <c r="AV2" i="2"/>
  <c r="AW3" i="2"/>
  <c r="Y223" i="1" l="1"/>
  <c r="X228" i="1"/>
  <c r="X253" i="1"/>
  <c r="X240" i="1"/>
  <c r="X266" i="1"/>
  <c r="X271" i="1" s="1"/>
  <c r="AW2" i="2"/>
  <c r="AX3" i="2"/>
  <c r="Z223" i="1" l="1"/>
  <c r="Y240" i="1"/>
  <c r="Y228" i="1"/>
  <c r="Y266" i="1"/>
  <c r="Y271" i="1" s="1"/>
  <c r="Y253" i="1"/>
  <c r="AX2" i="2"/>
  <c r="AY3" i="2"/>
  <c r="AA223" i="1" l="1"/>
  <c r="Z240" i="1"/>
  <c r="Z228" i="1"/>
  <c r="Z253" i="1"/>
  <c r="Z266" i="1"/>
  <c r="Z271" i="1" s="1"/>
  <c r="AY2" i="2"/>
  <c r="AZ3" i="2"/>
  <c r="AA228" i="1" l="1"/>
  <c r="AB223" i="1"/>
  <c r="AA240" i="1"/>
  <c r="AA253" i="1"/>
  <c r="AA266" i="1"/>
  <c r="AA271" i="1" s="1"/>
  <c r="AZ2" i="2"/>
  <c r="BA3" i="2"/>
  <c r="AC223" i="1" l="1"/>
  <c r="AB228" i="1"/>
  <c r="AB240" i="1"/>
  <c r="AB253" i="1"/>
  <c r="AB266" i="1"/>
  <c r="AB271" i="1" s="1"/>
  <c r="BB3" i="2"/>
  <c r="BA2" i="2"/>
  <c r="AC228" i="1" l="1"/>
  <c r="AD223" i="1"/>
  <c r="AC253" i="1"/>
  <c r="AC240" i="1"/>
  <c r="AC266" i="1"/>
  <c r="AC271" i="1" s="1"/>
  <c r="BB2" i="2"/>
  <c r="BC3" i="2"/>
  <c r="AE223" i="1" l="1"/>
  <c r="AD228" i="1"/>
  <c r="AD240" i="1"/>
  <c r="AD253" i="1"/>
  <c r="AD266" i="1"/>
  <c r="AD271" i="1" s="1"/>
  <c r="BC2" i="2"/>
  <c r="BD3" i="2"/>
  <c r="AF223" i="1" l="1"/>
  <c r="AE228" i="1"/>
  <c r="AE240" i="1"/>
  <c r="AE253" i="1"/>
  <c r="AE266" i="1"/>
  <c r="AE271" i="1" s="1"/>
  <c r="BD2" i="2"/>
  <c r="BE3" i="2"/>
  <c r="AG223" i="1" l="1"/>
  <c r="AF228" i="1"/>
  <c r="AF253" i="1"/>
  <c r="AF266" i="1"/>
  <c r="AF271" i="1" s="1"/>
  <c r="AF240" i="1"/>
  <c r="BE2" i="2"/>
  <c r="BF3" i="2"/>
  <c r="AH223" i="1" l="1"/>
  <c r="AG240" i="1"/>
  <c r="AG228" i="1"/>
  <c r="AG266" i="1"/>
  <c r="AG271" i="1" s="1"/>
  <c r="AG253" i="1"/>
  <c r="BF2" i="2"/>
  <c r="BG3" i="2"/>
  <c r="AH228" i="1" l="1"/>
  <c r="AI223" i="1"/>
  <c r="AH240" i="1"/>
  <c r="AH266" i="1"/>
  <c r="AH271" i="1" s="1"/>
  <c r="AH253" i="1"/>
  <c r="BG2" i="2"/>
  <c r="BH3" i="2"/>
  <c r="AI228" i="1" l="1"/>
  <c r="AJ223" i="1"/>
  <c r="AI240" i="1"/>
  <c r="AI266" i="1"/>
  <c r="AI271" i="1" s="1"/>
  <c r="AI253" i="1"/>
  <c r="BH2" i="2"/>
  <c r="BI3" i="2"/>
  <c r="AK223" i="1" l="1"/>
  <c r="AJ228" i="1"/>
  <c r="AJ240" i="1"/>
  <c r="AJ253" i="1"/>
  <c r="AJ266" i="1"/>
  <c r="AJ271" i="1" s="1"/>
  <c r="BI2" i="2"/>
  <c r="BJ3" i="2"/>
  <c r="AK228" i="1" l="1"/>
  <c r="AK240" i="1"/>
  <c r="AK253" i="1"/>
  <c r="AK266" i="1"/>
  <c r="AK271" i="1" s="1"/>
  <c r="AL223" i="1"/>
  <c r="BJ2" i="2"/>
  <c r="BK3" i="2"/>
  <c r="AL228" i="1" l="1"/>
  <c r="AL240" i="1"/>
  <c r="AL253" i="1"/>
  <c r="AM223" i="1"/>
  <c r="AL266" i="1"/>
  <c r="AL271" i="1" s="1"/>
  <c r="BK2" i="2"/>
  <c r="BL3" i="2"/>
  <c r="AN223" i="1" l="1"/>
  <c r="AM253" i="1"/>
  <c r="AM228" i="1"/>
  <c r="AM240" i="1"/>
  <c r="AM266" i="1"/>
  <c r="AM271" i="1" s="1"/>
  <c r="BL2" i="2"/>
  <c r="BM3" i="2"/>
  <c r="AO223" i="1" l="1"/>
  <c r="AN228" i="1"/>
  <c r="AN253" i="1"/>
  <c r="AN240" i="1"/>
  <c r="AN266" i="1"/>
  <c r="AN271" i="1" s="1"/>
  <c r="BM2" i="2"/>
  <c r="BN3" i="2"/>
  <c r="AP223" i="1" l="1"/>
  <c r="AO240" i="1"/>
  <c r="AO228" i="1"/>
  <c r="AO253" i="1"/>
  <c r="AO266" i="1"/>
  <c r="AO271" i="1" s="1"/>
  <c r="BN2" i="2"/>
  <c r="BO3" i="2"/>
  <c r="AQ223" i="1" l="1"/>
  <c r="AP228" i="1"/>
  <c r="AP240" i="1"/>
  <c r="AP253" i="1"/>
  <c r="AP266" i="1"/>
  <c r="AP271" i="1" s="1"/>
  <c r="BP3" i="2"/>
  <c r="BO2" i="2"/>
  <c r="AQ228" i="1" l="1"/>
  <c r="AR223" i="1"/>
  <c r="AQ240" i="1"/>
  <c r="AQ253" i="1"/>
  <c r="AQ266" i="1"/>
  <c r="AQ271" i="1" s="1"/>
  <c r="BQ3" i="2"/>
  <c r="BP2" i="2"/>
  <c r="AS223" i="1" l="1"/>
  <c r="AR228" i="1"/>
  <c r="AR253" i="1"/>
  <c r="AR240" i="1"/>
  <c r="AR266" i="1"/>
  <c r="AR271" i="1" s="1"/>
  <c r="BR3" i="2"/>
  <c r="BQ2" i="2"/>
  <c r="AS228" i="1" l="1"/>
  <c r="AS240" i="1"/>
  <c r="AT223" i="1"/>
  <c r="AS253" i="1"/>
  <c r="AS266" i="1"/>
  <c r="AS271" i="1" s="1"/>
  <c r="BR2" i="2"/>
  <c r="BS3" i="2"/>
  <c r="AT228" i="1" l="1"/>
  <c r="AU223" i="1"/>
  <c r="AT240" i="1"/>
  <c r="AT253" i="1"/>
  <c r="AT266" i="1"/>
  <c r="AT271" i="1" s="1"/>
  <c r="BS2" i="2"/>
  <c r="BT3" i="2"/>
  <c r="AV223" i="1" l="1"/>
  <c r="AU240" i="1"/>
  <c r="AU253" i="1"/>
  <c r="AU228" i="1"/>
  <c r="AU266" i="1"/>
  <c r="AU271" i="1" s="1"/>
  <c r="BT2" i="2"/>
  <c r="BU3" i="2"/>
  <c r="AW223" i="1" l="1"/>
  <c r="AV228" i="1"/>
  <c r="AV253" i="1"/>
  <c r="AV240" i="1"/>
  <c r="AV266" i="1"/>
  <c r="AV271" i="1" s="1"/>
  <c r="BU2" i="2"/>
  <c r="BV3" i="2"/>
  <c r="AX223" i="1" l="1"/>
  <c r="AW240" i="1"/>
  <c r="AW266" i="1"/>
  <c r="AW271" i="1" s="1"/>
  <c r="AW228" i="1"/>
  <c r="AW253" i="1"/>
  <c r="BV2" i="2"/>
  <c r="BW3" i="2"/>
  <c r="AX240" i="1" l="1"/>
  <c r="AY223" i="1"/>
  <c r="AX253" i="1"/>
  <c r="AX228" i="1"/>
  <c r="AX266" i="1"/>
  <c r="AX271" i="1" s="1"/>
  <c r="BW2" i="2"/>
  <c r="BX3" i="2"/>
  <c r="AZ223" i="1" l="1"/>
  <c r="AY228" i="1"/>
  <c r="AY266" i="1"/>
  <c r="AY271" i="1" s="1"/>
  <c r="AY240" i="1"/>
  <c r="AY253" i="1"/>
  <c r="BX2" i="2"/>
  <c r="BY3" i="2"/>
  <c r="BA223" i="1" l="1"/>
  <c r="AZ228" i="1"/>
  <c r="AZ240" i="1"/>
  <c r="AZ253" i="1"/>
  <c r="AZ266" i="1"/>
  <c r="AZ271" i="1" s="1"/>
  <c r="BY2" i="2"/>
  <c r="BZ3" i="2"/>
  <c r="BA228" i="1" l="1"/>
  <c r="BB223" i="1"/>
  <c r="BA240" i="1"/>
  <c r="BA253" i="1"/>
  <c r="BA266" i="1"/>
  <c r="BA271" i="1" s="1"/>
  <c r="BZ2" i="2"/>
  <c r="CA3" i="2"/>
  <c r="BB228" i="1" l="1"/>
  <c r="BC223" i="1"/>
  <c r="BB253" i="1"/>
  <c r="BB266" i="1"/>
  <c r="BB271" i="1" s="1"/>
  <c r="BB240" i="1"/>
  <c r="CA2" i="2"/>
  <c r="CB3" i="2"/>
  <c r="BD223" i="1" l="1"/>
  <c r="BC228" i="1"/>
  <c r="BC240" i="1"/>
  <c r="BC266" i="1"/>
  <c r="BC271" i="1" s="1"/>
  <c r="BC253" i="1"/>
  <c r="CB2" i="2"/>
  <c r="CC3" i="2"/>
  <c r="BE223" i="1" l="1"/>
  <c r="BD228" i="1"/>
  <c r="BD253" i="1"/>
  <c r="BD266" i="1"/>
  <c r="BD271" i="1" s="1"/>
  <c r="BD240" i="1"/>
  <c r="CC2" i="2"/>
  <c r="CD3" i="2"/>
  <c r="BF223" i="1" l="1"/>
  <c r="BE240" i="1"/>
  <c r="BE228" i="1"/>
  <c r="BE253" i="1"/>
  <c r="BE266" i="1"/>
  <c r="BE271" i="1" s="1"/>
  <c r="CD2" i="2"/>
  <c r="CE3" i="2"/>
  <c r="BG223" i="1" l="1"/>
  <c r="BF240" i="1"/>
  <c r="BF228" i="1"/>
  <c r="BF253" i="1"/>
  <c r="BF266" i="1"/>
  <c r="BF271" i="1" s="1"/>
  <c r="CE2" i="2"/>
  <c r="CF3" i="2"/>
  <c r="BH223" i="1" l="1"/>
  <c r="BG240" i="1"/>
  <c r="BG253" i="1"/>
  <c r="BG228" i="1"/>
  <c r="BG266" i="1"/>
  <c r="BG271" i="1" s="1"/>
  <c r="CF2" i="2"/>
  <c r="CG3" i="2"/>
  <c r="BI223" i="1" l="1"/>
  <c r="BH228" i="1"/>
  <c r="BH253" i="1"/>
  <c r="BH240" i="1"/>
  <c r="BH266" i="1"/>
  <c r="BH271" i="1" s="1"/>
  <c r="CH3" i="2"/>
  <c r="CG2" i="2"/>
  <c r="BJ223" i="1" l="1"/>
  <c r="BI228" i="1"/>
  <c r="BI240" i="1"/>
  <c r="BI253" i="1"/>
  <c r="BI266" i="1"/>
  <c r="BI271" i="1" s="1"/>
  <c r="CH2" i="2"/>
  <c r="CI3" i="2"/>
  <c r="BK223" i="1" l="1"/>
  <c r="BJ228" i="1"/>
  <c r="BJ240" i="1"/>
  <c r="BJ253" i="1"/>
  <c r="BJ266" i="1"/>
  <c r="BJ271" i="1" s="1"/>
  <c r="CI2" i="2"/>
  <c r="CJ3" i="2"/>
  <c r="BK228" i="1" l="1"/>
  <c r="BK240" i="1"/>
  <c r="BK253" i="1"/>
  <c r="BK266" i="1"/>
  <c r="BK271" i="1" s="1"/>
  <c r="CJ2" i="2"/>
  <c r="CK3" i="2"/>
  <c r="CK2" i="2" l="1"/>
  <c r="CL3" i="2"/>
  <c r="CL2" i="2" l="1"/>
  <c r="CM3" i="2"/>
  <c r="CM2" i="2" l="1"/>
  <c r="CN3" i="2"/>
  <c r="CN2" i="2" l="1"/>
  <c r="CO3" i="2"/>
  <c r="CO2" i="2" l="1"/>
  <c r="CP3" i="2"/>
  <c r="CQ3" i="2" l="1"/>
  <c r="CP2" i="2"/>
  <c r="CQ2" i="2" l="1"/>
  <c r="CR3" i="2"/>
  <c r="CR2" i="2" l="1"/>
  <c r="CS3" i="2"/>
  <c r="CS2" i="2" l="1"/>
  <c r="CT3" i="2"/>
  <c r="CT2" i="2" l="1"/>
  <c r="CU3" i="2"/>
  <c r="CV3" i="2" l="1"/>
  <c r="CV2" i="2" s="1"/>
  <c r="CU2" i="2"/>
  <c r="D210" i="1" l="1"/>
  <c r="AN24" i="2"/>
  <c r="U26" i="4" s="1"/>
  <c r="A3" i="3"/>
  <c r="A2" i="3"/>
  <c r="M50" i="3"/>
  <c r="M51" i="3"/>
  <c r="E48" i="6"/>
  <c r="AN12" i="2" l="1"/>
  <c r="U14" i="4" s="1"/>
  <c r="A209" i="1"/>
  <c r="A210" i="1" s="1"/>
  <c r="C224" i="1"/>
  <c r="K224" i="1"/>
  <c r="S224" i="1"/>
  <c r="D224" i="1"/>
  <c r="L224" i="1"/>
  <c r="T224" i="1"/>
  <c r="E224" i="1"/>
  <c r="M224" i="1"/>
  <c r="U224" i="1"/>
  <c r="H224" i="1"/>
  <c r="P224" i="1"/>
  <c r="N224" i="1"/>
  <c r="O224" i="1"/>
  <c r="J224" i="1"/>
  <c r="Q224" i="1"/>
  <c r="R224" i="1"/>
  <c r="F224" i="1"/>
  <c r="I224" i="1"/>
  <c r="G224" i="1"/>
  <c r="V224" i="1"/>
  <c r="C267" i="1"/>
  <c r="K267" i="1"/>
  <c r="S267" i="1"/>
  <c r="D267" i="1"/>
  <c r="AO24" i="2" s="1"/>
  <c r="L267" i="1"/>
  <c r="T267" i="1"/>
  <c r="F267" i="1"/>
  <c r="N267" i="1"/>
  <c r="V267" i="1"/>
  <c r="G267" i="1"/>
  <c r="R267" i="1"/>
  <c r="J267" i="1"/>
  <c r="M267" i="1"/>
  <c r="P267" i="1"/>
  <c r="H267" i="1"/>
  <c r="U267" i="1"/>
  <c r="Q267" i="1"/>
  <c r="I267" i="1"/>
  <c r="W268" i="1"/>
  <c r="X268" i="1" s="1"/>
  <c r="Y268" i="1" s="1"/>
  <c r="Z268" i="1" s="1"/>
  <c r="AA268" i="1" s="1"/>
  <c r="AB268" i="1" s="1"/>
  <c r="AC268" i="1" s="1"/>
  <c r="AD268" i="1" s="1"/>
  <c r="AE268" i="1" s="1"/>
  <c r="AF268" i="1" s="1"/>
  <c r="AG268" i="1" s="1"/>
  <c r="AH268" i="1" s="1"/>
  <c r="AI268" i="1" s="1"/>
  <c r="AJ268" i="1" s="1"/>
  <c r="AK268" i="1" s="1"/>
  <c r="AL268" i="1" s="1"/>
  <c r="AM268" i="1" s="1"/>
  <c r="AN268" i="1" s="1"/>
  <c r="AO268" i="1" s="1"/>
  <c r="AP268" i="1" s="1"/>
  <c r="AQ268" i="1" s="1"/>
  <c r="AR268" i="1" s="1"/>
  <c r="AS268" i="1" s="1"/>
  <c r="AT268" i="1" s="1"/>
  <c r="AU268" i="1" s="1"/>
  <c r="AV268" i="1" s="1"/>
  <c r="AW268" i="1" s="1"/>
  <c r="AX268" i="1" s="1"/>
  <c r="AY268" i="1" s="1"/>
  <c r="AZ268" i="1" s="1"/>
  <c r="BA268" i="1" s="1"/>
  <c r="BB268" i="1" s="1"/>
  <c r="BC268" i="1" s="1"/>
  <c r="BD268" i="1" s="1"/>
  <c r="BE268" i="1" s="1"/>
  <c r="BF268" i="1" s="1"/>
  <c r="BG268" i="1" s="1"/>
  <c r="BH268" i="1" s="1"/>
  <c r="BI268" i="1" s="1"/>
  <c r="BJ268" i="1" s="1"/>
  <c r="BK268" i="1" s="1"/>
  <c r="O267" i="1"/>
  <c r="E267" i="1"/>
  <c r="AD5" i="2"/>
  <c r="AC5" i="2"/>
  <c r="AE5" i="2"/>
  <c r="AN21" i="2"/>
  <c r="AN19" i="2"/>
  <c r="AN17" i="2"/>
  <c r="AN22" i="2"/>
  <c r="AN16" i="2"/>
  <c r="AN18" i="2"/>
  <c r="AN23" i="2"/>
  <c r="AN20" i="2"/>
  <c r="AN10" i="2"/>
  <c r="AN8" i="2"/>
  <c r="AN6" i="2"/>
  <c r="AN5" i="2"/>
  <c r="AN9" i="2"/>
  <c r="AN11" i="2"/>
  <c r="AN7" i="2"/>
  <c r="AN4" i="2"/>
  <c r="AD4" i="2"/>
  <c r="AC4" i="2"/>
  <c r="AE4" i="2"/>
  <c r="M49" i="3"/>
  <c r="S22" i="3"/>
  <c r="AA22" i="3"/>
  <c r="AI22" i="3"/>
  <c r="AQ22" i="3"/>
  <c r="AY22" i="3"/>
  <c r="BG22" i="3"/>
  <c r="BO22" i="3"/>
  <c r="BW22" i="3"/>
  <c r="T22" i="3"/>
  <c r="AB22" i="3"/>
  <c r="AJ22" i="3"/>
  <c r="AR22" i="3"/>
  <c r="AZ22" i="3"/>
  <c r="BH22" i="3"/>
  <c r="BP22" i="3"/>
  <c r="BX22" i="3"/>
  <c r="U22" i="3"/>
  <c r="AC22" i="3"/>
  <c r="AK22" i="3"/>
  <c r="AS22" i="3"/>
  <c r="BA22" i="3"/>
  <c r="BI22" i="3"/>
  <c r="BQ22" i="3"/>
  <c r="BY22" i="3"/>
  <c r="W22" i="3"/>
  <c r="AE22" i="3"/>
  <c r="AM22" i="3"/>
  <c r="AU22" i="3"/>
  <c r="BC22" i="3"/>
  <c r="BK22" i="3"/>
  <c r="BS22" i="3"/>
  <c r="Z22" i="3"/>
  <c r="AP22" i="3"/>
  <c r="BF22" i="3"/>
  <c r="BV22" i="3"/>
  <c r="AD22" i="3"/>
  <c r="AT22" i="3"/>
  <c r="BJ22" i="3"/>
  <c r="BZ22" i="3"/>
  <c r="AF22" i="3"/>
  <c r="AV22" i="3"/>
  <c r="BL22" i="3"/>
  <c r="R22" i="3"/>
  <c r="AH22" i="3"/>
  <c r="AX22" i="3"/>
  <c r="BN22" i="3"/>
  <c r="AN22" i="3"/>
  <c r="BT22" i="3"/>
  <c r="AO22" i="3"/>
  <c r="BU22" i="3"/>
  <c r="AW22" i="3"/>
  <c r="X22" i="3"/>
  <c r="BD22" i="3"/>
  <c r="AG22" i="3"/>
  <c r="BE22" i="3"/>
  <c r="AL22" i="3"/>
  <c r="BB22" i="3"/>
  <c r="BM22" i="3"/>
  <c r="BR22" i="3"/>
  <c r="V22" i="3"/>
  <c r="Y22" i="3"/>
  <c r="X23" i="3"/>
  <c r="AF23" i="3"/>
  <c r="AN23" i="3"/>
  <c r="AV23" i="3"/>
  <c r="BD23" i="3"/>
  <c r="BL23" i="3"/>
  <c r="BT23" i="3"/>
  <c r="U24" i="3"/>
  <c r="AC24" i="3"/>
  <c r="AK24" i="3"/>
  <c r="AS24" i="3"/>
  <c r="BA24" i="3"/>
  <c r="BI24" i="3"/>
  <c r="BQ24" i="3"/>
  <c r="BY24" i="3"/>
  <c r="Y23" i="3"/>
  <c r="AG23" i="3"/>
  <c r="AO23" i="3"/>
  <c r="AW23" i="3"/>
  <c r="BE23" i="3"/>
  <c r="BM23" i="3"/>
  <c r="BU23" i="3"/>
  <c r="V24" i="3"/>
  <c r="AD24" i="3"/>
  <c r="AL24" i="3"/>
  <c r="AT24" i="3"/>
  <c r="BB24" i="3"/>
  <c r="BJ24" i="3"/>
  <c r="BR24" i="3"/>
  <c r="BZ24" i="3"/>
  <c r="R23" i="3"/>
  <c r="Z23" i="3"/>
  <c r="AH23" i="3"/>
  <c r="AP23" i="3"/>
  <c r="AX23" i="3"/>
  <c r="BF23" i="3"/>
  <c r="BN23" i="3"/>
  <c r="BV23" i="3"/>
  <c r="W24" i="3"/>
  <c r="AE24" i="3"/>
  <c r="AM24" i="3"/>
  <c r="AU24" i="3"/>
  <c r="BC24" i="3"/>
  <c r="BK24" i="3"/>
  <c r="BS24" i="3"/>
  <c r="T23" i="3"/>
  <c r="AB23" i="3"/>
  <c r="AJ23" i="3"/>
  <c r="AR23" i="3"/>
  <c r="AZ23" i="3"/>
  <c r="BH23" i="3"/>
  <c r="BP23" i="3"/>
  <c r="BX23" i="3"/>
  <c r="Y24" i="3"/>
  <c r="AG24" i="3"/>
  <c r="AO24" i="3"/>
  <c r="AW24" i="3"/>
  <c r="BE24" i="3"/>
  <c r="BM24" i="3"/>
  <c r="BU24" i="3"/>
  <c r="W23" i="3"/>
  <c r="AM23" i="3"/>
  <c r="BC23" i="3"/>
  <c r="BS23" i="3"/>
  <c r="T24" i="3"/>
  <c r="AJ24" i="3"/>
  <c r="AZ24" i="3"/>
  <c r="BP24" i="3"/>
  <c r="AA23" i="3"/>
  <c r="AQ23" i="3"/>
  <c r="BG23" i="3"/>
  <c r="BW23" i="3"/>
  <c r="X24" i="3"/>
  <c r="AN24" i="3"/>
  <c r="BD24" i="3"/>
  <c r="BT24" i="3"/>
  <c r="AC23" i="3"/>
  <c r="AS23" i="3"/>
  <c r="BI23" i="3"/>
  <c r="BY23" i="3"/>
  <c r="Z24" i="3"/>
  <c r="AP24" i="3"/>
  <c r="BF24" i="3"/>
  <c r="BV24" i="3"/>
  <c r="AE23" i="3"/>
  <c r="AU23" i="3"/>
  <c r="BK23" i="3"/>
  <c r="AB24" i="3"/>
  <c r="AR24" i="3"/>
  <c r="BH24" i="3"/>
  <c r="BX24" i="3"/>
  <c r="AK23" i="3"/>
  <c r="BQ23" i="3"/>
  <c r="AH24" i="3"/>
  <c r="BN24" i="3"/>
  <c r="AL23" i="3"/>
  <c r="BR23" i="3"/>
  <c r="AI24" i="3"/>
  <c r="BO24" i="3"/>
  <c r="AT23" i="3"/>
  <c r="BZ23" i="3"/>
  <c r="AQ24" i="3"/>
  <c r="BW24" i="3"/>
  <c r="U23" i="3"/>
  <c r="BA23" i="3"/>
  <c r="R24" i="3"/>
  <c r="AX24" i="3"/>
  <c r="AD23" i="3"/>
  <c r="AA24" i="3"/>
  <c r="S23" i="3"/>
  <c r="AI23" i="3"/>
  <c r="AF24" i="3"/>
  <c r="AY24" i="3"/>
  <c r="AY23" i="3"/>
  <c r="AV24" i="3"/>
  <c r="BB23" i="3"/>
  <c r="BJ23" i="3"/>
  <c r="BG24" i="3"/>
  <c r="BO23" i="3"/>
  <c r="BL24" i="3"/>
  <c r="S24" i="3"/>
  <c r="V23" i="3"/>
  <c r="F219" i="1" l="1"/>
  <c r="F214" i="1"/>
  <c r="D214" i="1"/>
  <c r="C256" i="1" s="1"/>
  <c r="D213" i="1"/>
  <c r="C255" i="1" s="1"/>
  <c r="E215" i="1"/>
  <c r="C215" i="1"/>
  <c r="C214" i="1"/>
  <c r="D216" i="1"/>
  <c r="C258" i="1" s="1"/>
  <c r="C213" i="1"/>
  <c r="D217" i="1"/>
  <c r="C259" i="1" s="1"/>
  <c r="E213" i="1"/>
  <c r="F213" i="1"/>
  <c r="E214" i="1"/>
  <c r="AN33" i="2"/>
  <c r="AN36" i="2"/>
  <c r="AN34" i="2"/>
  <c r="AN35" i="2"/>
  <c r="AN64" i="2" s="1"/>
  <c r="AP24" i="2"/>
  <c r="G216" i="1"/>
  <c r="G213" i="1"/>
  <c r="H212" i="1"/>
  <c r="AO12" i="2"/>
  <c r="C218" i="1"/>
  <c r="G218" i="1"/>
  <c r="D215" i="1"/>
  <c r="C257" i="1" s="1"/>
  <c r="F217" i="1"/>
  <c r="E216" i="1"/>
  <c r="C220" i="1"/>
  <c r="G214" i="1"/>
  <c r="D220" i="1"/>
  <c r="C262" i="1" s="1"/>
  <c r="C217" i="1"/>
  <c r="E220" i="1"/>
  <c r="D219" i="1"/>
  <c r="C261" i="1" s="1"/>
  <c r="H220" i="1"/>
  <c r="G215" i="1"/>
  <c r="G219" i="1"/>
  <c r="E219" i="1"/>
  <c r="C219" i="1"/>
  <c r="D212" i="1"/>
  <c r="C254" i="1" s="1"/>
  <c r="F215" i="1"/>
  <c r="H214" i="1"/>
  <c r="H219" i="1"/>
  <c r="G220" i="1"/>
  <c r="H217" i="1"/>
  <c r="C212" i="1"/>
  <c r="E212" i="1"/>
  <c r="F216" i="1"/>
  <c r="H215" i="1"/>
  <c r="E217" i="1"/>
  <c r="E218" i="1"/>
  <c r="F220" i="1"/>
  <c r="C216" i="1"/>
  <c r="F212" i="1"/>
  <c r="H216" i="1"/>
  <c r="H218" i="1"/>
  <c r="D218" i="1"/>
  <c r="C260" i="1" s="1"/>
  <c r="G212" i="1"/>
  <c r="H213" i="1"/>
  <c r="G217" i="1"/>
  <c r="F218" i="1"/>
  <c r="M225" i="1"/>
  <c r="E225" i="1"/>
  <c r="P225" i="1"/>
  <c r="T225" i="1"/>
  <c r="Q225" i="1"/>
  <c r="AD3" i="2"/>
  <c r="R225" i="1"/>
  <c r="V225" i="1"/>
  <c r="J225" i="1"/>
  <c r="O225" i="1"/>
  <c r="L225" i="1"/>
  <c r="N225" i="1"/>
  <c r="S225" i="1"/>
  <c r="AE3" i="2"/>
  <c r="I225" i="1"/>
  <c r="H225" i="1"/>
  <c r="K225" i="1"/>
  <c r="D225" i="1"/>
  <c r="D249" i="1" s="1"/>
  <c r="G225" i="1"/>
  <c r="AC3" i="2"/>
  <c r="F225" i="1"/>
  <c r="U225" i="1"/>
  <c r="C225" i="1"/>
  <c r="C272" i="1"/>
  <c r="D272" i="1" s="1"/>
  <c r="E272" i="1" s="1"/>
  <c r="F272" i="1" s="1"/>
  <c r="G272" i="1" s="1"/>
  <c r="H272" i="1" s="1"/>
  <c r="I272" i="1" s="1"/>
  <c r="J272" i="1" s="1"/>
  <c r="K272" i="1" s="1"/>
  <c r="L272" i="1" s="1"/>
  <c r="M272" i="1" s="1"/>
  <c r="N272" i="1" s="1"/>
  <c r="O272" i="1" s="1"/>
  <c r="P272" i="1" s="1"/>
  <c r="Q272" i="1" s="1"/>
  <c r="R272" i="1" s="1"/>
  <c r="S272" i="1" s="1"/>
  <c r="T272" i="1" s="1"/>
  <c r="U272" i="1" s="1"/>
  <c r="V272" i="1" s="1"/>
  <c r="W272" i="1" s="1"/>
  <c r="X272" i="1" s="1"/>
  <c r="Y272" i="1" s="1"/>
  <c r="Z272" i="1" s="1"/>
  <c r="AA272" i="1" s="1"/>
  <c r="AB272" i="1" s="1"/>
  <c r="AC272" i="1" s="1"/>
  <c r="AO9" i="2"/>
  <c r="AO22" i="2"/>
  <c r="AP22" i="2" s="1"/>
  <c r="AQ22" i="2" s="1"/>
  <c r="AR22" i="2" s="1"/>
  <c r="AS22" i="2" s="1"/>
  <c r="AT22" i="2" s="1"/>
  <c r="AU22" i="2" s="1"/>
  <c r="AV22" i="2" s="1"/>
  <c r="AW22" i="2" s="1"/>
  <c r="AX22" i="2" s="1"/>
  <c r="AY22" i="2" s="1"/>
  <c r="AZ22" i="2" s="1"/>
  <c r="BA22" i="2" s="1"/>
  <c r="BB22" i="2" s="1"/>
  <c r="BC22" i="2" s="1"/>
  <c r="BD22" i="2" s="1"/>
  <c r="BE22" i="2" s="1"/>
  <c r="BF22" i="2" s="1"/>
  <c r="BG22" i="2" s="1"/>
  <c r="BH22" i="2" s="1"/>
  <c r="BI22" i="2" s="1"/>
  <c r="BJ22" i="2" s="1"/>
  <c r="BK22" i="2" s="1"/>
  <c r="BL22" i="2" s="1"/>
  <c r="BM22" i="2" s="1"/>
  <c r="BN22" i="2" s="1"/>
  <c r="BO22" i="2" s="1"/>
  <c r="BP22" i="2" s="1"/>
  <c r="BQ22" i="2" s="1"/>
  <c r="BR22" i="2" s="1"/>
  <c r="BS22" i="2" s="1"/>
  <c r="BT22" i="2" s="1"/>
  <c r="BU22" i="2" s="1"/>
  <c r="BV22" i="2" s="1"/>
  <c r="BW22" i="2" s="1"/>
  <c r="BX22" i="2" s="1"/>
  <c r="BY22" i="2" s="1"/>
  <c r="BZ22" i="2" s="1"/>
  <c r="CA22" i="2" s="1"/>
  <c r="CB22" i="2" s="1"/>
  <c r="CC22" i="2" s="1"/>
  <c r="CD22" i="2" s="1"/>
  <c r="CE22" i="2" s="1"/>
  <c r="CF22" i="2" s="1"/>
  <c r="CG22" i="2" s="1"/>
  <c r="CH22" i="2" s="1"/>
  <c r="CI22" i="2" s="1"/>
  <c r="CJ22" i="2" s="1"/>
  <c r="CK22" i="2" s="1"/>
  <c r="CL22" i="2" s="1"/>
  <c r="CM22" i="2" s="1"/>
  <c r="CN22" i="2" s="1"/>
  <c r="CO22" i="2" s="1"/>
  <c r="CP22" i="2" s="1"/>
  <c r="CQ22" i="2" s="1"/>
  <c r="CR22" i="2" s="1"/>
  <c r="CS22" i="2" s="1"/>
  <c r="CT22" i="2" s="1"/>
  <c r="CU22" i="2" s="1"/>
  <c r="CV22" i="2" s="1"/>
  <c r="AO6" i="2"/>
  <c r="AO8" i="2"/>
  <c r="AO10" i="2"/>
  <c r="AO21" i="2"/>
  <c r="AP21" i="2" s="1"/>
  <c r="AQ21" i="2" s="1"/>
  <c r="AR21" i="2" s="1"/>
  <c r="AS21" i="2" s="1"/>
  <c r="AT21" i="2" s="1"/>
  <c r="AU21" i="2" s="1"/>
  <c r="AV21" i="2" s="1"/>
  <c r="AW21" i="2" s="1"/>
  <c r="AX21" i="2" s="1"/>
  <c r="AY21" i="2" s="1"/>
  <c r="AZ21" i="2" s="1"/>
  <c r="BA21" i="2" s="1"/>
  <c r="BB21" i="2" s="1"/>
  <c r="BC21" i="2" s="1"/>
  <c r="BD21" i="2" s="1"/>
  <c r="BE21" i="2" s="1"/>
  <c r="BF21" i="2" s="1"/>
  <c r="BG21" i="2" s="1"/>
  <c r="BH21" i="2" s="1"/>
  <c r="BI21" i="2" s="1"/>
  <c r="BJ21" i="2" s="1"/>
  <c r="BK21" i="2" s="1"/>
  <c r="BL21" i="2" s="1"/>
  <c r="BM21" i="2" s="1"/>
  <c r="BN21" i="2" s="1"/>
  <c r="BO21" i="2" s="1"/>
  <c r="BP21" i="2" s="1"/>
  <c r="BQ21" i="2" s="1"/>
  <c r="BR21" i="2" s="1"/>
  <c r="BS21" i="2" s="1"/>
  <c r="BT21" i="2" s="1"/>
  <c r="BU21" i="2" s="1"/>
  <c r="BV21" i="2" s="1"/>
  <c r="BW21" i="2" s="1"/>
  <c r="BX21" i="2" s="1"/>
  <c r="BY21" i="2" s="1"/>
  <c r="BZ21" i="2" s="1"/>
  <c r="CA21" i="2" s="1"/>
  <c r="CB21" i="2" s="1"/>
  <c r="CC21" i="2" s="1"/>
  <c r="CD21" i="2" s="1"/>
  <c r="CE21" i="2" s="1"/>
  <c r="CF21" i="2" s="1"/>
  <c r="CG21" i="2" s="1"/>
  <c r="CH21" i="2" s="1"/>
  <c r="CI21" i="2" s="1"/>
  <c r="CJ21" i="2" s="1"/>
  <c r="CK21" i="2" s="1"/>
  <c r="CL21" i="2" s="1"/>
  <c r="CM21" i="2" s="1"/>
  <c r="CN21" i="2" s="1"/>
  <c r="CO21" i="2" s="1"/>
  <c r="CP21" i="2" s="1"/>
  <c r="CQ21" i="2" s="1"/>
  <c r="CR21" i="2" s="1"/>
  <c r="CS21" i="2" s="1"/>
  <c r="CT21" i="2" s="1"/>
  <c r="CU21" i="2" s="1"/>
  <c r="CV21" i="2" s="1"/>
  <c r="AO16" i="2"/>
  <c r="AP16" i="2" s="1"/>
  <c r="AQ16" i="2" s="1"/>
  <c r="AR16" i="2" s="1"/>
  <c r="AS16" i="2" s="1"/>
  <c r="AT16" i="2" s="1"/>
  <c r="AU16" i="2" s="1"/>
  <c r="AV16" i="2" s="1"/>
  <c r="AW16" i="2" s="1"/>
  <c r="AX16" i="2" s="1"/>
  <c r="AY16" i="2" s="1"/>
  <c r="AZ16" i="2" s="1"/>
  <c r="BA16" i="2" s="1"/>
  <c r="BB16" i="2" s="1"/>
  <c r="BC16" i="2" s="1"/>
  <c r="BD16" i="2" s="1"/>
  <c r="BE16" i="2" s="1"/>
  <c r="BF16" i="2" s="1"/>
  <c r="BG16" i="2" s="1"/>
  <c r="BH16" i="2" s="1"/>
  <c r="BI16" i="2" s="1"/>
  <c r="BJ16" i="2" s="1"/>
  <c r="BK16" i="2" s="1"/>
  <c r="BL16" i="2" s="1"/>
  <c r="BM16" i="2" s="1"/>
  <c r="BN16" i="2" s="1"/>
  <c r="BO16" i="2" s="1"/>
  <c r="BP16" i="2" s="1"/>
  <c r="BQ16" i="2" s="1"/>
  <c r="BR16" i="2" s="1"/>
  <c r="BS16" i="2" s="1"/>
  <c r="BT16" i="2" s="1"/>
  <c r="BU16" i="2" s="1"/>
  <c r="BV16" i="2" s="1"/>
  <c r="BW16" i="2" s="1"/>
  <c r="BX16" i="2" s="1"/>
  <c r="BY16" i="2" s="1"/>
  <c r="BZ16" i="2" s="1"/>
  <c r="CA16" i="2" s="1"/>
  <c r="CB16" i="2" s="1"/>
  <c r="CC16" i="2" s="1"/>
  <c r="CD16" i="2" s="1"/>
  <c r="CE16" i="2" s="1"/>
  <c r="CF16" i="2" s="1"/>
  <c r="CG16" i="2" s="1"/>
  <c r="CH16" i="2" s="1"/>
  <c r="CI16" i="2" s="1"/>
  <c r="CJ16" i="2" s="1"/>
  <c r="CK16" i="2" s="1"/>
  <c r="CL16" i="2" s="1"/>
  <c r="CM16" i="2" s="1"/>
  <c r="CN16" i="2" s="1"/>
  <c r="CO16" i="2" s="1"/>
  <c r="CP16" i="2" s="1"/>
  <c r="CQ16" i="2" s="1"/>
  <c r="CR16" i="2" s="1"/>
  <c r="CS16" i="2" s="1"/>
  <c r="CT16" i="2" s="1"/>
  <c r="CU16" i="2" s="1"/>
  <c r="CV16" i="2" s="1"/>
  <c r="AN28" i="2"/>
  <c r="AO4" i="2"/>
  <c r="AO20" i="2"/>
  <c r="AP20" i="2" s="1"/>
  <c r="AQ20" i="2" s="1"/>
  <c r="AR20" i="2" s="1"/>
  <c r="AS20" i="2" s="1"/>
  <c r="AT20" i="2" s="1"/>
  <c r="AU20" i="2" s="1"/>
  <c r="AV20" i="2" s="1"/>
  <c r="AW20" i="2" s="1"/>
  <c r="AX20" i="2" s="1"/>
  <c r="AY20" i="2" s="1"/>
  <c r="AZ20" i="2" s="1"/>
  <c r="BA20" i="2" s="1"/>
  <c r="BB20" i="2" s="1"/>
  <c r="BC20" i="2" s="1"/>
  <c r="BD20" i="2" s="1"/>
  <c r="BE20" i="2" s="1"/>
  <c r="BF20" i="2" s="1"/>
  <c r="BG20" i="2" s="1"/>
  <c r="BH20" i="2" s="1"/>
  <c r="BI20" i="2" s="1"/>
  <c r="BJ20" i="2" s="1"/>
  <c r="BK20" i="2" s="1"/>
  <c r="BL20" i="2" s="1"/>
  <c r="BM20" i="2" s="1"/>
  <c r="BN20" i="2" s="1"/>
  <c r="BO20" i="2" s="1"/>
  <c r="BP20" i="2" s="1"/>
  <c r="BQ20" i="2" s="1"/>
  <c r="BR20" i="2" s="1"/>
  <c r="BS20" i="2" s="1"/>
  <c r="BT20" i="2" s="1"/>
  <c r="BU20" i="2" s="1"/>
  <c r="BV20" i="2" s="1"/>
  <c r="BW20" i="2" s="1"/>
  <c r="BX20" i="2" s="1"/>
  <c r="BY20" i="2" s="1"/>
  <c r="BZ20" i="2" s="1"/>
  <c r="CA20" i="2" s="1"/>
  <c r="CB20" i="2" s="1"/>
  <c r="CC20" i="2" s="1"/>
  <c r="CD20" i="2" s="1"/>
  <c r="CE20" i="2" s="1"/>
  <c r="CF20" i="2" s="1"/>
  <c r="CG20" i="2" s="1"/>
  <c r="CH20" i="2" s="1"/>
  <c r="CI20" i="2" s="1"/>
  <c r="CJ20" i="2" s="1"/>
  <c r="CK20" i="2" s="1"/>
  <c r="CL20" i="2" s="1"/>
  <c r="CM20" i="2" s="1"/>
  <c r="CN20" i="2" s="1"/>
  <c r="CO20" i="2" s="1"/>
  <c r="CP20" i="2" s="1"/>
  <c r="CQ20" i="2" s="1"/>
  <c r="CR20" i="2" s="1"/>
  <c r="CS20" i="2" s="1"/>
  <c r="CT20" i="2" s="1"/>
  <c r="CU20" i="2" s="1"/>
  <c r="CV20" i="2" s="1"/>
  <c r="AN32" i="2"/>
  <c r="AN31" i="2"/>
  <c r="AO31" i="2" s="1"/>
  <c r="AP31" i="2" s="1"/>
  <c r="AQ31" i="2" s="1"/>
  <c r="AR31" i="2" s="1"/>
  <c r="AS31" i="2" s="1"/>
  <c r="AT31" i="2" s="1"/>
  <c r="AU31" i="2" s="1"/>
  <c r="AV31" i="2" s="1"/>
  <c r="AW31" i="2" s="1"/>
  <c r="AX31" i="2" s="1"/>
  <c r="AY31" i="2" s="1"/>
  <c r="AZ31" i="2" s="1"/>
  <c r="BA31" i="2" s="1"/>
  <c r="BB31" i="2" s="1"/>
  <c r="BC31" i="2" s="1"/>
  <c r="BD31" i="2" s="1"/>
  <c r="BE31" i="2" s="1"/>
  <c r="BF31" i="2" s="1"/>
  <c r="BG31" i="2" s="1"/>
  <c r="BH31" i="2" s="1"/>
  <c r="BI31" i="2" s="1"/>
  <c r="BJ31" i="2" s="1"/>
  <c r="BK31" i="2" s="1"/>
  <c r="BL31" i="2" s="1"/>
  <c r="BM31" i="2" s="1"/>
  <c r="BN31" i="2" s="1"/>
  <c r="BO31" i="2" s="1"/>
  <c r="BP31" i="2" s="1"/>
  <c r="BQ31" i="2" s="1"/>
  <c r="BR31" i="2" s="1"/>
  <c r="BS31" i="2" s="1"/>
  <c r="BT31" i="2" s="1"/>
  <c r="BU31" i="2" s="1"/>
  <c r="BV31" i="2" s="1"/>
  <c r="BW31" i="2" s="1"/>
  <c r="BX31" i="2" s="1"/>
  <c r="BY31" i="2" s="1"/>
  <c r="BZ31" i="2" s="1"/>
  <c r="CA31" i="2" s="1"/>
  <c r="CB31" i="2" s="1"/>
  <c r="CC31" i="2" s="1"/>
  <c r="CD31" i="2" s="1"/>
  <c r="CE31" i="2" s="1"/>
  <c r="CF31" i="2" s="1"/>
  <c r="CG31" i="2" s="1"/>
  <c r="CH31" i="2" s="1"/>
  <c r="CI31" i="2" s="1"/>
  <c r="CJ31" i="2" s="1"/>
  <c r="CK31" i="2" s="1"/>
  <c r="CL31" i="2" s="1"/>
  <c r="CM31" i="2" s="1"/>
  <c r="CN31" i="2" s="1"/>
  <c r="CO31" i="2" s="1"/>
  <c r="CP31" i="2" s="1"/>
  <c r="CQ31" i="2" s="1"/>
  <c r="CR31" i="2" s="1"/>
  <c r="CS31" i="2" s="1"/>
  <c r="CT31" i="2" s="1"/>
  <c r="CU31" i="2" s="1"/>
  <c r="CV31" i="2" s="1"/>
  <c r="AO19" i="2"/>
  <c r="AP19" i="2" s="1"/>
  <c r="AQ19" i="2" s="1"/>
  <c r="AR19" i="2" s="1"/>
  <c r="AS19" i="2" s="1"/>
  <c r="AT19" i="2" s="1"/>
  <c r="AU19" i="2" s="1"/>
  <c r="AV19" i="2" s="1"/>
  <c r="AW19" i="2" s="1"/>
  <c r="AX19" i="2" s="1"/>
  <c r="AY19" i="2" s="1"/>
  <c r="AZ19" i="2" s="1"/>
  <c r="BA19" i="2" s="1"/>
  <c r="BB19" i="2" s="1"/>
  <c r="BC19" i="2" s="1"/>
  <c r="BD19" i="2" s="1"/>
  <c r="BE19" i="2" s="1"/>
  <c r="BF19" i="2" s="1"/>
  <c r="BG19" i="2" s="1"/>
  <c r="BH19" i="2" s="1"/>
  <c r="BI19" i="2" s="1"/>
  <c r="BJ19" i="2" s="1"/>
  <c r="BK19" i="2" s="1"/>
  <c r="BL19" i="2" s="1"/>
  <c r="BM19" i="2" s="1"/>
  <c r="BN19" i="2" s="1"/>
  <c r="BO19" i="2" s="1"/>
  <c r="BP19" i="2" s="1"/>
  <c r="BQ19" i="2" s="1"/>
  <c r="BR19" i="2" s="1"/>
  <c r="BS19" i="2" s="1"/>
  <c r="BT19" i="2" s="1"/>
  <c r="BU19" i="2" s="1"/>
  <c r="BV19" i="2" s="1"/>
  <c r="BW19" i="2" s="1"/>
  <c r="BX19" i="2" s="1"/>
  <c r="BY19" i="2" s="1"/>
  <c r="BZ19" i="2" s="1"/>
  <c r="CA19" i="2" s="1"/>
  <c r="CB19" i="2" s="1"/>
  <c r="CC19" i="2" s="1"/>
  <c r="CD19" i="2" s="1"/>
  <c r="CE19" i="2" s="1"/>
  <c r="CF19" i="2" s="1"/>
  <c r="CG19" i="2" s="1"/>
  <c r="CH19" i="2" s="1"/>
  <c r="CI19" i="2" s="1"/>
  <c r="CJ19" i="2" s="1"/>
  <c r="CK19" i="2" s="1"/>
  <c r="CL19" i="2" s="1"/>
  <c r="CM19" i="2" s="1"/>
  <c r="CN19" i="2" s="1"/>
  <c r="CO19" i="2" s="1"/>
  <c r="CP19" i="2" s="1"/>
  <c r="CQ19" i="2" s="1"/>
  <c r="CR19" i="2" s="1"/>
  <c r="CS19" i="2" s="1"/>
  <c r="CT19" i="2" s="1"/>
  <c r="CU19" i="2" s="1"/>
  <c r="CV19" i="2" s="1"/>
  <c r="AO7" i="2"/>
  <c r="AO23" i="2"/>
  <c r="AP23" i="2" s="1"/>
  <c r="AQ23" i="2" s="1"/>
  <c r="AR23" i="2" s="1"/>
  <c r="AS23" i="2" s="1"/>
  <c r="AT23" i="2" s="1"/>
  <c r="AU23" i="2" s="1"/>
  <c r="AV23" i="2" s="1"/>
  <c r="AW23" i="2" s="1"/>
  <c r="AX23" i="2" s="1"/>
  <c r="AY23" i="2" s="1"/>
  <c r="AZ23" i="2" s="1"/>
  <c r="BA23" i="2" s="1"/>
  <c r="BB23" i="2" s="1"/>
  <c r="BC23" i="2" s="1"/>
  <c r="BD23" i="2" s="1"/>
  <c r="BE23" i="2" s="1"/>
  <c r="BF23" i="2" s="1"/>
  <c r="BG23" i="2" s="1"/>
  <c r="BH23" i="2" s="1"/>
  <c r="BI23" i="2" s="1"/>
  <c r="BJ23" i="2" s="1"/>
  <c r="BK23" i="2" s="1"/>
  <c r="BL23" i="2" s="1"/>
  <c r="BM23" i="2" s="1"/>
  <c r="BN23" i="2" s="1"/>
  <c r="BO23" i="2" s="1"/>
  <c r="BP23" i="2" s="1"/>
  <c r="BQ23" i="2" s="1"/>
  <c r="BR23" i="2" s="1"/>
  <c r="BS23" i="2" s="1"/>
  <c r="BT23" i="2" s="1"/>
  <c r="BU23" i="2" s="1"/>
  <c r="BV23" i="2" s="1"/>
  <c r="BW23" i="2" s="1"/>
  <c r="BX23" i="2" s="1"/>
  <c r="BY23" i="2" s="1"/>
  <c r="BZ23" i="2" s="1"/>
  <c r="CA23" i="2" s="1"/>
  <c r="CB23" i="2" s="1"/>
  <c r="CC23" i="2" s="1"/>
  <c r="CD23" i="2" s="1"/>
  <c r="CE23" i="2" s="1"/>
  <c r="CF23" i="2" s="1"/>
  <c r="CG23" i="2" s="1"/>
  <c r="CH23" i="2" s="1"/>
  <c r="CI23" i="2" s="1"/>
  <c r="CJ23" i="2" s="1"/>
  <c r="CK23" i="2" s="1"/>
  <c r="CL23" i="2" s="1"/>
  <c r="CM23" i="2" s="1"/>
  <c r="CN23" i="2" s="1"/>
  <c r="CO23" i="2" s="1"/>
  <c r="CP23" i="2" s="1"/>
  <c r="CQ23" i="2" s="1"/>
  <c r="CR23" i="2" s="1"/>
  <c r="CS23" i="2" s="1"/>
  <c r="CT23" i="2" s="1"/>
  <c r="CU23" i="2" s="1"/>
  <c r="CV23" i="2" s="1"/>
  <c r="AO5" i="2"/>
  <c r="AO17" i="2"/>
  <c r="AP17" i="2" s="1"/>
  <c r="AQ17" i="2" s="1"/>
  <c r="AR17" i="2" s="1"/>
  <c r="AS17" i="2" s="1"/>
  <c r="AT17" i="2" s="1"/>
  <c r="AU17" i="2" s="1"/>
  <c r="AV17" i="2" s="1"/>
  <c r="AW17" i="2" s="1"/>
  <c r="AX17" i="2" s="1"/>
  <c r="AY17" i="2" s="1"/>
  <c r="AZ17" i="2" s="1"/>
  <c r="BA17" i="2" s="1"/>
  <c r="BB17" i="2" s="1"/>
  <c r="BC17" i="2" s="1"/>
  <c r="BD17" i="2" s="1"/>
  <c r="BE17" i="2" s="1"/>
  <c r="BF17" i="2" s="1"/>
  <c r="BG17" i="2" s="1"/>
  <c r="BH17" i="2" s="1"/>
  <c r="BI17" i="2" s="1"/>
  <c r="BJ17" i="2" s="1"/>
  <c r="BK17" i="2" s="1"/>
  <c r="BL17" i="2" s="1"/>
  <c r="BM17" i="2" s="1"/>
  <c r="BN17" i="2" s="1"/>
  <c r="BO17" i="2" s="1"/>
  <c r="BP17" i="2" s="1"/>
  <c r="BQ17" i="2" s="1"/>
  <c r="BR17" i="2" s="1"/>
  <c r="BS17" i="2" s="1"/>
  <c r="BT17" i="2" s="1"/>
  <c r="BU17" i="2" s="1"/>
  <c r="BV17" i="2" s="1"/>
  <c r="BW17" i="2" s="1"/>
  <c r="BX17" i="2" s="1"/>
  <c r="BY17" i="2" s="1"/>
  <c r="BZ17" i="2" s="1"/>
  <c r="CA17" i="2" s="1"/>
  <c r="CB17" i="2" s="1"/>
  <c r="CC17" i="2" s="1"/>
  <c r="CD17" i="2" s="1"/>
  <c r="CE17" i="2" s="1"/>
  <c r="CF17" i="2" s="1"/>
  <c r="CG17" i="2" s="1"/>
  <c r="CH17" i="2" s="1"/>
  <c r="CI17" i="2" s="1"/>
  <c r="CJ17" i="2" s="1"/>
  <c r="CK17" i="2" s="1"/>
  <c r="CL17" i="2" s="1"/>
  <c r="CM17" i="2" s="1"/>
  <c r="CN17" i="2" s="1"/>
  <c r="CO17" i="2" s="1"/>
  <c r="CP17" i="2" s="1"/>
  <c r="CQ17" i="2" s="1"/>
  <c r="CR17" i="2" s="1"/>
  <c r="CS17" i="2" s="1"/>
  <c r="CT17" i="2" s="1"/>
  <c r="CU17" i="2" s="1"/>
  <c r="CV17" i="2" s="1"/>
  <c r="AN29" i="2"/>
  <c r="AO29" i="2" s="1"/>
  <c r="AP29" i="2" s="1"/>
  <c r="AQ29" i="2" s="1"/>
  <c r="AR29" i="2" s="1"/>
  <c r="AS29" i="2" s="1"/>
  <c r="AT29" i="2" s="1"/>
  <c r="AU29" i="2" s="1"/>
  <c r="AV29" i="2" s="1"/>
  <c r="AW29" i="2" s="1"/>
  <c r="AX29" i="2" s="1"/>
  <c r="AY29" i="2" s="1"/>
  <c r="AZ29" i="2" s="1"/>
  <c r="BA29" i="2" s="1"/>
  <c r="BB29" i="2" s="1"/>
  <c r="BC29" i="2" s="1"/>
  <c r="BD29" i="2" s="1"/>
  <c r="BE29" i="2" s="1"/>
  <c r="BF29" i="2" s="1"/>
  <c r="BG29" i="2" s="1"/>
  <c r="BH29" i="2" s="1"/>
  <c r="BI29" i="2" s="1"/>
  <c r="BJ29" i="2" s="1"/>
  <c r="BK29" i="2" s="1"/>
  <c r="BL29" i="2" s="1"/>
  <c r="BM29" i="2" s="1"/>
  <c r="BN29" i="2" s="1"/>
  <c r="BO29" i="2" s="1"/>
  <c r="BP29" i="2" s="1"/>
  <c r="BQ29" i="2" s="1"/>
  <c r="BR29" i="2" s="1"/>
  <c r="BS29" i="2" s="1"/>
  <c r="BT29" i="2" s="1"/>
  <c r="BU29" i="2" s="1"/>
  <c r="BV29" i="2" s="1"/>
  <c r="BW29" i="2" s="1"/>
  <c r="BX29" i="2" s="1"/>
  <c r="BY29" i="2" s="1"/>
  <c r="BZ29" i="2" s="1"/>
  <c r="CA29" i="2" s="1"/>
  <c r="CB29" i="2" s="1"/>
  <c r="CC29" i="2" s="1"/>
  <c r="CD29" i="2" s="1"/>
  <c r="CE29" i="2" s="1"/>
  <c r="CF29" i="2" s="1"/>
  <c r="CG29" i="2" s="1"/>
  <c r="CH29" i="2" s="1"/>
  <c r="CI29" i="2" s="1"/>
  <c r="CJ29" i="2" s="1"/>
  <c r="CK29" i="2" s="1"/>
  <c r="CL29" i="2" s="1"/>
  <c r="CM29" i="2" s="1"/>
  <c r="CN29" i="2" s="1"/>
  <c r="CO29" i="2" s="1"/>
  <c r="CP29" i="2" s="1"/>
  <c r="CQ29" i="2" s="1"/>
  <c r="CR29" i="2" s="1"/>
  <c r="CS29" i="2" s="1"/>
  <c r="CT29" i="2" s="1"/>
  <c r="CU29" i="2" s="1"/>
  <c r="CV29" i="2" s="1"/>
  <c r="AO11" i="2"/>
  <c r="AO18" i="2"/>
  <c r="AP18" i="2" s="1"/>
  <c r="AQ18" i="2" s="1"/>
  <c r="AR18" i="2" s="1"/>
  <c r="AS18" i="2" s="1"/>
  <c r="AT18" i="2" s="1"/>
  <c r="AU18" i="2" s="1"/>
  <c r="AV18" i="2" s="1"/>
  <c r="AW18" i="2" s="1"/>
  <c r="AX18" i="2" s="1"/>
  <c r="AY18" i="2" s="1"/>
  <c r="AZ18" i="2" s="1"/>
  <c r="BA18" i="2" s="1"/>
  <c r="BB18" i="2" s="1"/>
  <c r="BC18" i="2" s="1"/>
  <c r="BD18" i="2" s="1"/>
  <c r="BE18" i="2" s="1"/>
  <c r="BF18" i="2" s="1"/>
  <c r="BG18" i="2" s="1"/>
  <c r="BH18" i="2" s="1"/>
  <c r="BI18" i="2" s="1"/>
  <c r="BJ18" i="2" s="1"/>
  <c r="BK18" i="2" s="1"/>
  <c r="BL18" i="2" s="1"/>
  <c r="BM18" i="2" s="1"/>
  <c r="BN18" i="2" s="1"/>
  <c r="BO18" i="2" s="1"/>
  <c r="BP18" i="2" s="1"/>
  <c r="BQ18" i="2" s="1"/>
  <c r="BR18" i="2" s="1"/>
  <c r="BS18" i="2" s="1"/>
  <c r="BT18" i="2" s="1"/>
  <c r="BU18" i="2" s="1"/>
  <c r="BV18" i="2" s="1"/>
  <c r="BW18" i="2" s="1"/>
  <c r="BX18" i="2" s="1"/>
  <c r="BY18" i="2" s="1"/>
  <c r="BZ18" i="2" s="1"/>
  <c r="CA18" i="2" s="1"/>
  <c r="CB18" i="2" s="1"/>
  <c r="CC18" i="2" s="1"/>
  <c r="CD18" i="2" s="1"/>
  <c r="CE18" i="2" s="1"/>
  <c r="CF18" i="2" s="1"/>
  <c r="CG18" i="2" s="1"/>
  <c r="CH18" i="2" s="1"/>
  <c r="CI18" i="2" s="1"/>
  <c r="CJ18" i="2" s="1"/>
  <c r="CK18" i="2" s="1"/>
  <c r="CL18" i="2" s="1"/>
  <c r="CM18" i="2" s="1"/>
  <c r="CN18" i="2" s="1"/>
  <c r="CO18" i="2" s="1"/>
  <c r="CP18" i="2" s="1"/>
  <c r="CQ18" i="2" s="1"/>
  <c r="CR18" i="2" s="1"/>
  <c r="CS18" i="2" s="1"/>
  <c r="CT18" i="2" s="1"/>
  <c r="CU18" i="2" s="1"/>
  <c r="CV18" i="2" s="1"/>
  <c r="AN30" i="2"/>
  <c r="U32" i="4" l="1"/>
  <c r="E249" i="1"/>
  <c r="W26" i="4" s="1"/>
  <c r="AQ24" i="2"/>
  <c r="V26" i="4"/>
  <c r="AN65" i="2"/>
  <c r="U38" i="4"/>
  <c r="AO36" i="2"/>
  <c r="AN77" i="2"/>
  <c r="AN53" i="2"/>
  <c r="AP12" i="2"/>
  <c r="D262" i="1"/>
  <c r="E262" i="1" s="1"/>
  <c r="F262" i="1" s="1"/>
  <c r="G262" i="1" s="1"/>
  <c r="H262" i="1" s="1"/>
  <c r="I262" i="1" s="1"/>
  <c r="J262" i="1" s="1"/>
  <c r="K262" i="1" s="1"/>
  <c r="L262" i="1" s="1"/>
  <c r="M262" i="1" s="1"/>
  <c r="N262" i="1" s="1"/>
  <c r="O262" i="1" s="1"/>
  <c r="P262" i="1" s="1"/>
  <c r="Q262" i="1" s="1"/>
  <c r="R262" i="1" s="1"/>
  <c r="S262" i="1" s="1"/>
  <c r="T262" i="1" s="1"/>
  <c r="U262" i="1" s="1"/>
  <c r="V262" i="1" s="1"/>
  <c r="W262" i="1" s="1"/>
  <c r="X262" i="1" s="1"/>
  <c r="Y262" i="1" s="1"/>
  <c r="Z262" i="1" s="1"/>
  <c r="AA262" i="1" s="1"/>
  <c r="AB262" i="1" s="1"/>
  <c r="AC262" i="1" s="1"/>
  <c r="AD262" i="1" s="1"/>
  <c r="AE262" i="1" s="1"/>
  <c r="AF262" i="1" s="1"/>
  <c r="AG262" i="1" s="1"/>
  <c r="AH262" i="1" s="1"/>
  <c r="AI262" i="1" s="1"/>
  <c r="AJ262" i="1" s="1"/>
  <c r="AK262" i="1" s="1"/>
  <c r="AL262" i="1" s="1"/>
  <c r="AM262" i="1" s="1"/>
  <c r="AN262" i="1" s="1"/>
  <c r="AO262" i="1" s="1"/>
  <c r="AP262" i="1" s="1"/>
  <c r="AQ262" i="1" s="1"/>
  <c r="AR262" i="1" s="1"/>
  <c r="AS262" i="1" s="1"/>
  <c r="AT262" i="1" s="1"/>
  <c r="AU262" i="1" s="1"/>
  <c r="AV262" i="1" s="1"/>
  <c r="AW262" i="1" s="1"/>
  <c r="AX262" i="1" s="1"/>
  <c r="AY262" i="1" s="1"/>
  <c r="AZ262" i="1" s="1"/>
  <c r="BA262" i="1" s="1"/>
  <c r="BB262" i="1" s="1"/>
  <c r="BC262" i="1" s="1"/>
  <c r="BD262" i="1" s="1"/>
  <c r="BE262" i="1" s="1"/>
  <c r="BF262" i="1" s="1"/>
  <c r="BG262" i="1" s="1"/>
  <c r="BH262" i="1" s="1"/>
  <c r="BI262" i="1" s="1"/>
  <c r="BJ262" i="1" s="1"/>
  <c r="BK262" i="1" s="1"/>
  <c r="D259" i="1"/>
  <c r="E259" i="1" s="1"/>
  <c r="F259" i="1" s="1"/>
  <c r="G259" i="1" s="1"/>
  <c r="H259" i="1" s="1"/>
  <c r="I259" i="1" s="1"/>
  <c r="J259" i="1" s="1"/>
  <c r="K259" i="1" s="1"/>
  <c r="L259" i="1" s="1"/>
  <c r="M259" i="1" s="1"/>
  <c r="N259" i="1" s="1"/>
  <c r="O259" i="1" s="1"/>
  <c r="P259" i="1" s="1"/>
  <c r="Q259" i="1" s="1"/>
  <c r="R259" i="1" s="1"/>
  <c r="S259" i="1" s="1"/>
  <c r="T259" i="1" s="1"/>
  <c r="U259" i="1" s="1"/>
  <c r="V259" i="1" s="1"/>
  <c r="W259" i="1" s="1"/>
  <c r="X259" i="1" s="1"/>
  <c r="Y259" i="1" s="1"/>
  <c r="Z259" i="1" s="1"/>
  <c r="AA259" i="1" s="1"/>
  <c r="AB259" i="1" s="1"/>
  <c r="AC259" i="1" s="1"/>
  <c r="AD259" i="1" s="1"/>
  <c r="AE259" i="1" s="1"/>
  <c r="AF259" i="1" s="1"/>
  <c r="AG259" i="1" s="1"/>
  <c r="AH259" i="1" s="1"/>
  <c r="AI259" i="1" s="1"/>
  <c r="AJ259" i="1" s="1"/>
  <c r="AK259" i="1" s="1"/>
  <c r="AL259" i="1" s="1"/>
  <c r="AM259" i="1" s="1"/>
  <c r="AN259" i="1" s="1"/>
  <c r="AO259" i="1" s="1"/>
  <c r="AP259" i="1" s="1"/>
  <c r="AQ259" i="1" s="1"/>
  <c r="AR259" i="1" s="1"/>
  <c r="AS259" i="1" s="1"/>
  <c r="AT259" i="1" s="1"/>
  <c r="AU259" i="1" s="1"/>
  <c r="AV259" i="1" s="1"/>
  <c r="AW259" i="1" s="1"/>
  <c r="AX259" i="1" s="1"/>
  <c r="AY259" i="1" s="1"/>
  <c r="AZ259" i="1" s="1"/>
  <c r="BA259" i="1" s="1"/>
  <c r="BB259" i="1" s="1"/>
  <c r="BC259" i="1" s="1"/>
  <c r="BD259" i="1" s="1"/>
  <c r="BE259" i="1" s="1"/>
  <c r="BF259" i="1" s="1"/>
  <c r="BG259" i="1" s="1"/>
  <c r="BH259" i="1" s="1"/>
  <c r="BI259" i="1" s="1"/>
  <c r="BJ259" i="1" s="1"/>
  <c r="BK259" i="1" s="1"/>
  <c r="D237" i="1"/>
  <c r="E237" i="1" s="1"/>
  <c r="F237" i="1" s="1"/>
  <c r="G237" i="1" s="1"/>
  <c r="H237" i="1" s="1"/>
  <c r="I237" i="1" s="1"/>
  <c r="J237" i="1" s="1"/>
  <c r="K237" i="1" s="1"/>
  <c r="L237" i="1" s="1"/>
  <c r="M237" i="1" s="1"/>
  <c r="N237" i="1" s="1"/>
  <c r="O237" i="1" s="1"/>
  <c r="P237" i="1" s="1"/>
  <c r="Q237" i="1" s="1"/>
  <c r="R237" i="1" s="1"/>
  <c r="S237" i="1" s="1"/>
  <c r="T237" i="1" s="1"/>
  <c r="U237" i="1" s="1"/>
  <c r="V237" i="1" s="1"/>
  <c r="W237" i="1" s="1"/>
  <c r="X237" i="1" s="1"/>
  <c r="Y237" i="1" s="1"/>
  <c r="Z237" i="1" s="1"/>
  <c r="AA237" i="1" s="1"/>
  <c r="AB237" i="1" s="1"/>
  <c r="AC237" i="1" s="1"/>
  <c r="AD237" i="1" s="1"/>
  <c r="AE237" i="1" s="1"/>
  <c r="AF237" i="1" s="1"/>
  <c r="AG237" i="1" s="1"/>
  <c r="AH237" i="1" s="1"/>
  <c r="AI237" i="1" s="1"/>
  <c r="AJ237" i="1" s="1"/>
  <c r="AK237" i="1" s="1"/>
  <c r="AL237" i="1" s="1"/>
  <c r="AM237" i="1" s="1"/>
  <c r="AN237" i="1" s="1"/>
  <c r="AO237" i="1" s="1"/>
  <c r="AP237" i="1" s="1"/>
  <c r="AQ237" i="1" s="1"/>
  <c r="AR237" i="1" s="1"/>
  <c r="AS237" i="1" s="1"/>
  <c r="AT237" i="1" s="1"/>
  <c r="AU237" i="1" s="1"/>
  <c r="AV237" i="1" s="1"/>
  <c r="AW237" i="1" s="1"/>
  <c r="AX237" i="1" s="1"/>
  <c r="AY237" i="1" s="1"/>
  <c r="AZ237" i="1" s="1"/>
  <c r="BA237" i="1" s="1"/>
  <c r="BB237" i="1" s="1"/>
  <c r="BC237" i="1" s="1"/>
  <c r="BD237" i="1" s="1"/>
  <c r="BE237" i="1" s="1"/>
  <c r="BF237" i="1" s="1"/>
  <c r="BG237" i="1" s="1"/>
  <c r="BH237" i="1" s="1"/>
  <c r="BI237" i="1" s="1"/>
  <c r="BJ237" i="1" s="1"/>
  <c r="BK237" i="1" s="1"/>
  <c r="AN49" i="2"/>
  <c r="AN58" i="2"/>
  <c r="AN46" i="2"/>
  <c r="D256" i="1"/>
  <c r="E256" i="1" s="1"/>
  <c r="F256" i="1" s="1"/>
  <c r="G256" i="1" s="1"/>
  <c r="H256" i="1" s="1"/>
  <c r="I256" i="1" s="1"/>
  <c r="J256" i="1" s="1"/>
  <c r="K256" i="1" s="1"/>
  <c r="L256" i="1" s="1"/>
  <c r="M256" i="1" s="1"/>
  <c r="N256" i="1" s="1"/>
  <c r="O256" i="1" s="1"/>
  <c r="P256" i="1" s="1"/>
  <c r="Q256" i="1" s="1"/>
  <c r="R256" i="1" s="1"/>
  <c r="S256" i="1" s="1"/>
  <c r="T256" i="1" s="1"/>
  <c r="U256" i="1" s="1"/>
  <c r="V256" i="1" s="1"/>
  <c r="W256" i="1" s="1"/>
  <c r="X256" i="1" s="1"/>
  <c r="Y256" i="1" s="1"/>
  <c r="Z256" i="1" s="1"/>
  <c r="AA256" i="1" s="1"/>
  <c r="AB256" i="1" s="1"/>
  <c r="AC256" i="1" s="1"/>
  <c r="AD256" i="1" s="1"/>
  <c r="AE256" i="1" s="1"/>
  <c r="AF256" i="1" s="1"/>
  <c r="AG256" i="1" s="1"/>
  <c r="AH256" i="1" s="1"/>
  <c r="AI256" i="1" s="1"/>
  <c r="AJ256" i="1" s="1"/>
  <c r="AK256" i="1" s="1"/>
  <c r="AL256" i="1" s="1"/>
  <c r="AM256" i="1" s="1"/>
  <c r="AN256" i="1" s="1"/>
  <c r="AO256" i="1" s="1"/>
  <c r="AP256" i="1" s="1"/>
  <c r="AQ256" i="1" s="1"/>
  <c r="AR256" i="1" s="1"/>
  <c r="AS256" i="1" s="1"/>
  <c r="AT256" i="1" s="1"/>
  <c r="AU256" i="1" s="1"/>
  <c r="AV256" i="1" s="1"/>
  <c r="AW256" i="1" s="1"/>
  <c r="AX256" i="1" s="1"/>
  <c r="AY256" i="1" s="1"/>
  <c r="AZ256" i="1" s="1"/>
  <c r="BA256" i="1" s="1"/>
  <c r="BB256" i="1" s="1"/>
  <c r="BC256" i="1" s="1"/>
  <c r="BD256" i="1" s="1"/>
  <c r="BE256" i="1" s="1"/>
  <c r="BF256" i="1" s="1"/>
  <c r="BG256" i="1" s="1"/>
  <c r="BH256" i="1" s="1"/>
  <c r="BI256" i="1" s="1"/>
  <c r="BJ256" i="1" s="1"/>
  <c r="BK256" i="1" s="1"/>
  <c r="AN47" i="2"/>
  <c r="AN51" i="2"/>
  <c r="AN52" i="2"/>
  <c r="AN70" i="2"/>
  <c r="D236" i="1"/>
  <c r="E236" i="1" s="1"/>
  <c r="F236" i="1" s="1"/>
  <c r="G236" i="1" s="1"/>
  <c r="H236" i="1" s="1"/>
  <c r="I236" i="1" s="1"/>
  <c r="J236" i="1" s="1"/>
  <c r="K236" i="1" s="1"/>
  <c r="L236" i="1" s="1"/>
  <c r="M236" i="1" s="1"/>
  <c r="N236" i="1" s="1"/>
  <c r="O236" i="1" s="1"/>
  <c r="P236" i="1" s="1"/>
  <c r="Q236" i="1" s="1"/>
  <c r="R236" i="1" s="1"/>
  <c r="S236" i="1" s="1"/>
  <c r="T236" i="1" s="1"/>
  <c r="U236" i="1" s="1"/>
  <c r="V236" i="1" s="1"/>
  <c r="W236" i="1" s="1"/>
  <c r="X236" i="1" s="1"/>
  <c r="Y236" i="1" s="1"/>
  <c r="Z236" i="1" s="1"/>
  <c r="AA236" i="1" s="1"/>
  <c r="AB236" i="1" s="1"/>
  <c r="AC236" i="1" s="1"/>
  <c r="AD236" i="1" s="1"/>
  <c r="AE236" i="1" s="1"/>
  <c r="AF236" i="1" s="1"/>
  <c r="AG236" i="1" s="1"/>
  <c r="AH236" i="1" s="1"/>
  <c r="AI236" i="1" s="1"/>
  <c r="AJ236" i="1" s="1"/>
  <c r="AK236" i="1" s="1"/>
  <c r="AL236" i="1" s="1"/>
  <c r="AM236" i="1" s="1"/>
  <c r="AN236" i="1" s="1"/>
  <c r="AO236" i="1" s="1"/>
  <c r="AP236" i="1" s="1"/>
  <c r="AQ236" i="1" s="1"/>
  <c r="AR236" i="1" s="1"/>
  <c r="AS236" i="1" s="1"/>
  <c r="AT236" i="1" s="1"/>
  <c r="AU236" i="1" s="1"/>
  <c r="AV236" i="1" s="1"/>
  <c r="AW236" i="1" s="1"/>
  <c r="AX236" i="1" s="1"/>
  <c r="AY236" i="1" s="1"/>
  <c r="AZ236" i="1" s="1"/>
  <c r="BA236" i="1" s="1"/>
  <c r="BB236" i="1" s="1"/>
  <c r="BC236" i="1" s="1"/>
  <c r="BD236" i="1" s="1"/>
  <c r="BE236" i="1" s="1"/>
  <c r="BF236" i="1" s="1"/>
  <c r="BG236" i="1" s="1"/>
  <c r="BH236" i="1" s="1"/>
  <c r="BI236" i="1" s="1"/>
  <c r="BJ236" i="1" s="1"/>
  <c r="BK236" i="1" s="1"/>
  <c r="D235" i="1"/>
  <c r="E235" i="1" s="1"/>
  <c r="F235" i="1" s="1"/>
  <c r="G235" i="1" s="1"/>
  <c r="H235" i="1" s="1"/>
  <c r="I235" i="1" s="1"/>
  <c r="J235" i="1" s="1"/>
  <c r="K235" i="1" s="1"/>
  <c r="L235" i="1" s="1"/>
  <c r="M235" i="1" s="1"/>
  <c r="N235" i="1" s="1"/>
  <c r="O235" i="1" s="1"/>
  <c r="P235" i="1" s="1"/>
  <c r="Q235" i="1" s="1"/>
  <c r="R235" i="1" s="1"/>
  <c r="S235" i="1" s="1"/>
  <c r="T235" i="1" s="1"/>
  <c r="U235" i="1" s="1"/>
  <c r="V235" i="1" s="1"/>
  <c r="W235" i="1" s="1"/>
  <c r="X235" i="1" s="1"/>
  <c r="Y235" i="1" s="1"/>
  <c r="Z235" i="1" s="1"/>
  <c r="AA235" i="1" s="1"/>
  <c r="AB235" i="1" s="1"/>
  <c r="AC235" i="1" s="1"/>
  <c r="AD235" i="1" s="1"/>
  <c r="AE235" i="1" s="1"/>
  <c r="AF235" i="1" s="1"/>
  <c r="AG235" i="1" s="1"/>
  <c r="AH235" i="1" s="1"/>
  <c r="AI235" i="1" s="1"/>
  <c r="AJ235" i="1" s="1"/>
  <c r="AK235" i="1" s="1"/>
  <c r="AL235" i="1" s="1"/>
  <c r="AM235" i="1" s="1"/>
  <c r="AN235" i="1" s="1"/>
  <c r="AO235" i="1" s="1"/>
  <c r="AP235" i="1" s="1"/>
  <c r="AQ235" i="1" s="1"/>
  <c r="AR235" i="1" s="1"/>
  <c r="AS235" i="1" s="1"/>
  <c r="AT235" i="1" s="1"/>
  <c r="AU235" i="1" s="1"/>
  <c r="AV235" i="1" s="1"/>
  <c r="AW235" i="1" s="1"/>
  <c r="AX235" i="1" s="1"/>
  <c r="AY235" i="1" s="1"/>
  <c r="AZ235" i="1" s="1"/>
  <c r="BA235" i="1" s="1"/>
  <c r="BB235" i="1" s="1"/>
  <c r="BC235" i="1" s="1"/>
  <c r="BD235" i="1" s="1"/>
  <c r="BE235" i="1" s="1"/>
  <c r="BF235" i="1" s="1"/>
  <c r="BG235" i="1" s="1"/>
  <c r="BH235" i="1" s="1"/>
  <c r="BI235" i="1" s="1"/>
  <c r="BJ235" i="1" s="1"/>
  <c r="BK235" i="1" s="1"/>
  <c r="D232" i="1"/>
  <c r="E232" i="1" s="1"/>
  <c r="F232" i="1" s="1"/>
  <c r="G232" i="1" s="1"/>
  <c r="H232" i="1" s="1"/>
  <c r="I232" i="1" s="1"/>
  <c r="J232" i="1" s="1"/>
  <c r="K232" i="1" s="1"/>
  <c r="L232" i="1" s="1"/>
  <c r="M232" i="1" s="1"/>
  <c r="N232" i="1" s="1"/>
  <c r="O232" i="1" s="1"/>
  <c r="P232" i="1" s="1"/>
  <c r="Q232" i="1" s="1"/>
  <c r="R232" i="1" s="1"/>
  <c r="S232" i="1" s="1"/>
  <c r="T232" i="1" s="1"/>
  <c r="U232" i="1" s="1"/>
  <c r="V232" i="1" s="1"/>
  <c r="W232" i="1" s="1"/>
  <c r="X232" i="1" s="1"/>
  <c r="Y232" i="1" s="1"/>
  <c r="Z232" i="1" s="1"/>
  <c r="AA232" i="1" s="1"/>
  <c r="AB232" i="1" s="1"/>
  <c r="AC232" i="1" s="1"/>
  <c r="AD232" i="1" s="1"/>
  <c r="AE232" i="1" s="1"/>
  <c r="AF232" i="1" s="1"/>
  <c r="AG232" i="1" s="1"/>
  <c r="AH232" i="1" s="1"/>
  <c r="AI232" i="1" s="1"/>
  <c r="AJ232" i="1" s="1"/>
  <c r="AK232" i="1" s="1"/>
  <c r="AL232" i="1" s="1"/>
  <c r="AM232" i="1" s="1"/>
  <c r="AN232" i="1" s="1"/>
  <c r="AO232" i="1" s="1"/>
  <c r="AP232" i="1" s="1"/>
  <c r="AQ232" i="1" s="1"/>
  <c r="AR232" i="1" s="1"/>
  <c r="AS232" i="1" s="1"/>
  <c r="AT232" i="1" s="1"/>
  <c r="AU232" i="1" s="1"/>
  <c r="AV232" i="1" s="1"/>
  <c r="AW232" i="1" s="1"/>
  <c r="AX232" i="1" s="1"/>
  <c r="AY232" i="1" s="1"/>
  <c r="AZ232" i="1" s="1"/>
  <c r="BA232" i="1" s="1"/>
  <c r="BB232" i="1" s="1"/>
  <c r="BC232" i="1" s="1"/>
  <c r="BD232" i="1" s="1"/>
  <c r="BE232" i="1" s="1"/>
  <c r="BF232" i="1" s="1"/>
  <c r="BG232" i="1" s="1"/>
  <c r="BH232" i="1" s="1"/>
  <c r="BI232" i="1" s="1"/>
  <c r="BJ232" i="1" s="1"/>
  <c r="BK232" i="1" s="1"/>
  <c r="D231" i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P231" i="1" s="1"/>
  <c r="Q231" i="1" s="1"/>
  <c r="R231" i="1" s="1"/>
  <c r="S231" i="1" s="1"/>
  <c r="T231" i="1" s="1"/>
  <c r="U231" i="1" s="1"/>
  <c r="V231" i="1" s="1"/>
  <c r="W231" i="1" s="1"/>
  <c r="X231" i="1" s="1"/>
  <c r="Y231" i="1" s="1"/>
  <c r="Z231" i="1" s="1"/>
  <c r="AA231" i="1" s="1"/>
  <c r="AB231" i="1" s="1"/>
  <c r="AC231" i="1" s="1"/>
  <c r="AD231" i="1" s="1"/>
  <c r="AE231" i="1" s="1"/>
  <c r="AF231" i="1" s="1"/>
  <c r="AG231" i="1" s="1"/>
  <c r="AH231" i="1" s="1"/>
  <c r="AI231" i="1" s="1"/>
  <c r="AJ231" i="1" s="1"/>
  <c r="AK231" i="1" s="1"/>
  <c r="AL231" i="1" s="1"/>
  <c r="AM231" i="1" s="1"/>
  <c r="AN231" i="1" s="1"/>
  <c r="AO231" i="1" s="1"/>
  <c r="AP231" i="1" s="1"/>
  <c r="AQ231" i="1" s="1"/>
  <c r="AR231" i="1" s="1"/>
  <c r="AS231" i="1" s="1"/>
  <c r="AT231" i="1" s="1"/>
  <c r="AU231" i="1" s="1"/>
  <c r="AV231" i="1" s="1"/>
  <c r="AW231" i="1" s="1"/>
  <c r="AX231" i="1" s="1"/>
  <c r="AY231" i="1" s="1"/>
  <c r="AZ231" i="1" s="1"/>
  <c r="BA231" i="1" s="1"/>
  <c r="BB231" i="1" s="1"/>
  <c r="BC231" i="1" s="1"/>
  <c r="BD231" i="1" s="1"/>
  <c r="BE231" i="1" s="1"/>
  <c r="BF231" i="1" s="1"/>
  <c r="BG231" i="1" s="1"/>
  <c r="BH231" i="1" s="1"/>
  <c r="BI231" i="1" s="1"/>
  <c r="BJ231" i="1" s="1"/>
  <c r="BK231" i="1" s="1"/>
  <c r="D234" i="1"/>
  <c r="E234" i="1" s="1"/>
  <c r="F234" i="1" s="1"/>
  <c r="G234" i="1" s="1"/>
  <c r="H234" i="1" s="1"/>
  <c r="I234" i="1" s="1"/>
  <c r="J234" i="1" s="1"/>
  <c r="K234" i="1" s="1"/>
  <c r="L234" i="1" s="1"/>
  <c r="M234" i="1" s="1"/>
  <c r="N234" i="1" s="1"/>
  <c r="O234" i="1" s="1"/>
  <c r="P234" i="1" s="1"/>
  <c r="Q234" i="1" s="1"/>
  <c r="R234" i="1" s="1"/>
  <c r="S234" i="1" s="1"/>
  <c r="T234" i="1" s="1"/>
  <c r="U234" i="1" s="1"/>
  <c r="V234" i="1" s="1"/>
  <c r="W234" i="1" s="1"/>
  <c r="X234" i="1" s="1"/>
  <c r="Y234" i="1" s="1"/>
  <c r="Z234" i="1" s="1"/>
  <c r="AA234" i="1" s="1"/>
  <c r="AB234" i="1" s="1"/>
  <c r="AC234" i="1" s="1"/>
  <c r="AD234" i="1" s="1"/>
  <c r="AE234" i="1" s="1"/>
  <c r="AF234" i="1" s="1"/>
  <c r="AG234" i="1" s="1"/>
  <c r="AH234" i="1" s="1"/>
  <c r="AI234" i="1" s="1"/>
  <c r="AJ234" i="1" s="1"/>
  <c r="AK234" i="1" s="1"/>
  <c r="AL234" i="1" s="1"/>
  <c r="AM234" i="1" s="1"/>
  <c r="AN234" i="1" s="1"/>
  <c r="AO234" i="1" s="1"/>
  <c r="AP234" i="1" s="1"/>
  <c r="AQ234" i="1" s="1"/>
  <c r="AR234" i="1" s="1"/>
  <c r="AS234" i="1" s="1"/>
  <c r="AT234" i="1" s="1"/>
  <c r="AU234" i="1" s="1"/>
  <c r="AV234" i="1" s="1"/>
  <c r="AW234" i="1" s="1"/>
  <c r="AX234" i="1" s="1"/>
  <c r="AY234" i="1" s="1"/>
  <c r="AZ234" i="1" s="1"/>
  <c r="BA234" i="1" s="1"/>
  <c r="BB234" i="1" s="1"/>
  <c r="BC234" i="1" s="1"/>
  <c r="BD234" i="1" s="1"/>
  <c r="BE234" i="1" s="1"/>
  <c r="BF234" i="1" s="1"/>
  <c r="BG234" i="1" s="1"/>
  <c r="BH234" i="1" s="1"/>
  <c r="BI234" i="1" s="1"/>
  <c r="BJ234" i="1" s="1"/>
  <c r="BK234" i="1" s="1"/>
  <c r="D242" i="1"/>
  <c r="E242" i="1" s="1"/>
  <c r="F242" i="1" s="1"/>
  <c r="G242" i="1" s="1"/>
  <c r="H242" i="1" s="1"/>
  <c r="I242" i="1" s="1"/>
  <c r="J242" i="1" s="1"/>
  <c r="K242" i="1" s="1"/>
  <c r="L242" i="1" s="1"/>
  <c r="M242" i="1" s="1"/>
  <c r="N242" i="1" s="1"/>
  <c r="O242" i="1" s="1"/>
  <c r="P242" i="1" s="1"/>
  <c r="Q242" i="1" s="1"/>
  <c r="R242" i="1" s="1"/>
  <c r="S242" i="1" s="1"/>
  <c r="T242" i="1" s="1"/>
  <c r="U242" i="1" s="1"/>
  <c r="V242" i="1" s="1"/>
  <c r="W242" i="1" s="1"/>
  <c r="X242" i="1" s="1"/>
  <c r="Y242" i="1" s="1"/>
  <c r="Z242" i="1" s="1"/>
  <c r="AA242" i="1" s="1"/>
  <c r="AB242" i="1" s="1"/>
  <c r="AC242" i="1" s="1"/>
  <c r="AD242" i="1" s="1"/>
  <c r="AE242" i="1" s="1"/>
  <c r="AF242" i="1" s="1"/>
  <c r="AG242" i="1" s="1"/>
  <c r="AH242" i="1" s="1"/>
  <c r="AI242" i="1" s="1"/>
  <c r="AJ242" i="1" s="1"/>
  <c r="AK242" i="1" s="1"/>
  <c r="AL242" i="1" s="1"/>
  <c r="AM242" i="1" s="1"/>
  <c r="AN242" i="1" s="1"/>
  <c r="AO242" i="1" s="1"/>
  <c r="AP242" i="1" s="1"/>
  <c r="AQ242" i="1" s="1"/>
  <c r="AR242" i="1" s="1"/>
  <c r="AS242" i="1" s="1"/>
  <c r="AT242" i="1" s="1"/>
  <c r="AU242" i="1" s="1"/>
  <c r="AV242" i="1" s="1"/>
  <c r="AW242" i="1" s="1"/>
  <c r="AX242" i="1" s="1"/>
  <c r="AY242" i="1" s="1"/>
  <c r="AZ242" i="1" s="1"/>
  <c r="BA242" i="1" s="1"/>
  <c r="BB242" i="1" s="1"/>
  <c r="BC242" i="1" s="1"/>
  <c r="BD242" i="1" s="1"/>
  <c r="BE242" i="1" s="1"/>
  <c r="BF242" i="1" s="1"/>
  <c r="BG242" i="1" s="1"/>
  <c r="BH242" i="1" s="1"/>
  <c r="BI242" i="1" s="1"/>
  <c r="BJ242" i="1" s="1"/>
  <c r="BK242" i="1" s="1"/>
  <c r="D245" i="1"/>
  <c r="E245" i="1" s="1"/>
  <c r="F245" i="1" s="1"/>
  <c r="G245" i="1" s="1"/>
  <c r="H245" i="1" s="1"/>
  <c r="I245" i="1" s="1"/>
  <c r="J245" i="1" s="1"/>
  <c r="K245" i="1" s="1"/>
  <c r="L245" i="1" s="1"/>
  <c r="M245" i="1" s="1"/>
  <c r="N245" i="1" s="1"/>
  <c r="O245" i="1" s="1"/>
  <c r="P245" i="1" s="1"/>
  <c r="Q245" i="1" s="1"/>
  <c r="R245" i="1" s="1"/>
  <c r="S245" i="1" s="1"/>
  <c r="T245" i="1" s="1"/>
  <c r="U245" i="1" s="1"/>
  <c r="V245" i="1" s="1"/>
  <c r="W245" i="1" s="1"/>
  <c r="X245" i="1" s="1"/>
  <c r="Y245" i="1" s="1"/>
  <c r="Z245" i="1" s="1"/>
  <c r="AA245" i="1" s="1"/>
  <c r="AB245" i="1" s="1"/>
  <c r="AC245" i="1" s="1"/>
  <c r="AD245" i="1" s="1"/>
  <c r="AE245" i="1" s="1"/>
  <c r="AF245" i="1" s="1"/>
  <c r="AG245" i="1" s="1"/>
  <c r="AH245" i="1" s="1"/>
  <c r="AI245" i="1" s="1"/>
  <c r="AJ245" i="1" s="1"/>
  <c r="AK245" i="1" s="1"/>
  <c r="AL245" i="1" s="1"/>
  <c r="AM245" i="1" s="1"/>
  <c r="AN245" i="1" s="1"/>
  <c r="AO245" i="1" s="1"/>
  <c r="AP245" i="1" s="1"/>
  <c r="AQ245" i="1" s="1"/>
  <c r="AR245" i="1" s="1"/>
  <c r="AS245" i="1" s="1"/>
  <c r="AT245" i="1" s="1"/>
  <c r="AU245" i="1" s="1"/>
  <c r="AV245" i="1" s="1"/>
  <c r="AW245" i="1" s="1"/>
  <c r="AX245" i="1" s="1"/>
  <c r="AY245" i="1" s="1"/>
  <c r="AZ245" i="1" s="1"/>
  <c r="BA245" i="1" s="1"/>
  <c r="BB245" i="1" s="1"/>
  <c r="BC245" i="1" s="1"/>
  <c r="BD245" i="1" s="1"/>
  <c r="BE245" i="1" s="1"/>
  <c r="BF245" i="1" s="1"/>
  <c r="BG245" i="1" s="1"/>
  <c r="BH245" i="1" s="1"/>
  <c r="BI245" i="1" s="1"/>
  <c r="BJ245" i="1" s="1"/>
  <c r="BK245" i="1" s="1"/>
  <c r="D230" i="1"/>
  <c r="E230" i="1" s="1"/>
  <c r="F230" i="1" s="1"/>
  <c r="G230" i="1" s="1"/>
  <c r="H230" i="1" s="1"/>
  <c r="I230" i="1" s="1"/>
  <c r="J230" i="1" s="1"/>
  <c r="K230" i="1" s="1"/>
  <c r="L230" i="1" s="1"/>
  <c r="M230" i="1" s="1"/>
  <c r="N230" i="1" s="1"/>
  <c r="O230" i="1" s="1"/>
  <c r="P230" i="1" s="1"/>
  <c r="Q230" i="1" s="1"/>
  <c r="R230" i="1" s="1"/>
  <c r="S230" i="1" s="1"/>
  <c r="T230" i="1" s="1"/>
  <c r="U230" i="1" s="1"/>
  <c r="V230" i="1" s="1"/>
  <c r="W230" i="1" s="1"/>
  <c r="X230" i="1" s="1"/>
  <c r="Y230" i="1" s="1"/>
  <c r="Z230" i="1" s="1"/>
  <c r="AA230" i="1" s="1"/>
  <c r="AB230" i="1" s="1"/>
  <c r="AC230" i="1" s="1"/>
  <c r="AD230" i="1" s="1"/>
  <c r="AE230" i="1" s="1"/>
  <c r="AF230" i="1" s="1"/>
  <c r="AG230" i="1" s="1"/>
  <c r="AH230" i="1" s="1"/>
  <c r="AI230" i="1" s="1"/>
  <c r="AJ230" i="1" s="1"/>
  <c r="AK230" i="1" s="1"/>
  <c r="AL230" i="1" s="1"/>
  <c r="AM230" i="1" s="1"/>
  <c r="AN230" i="1" s="1"/>
  <c r="AO230" i="1" s="1"/>
  <c r="AP230" i="1" s="1"/>
  <c r="AQ230" i="1" s="1"/>
  <c r="AR230" i="1" s="1"/>
  <c r="AS230" i="1" s="1"/>
  <c r="AT230" i="1" s="1"/>
  <c r="AU230" i="1" s="1"/>
  <c r="AV230" i="1" s="1"/>
  <c r="AW230" i="1" s="1"/>
  <c r="AX230" i="1" s="1"/>
  <c r="AY230" i="1" s="1"/>
  <c r="AZ230" i="1" s="1"/>
  <c r="BA230" i="1" s="1"/>
  <c r="BB230" i="1" s="1"/>
  <c r="BC230" i="1" s="1"/>
  <c r="BD230" i="1" s="1"/>
  <c r="BE230" i="1" s="1"/>
  <c r="BF230" i="1" s="1"/>
  <c r="BG230" i="1" s="1"/>
  <c r="BH230" i="1" s="1"/>
  <c r="BI230" i="1" s="1"/>
  <c r="BJ230" i="1" s="1"/>
  <c r="BK230" i="1" s="1"/>
  <c r="D246" i="1"/>
  <c r="E246" i="1" s="1"/>
  <c r="F246" i="1" s="1"/>
  <c r="G246" i="1" s="1"/>
  <c r="H246" i="1" s="1"/>
  <c r="I246" i="1" s="1"/>
  <c r="J246" i="1" s="1"/>
  <c r="K246" i="1" s="1"/>
  <c r="L246" i="1" s="1"/>
  <c r="M246" i="1" s="1"/>
  <c r="N246" i="1" s="1"/>
  <c r="O246" i="1" s="1"/>
  <c r="P246" i="1" s="1"/>
  <c r="Q246" i="1" s="1"/>
  <c r="R246" i="1" s="1"/>
  <c r="S246" i="1" s="1"/>
  <c r="T246" i="1" s="1"/>
  <c r="U246" i="1" s="1"/>
  <c r="V246" i="1" s="1"/>
  <c r="W246" i="1" s="1"/>
  <c r="X246" i="1" s="1"/>
  <c r="Y246" i="1" s="1"/>
  <c r="Z246" i="1" s="1"/>
  <c r="AA246" i="1" s="1"/>
  <c r="AB246" i="1" s="1"/>
  <c r="AC246" i="1" s="1"/>
  <c r="AD246" i="1" s="1"/>
  <c r="AE246" i="1" s="1"/>
  <c r="AF246" i="1" s="1"/>
  <c r="AG246" i="1" s="1"/>
  <c r="AH246" i="1" s="1"/>
  <c r="AI246" i="1" s="1"/>
  <c r="AJ246" i="1" s="1"/>
  <c r="AK246" i="1" s="1"/>
  <c r="AL246" i="1" s="1"/>
  <c r="AM246" i="1" s="1"/>
  <c r="AN246" i="1" s="1"/>
  <c r="AO246" i="1" s="1"/>
  <c r="AP246" i="1" s="1"/>
  <c r="AQ246" i="1" s="1"/>
  <c r="AR246" i="1" s="1"/>
  <c r="AS246" i="1" s="1"/>
  <c r="AT246" i="1" s="1"/>
  <c r="AU246" i="1" s="1"/>
  <c r="AV246" i="1" s="1"/>
  <c r="AW246" i="1" s="1"/>
  <c r="AX246" i="1" s="1"/>
  <c r="AY246" i="1" s="1"/>
  <c r="AZ246" i="1" s="1"/>
  <c r="BA246" i="1" s="1"/>
  <c r="BB246" i="1" s="1"/>
  <c r="BC246" i="1" s="1"/>
  <c r="BD246" i="1" s="1"/>
  <c r="BE246" i="1" s="1"/>
  <c r="BF246" i="1" s="1"/>
  <c r="BG246" i="1" s="1"/>
  <c r="BH246" i="1" s="1"/>
  <c r="BI246" i="1" s="1"/>
  <c r="BJ246" i="1" s="1"/>
  <c r="BK246" i="1" s="1"/>
  <c r="D244" i="1"/>
  <c r="E244" i="1" s="1"/>
  <c r="F244" i="1" s="1"/>
  <c r="G244" i="1" s="1"/>
  <c r="H244" i="1" s="1"/>
  <c r="I244" i="1" s="1"/>
  <c r="J244" i="1" s="1"/>
  <c r="K244" i="1" s="1"/>
  <c r="L244" i="1" s="1"/>
  <c r="M244" i="1" s="1"/>
  <c r="N244" i="1" s="1"/>
  <c r="O244" i="1" s="1"/>
  <c r="P244" i="1" s="1"/>
  <c r="Q244" i="1" s="1"/>
  <c r="R244" i="1" s="1"/>
  <c r="S244" i="1" s="1"/>
  <c r="T244" i="1" s="1"/>
  <c r="U244" i="1" s="1"/>
  <c r="V244" i="1" s="1"/>
  <c r="W244" i="1" s="1"/>
  <c r="X244" i="1" s="1"/>
  <c r="Y244" i="1" s="1"/>
  <c r="Z244" i="1" s="1"/>
  <c r="AA244" i="1" s="1"/>
  <c r="AB244" i="1" s="1"/>
  <c r="AC244" i="1" s="1"/>
  <c r="AD244" i="1" s="1"/>
  <c r="AE244" i="1" s="1"/>
  <c r="AF244" i="1" s="1"/>
  <c r="AG244" i="1" s="1"/>
  <c r="AH244" i="1" s="1"/>
  <c r="AI244" i="1" s="1"/>
  <c r="AJ244" i="1" s="1"/>
  <c r="AK244" i="1" s="1"/>
  <c r="AL244" i="1" s="1"/>
  <c r="AM244" i="1" s="1"/>
  <c r="AN244" i="1" s="1"/>
  <c r="AO244" i="1" s="1"/>
  <c r="AP244" i="1" s="1"/>
  <c r="AQ244" i="1" s="1"/>
  <c r="AR244" i="1" s="1"/>
  <c r="AS244" i="1" s="1"/>
  <c r="AT244" i="1" s="1"/>
  <c r="AU244" i="1" s="1"/>
  <c r="AV244" i="1" s="1"/>
  <c r="AW244" i="1" s="1"/>
  <c r="AX244" i="1" s="1"/>
  <c r="AY244" i="1" s="1"/>
  <c r="AZ244" i="1" s="1"/>
  <c r="BA244" i="1" s="1"/>
  <c r="BB244" i="1" s="1"/>
  <c r="BC244" i="1" s="1"/>
  <c r="BD244" i="1" s="1"/>
  <c r="BE244" i="1" s="1"/>
  <c r="BF244" i="1" s="1"/>
  <c r="BG244" i="1" s="1"/>
  <c r="BH244" i="1" s="1"/>
  <c r="BI244" i="1" s="1"/>
  <c r="BJ244" i="1" s="1"/>
  <c r="BK244" i="1" s="1"/>
  <c r="D248" i="1"/>
  <c r="E248" i="1" s="1"/>
  <c r="F248" i="1" s="1"/>
  <c r="G248" i="1" s="1"/>
  <c r="H248" i="1" s="1"/>
  <c r="I248" i="1" s="1"/>
  <c r="J248" i="1" s="1"/>
  <c r="K248" i="1" s="1"/>
  <c r="L248" i="1" s="1"/>
  <c r="M248" i="1" s="1"/>
  <c r="N248" i="1" s="1"/>
  <c r="O248" i="1" s="1"/>
  <c r="P248" i="1" s="1"/>
  <c r="Q248" i="1" s="1"/>
  <c r="R248" i="1" s="1"/>
  <c r="S248" i="1" s="1"/>
  <c r="T248" i="1" s="1"/>
  <c r="U248" i="1" s="1"/>
  <c r="V248" i="1" s="1"/>
  <c r="W248" i="1" s="1"/>
  <c r="X248" i="1" s="1"/>
  <c r="Y248" i="1" s="1"/>
  <c r="Z248" i="1" s="1"/>
  <c r="AA248" i="1" s="1"/>
  <c r="AB248" i="1" s="1"/>
  <c r="AC248" i="1" s="1"/>
  <c r="AD248" i="1" s="1"/>
  <c r="AE248" i="1" s="1"/>
  <c r="AF248" i="1" s="1"/>
  <c r="AG248" i="1" s="1"/>
  <c r="AH248" i="1" s="1"/>
  <c r="AI248" i="1" s="1"/>
  <c r="AJ248" i="1" s="1"/>
  <c r="AK248" i="1" s="1"/>
  <c r="AL248" i="1" s="1"/>
  <c r="AM248" i="1" s="1"/>
  <c r="AN248" i="1" s="1"/>
  <c r="AO248" i="1" s="1"/>
  <c r="AP248" i="1" s="1"/>
  <c r="AQ248" i="1" s="1"/>
  <c r="AR248" i="1" s="1"/>
  <c r="AS248" i="1" s="1"/>
  <c r="AT248" i="1" s="1"/>
  <c r="AU248" i="1" s="1"/>
  <c r="AV248" i="1" s="1"/>
  <c r="AW248" i="1" s="1"/>
  <c r="AX248" i="1" s="1"/>
  <c r="AY248" i="1" s="1"/>
  <c r="AZ248" i="1" s="1"/>
  <c r="BA248" i="1" s="1"/>
  <c r="BB248" i="1" s="1"/>
  <c r="BC248" i="1" s="1"/>
  <c r="BD248" i="1" s="1"/>
  <c r="BE248" i="1" s="1"/>
  <c r="BF248" i="1" s="1"/>
  <c r="BG248" i="1" s="1"/>
  <c r="BH248" i="1" s="1"/>
  <c r="BI248" i="1" s="1"/>
  <c r="BJ248" i="1" s="1"/>
  <c r="BK248" i="1" s="1"/>
  <c r="D233" i="1"/>
  <c r="E233" i="1" s="1"/>
  <c r="F233" i="1" s="1"/>
  <c r="G233" i="1" s="1"/>
  <c r="H233" i="1" s="1"/>
  <c r="I233" i="1" s="1"/>
  <c r="J233" i="1" s="1"/>
  <c r="K233" i="1" s="1"/>
  <c r="L233" i="1" s="1"/>
  <c r="M233" i="1" s="1"/>
  <c r="N233" i="1" s="1"/>
  <c r="O233" i="1" s="1"/>
  <c r="P233" i="1" s="1"/>
  <c r="Q233" i="1" s="1"/>
  <c r="R233" i="1" s="1"/>
  <c r="S233" i="1" s="1"/>
  <c r="T233" i="1" s="1"/>
  <c r="U233" i="1" s="1"/>
  <c r="V233" i="1" s="1"/>
  <c r="W233" i="1" s="1"/>
  <c r="X233" i="1" s="1"/>
  <c r="Y233" i="1" s="1"/>
  <c r="Z233" i="1" s="1"/>
  <c r="AA233" i="1" s="1"/>
  <c r="AB233" i="1" s="1"/>
  <c r="AC233" i="1" s="1"/>
  <c r="AD233" i="1" s="1"/>
  <c r="AE233" i="1" s="1"/>
  <c r="AF233" i="1" s="1"/>
  <c r="AG233" i="1" s="1"/>
  <c r="AH233" i="1" s="1"/>
  <c r="AI233" i="1" s="1"/>
  <c r="AJ233" i="1" s="1"/>
  <c r="AK233" i="1" s="1"/>
  <c r="AL233" i="1" s="1"/>
  <c r="AM233" i="1" s="1"/>
  <c r="AN233" i="1" s="1"/>
  <c r="AO233" i="1" s="1"/>
  <c r="AP233" i="1" s="1"/>
  <c r="AQ233" i="1" s="1"/>
  <c r="AR233" i="1" s="1"/>
  <c r="AS233" i="1" s="1"/>
  <c r="AT233" i="1" s="1"/>
  <c r="AU233" i="1" s="1"/>
  <c r="AV233" i="1" s="1"/>
  <c r="AW233" i="1" s="1"/>
  <c r="AX233" i="1" s="1"/>
  <c r="AY233" i="1" s="1"/>
  <c r="AZ233" i="1" s="1"/>
  <c r="BA233" i="1" s="1"/>
  <c r="BB233" i="1" s="1"/>
  <c r="BC233" i="1" s="1"/>
  <c r="BD233" i="1" s="1"/>
  <c r="BE233" i="1" s="1"/>
  <c r="BF233" i="1" s="1"/>
  <c r="BG233" i="1" s="1"/>
  <c r="BH233" i="1" s="1"/>
  <c r="BI233" i="1" s="1"/>
  <c r="BJ233" i="1" s="1"/>
  <c r="BK233" i="1" s="1"/>
  <c r="D229" i="1"/>
  <c r="E229" i="1" s="1"/>
  <c r="F229" i="1" s="1"/>
  <c r="G229" i="1" s="1"/>
  <c r="H229" i="1" s="1"/>
  <c r="I229" i="1" s="1"/>
  <c r="J229" i="1" s="1"/>
  <c r="K229" i="1" s="1"/>
  <c r="L229" i="1" s="1"/>
  <c r="M229" i="1" s="1"/>
  <c r="N229" i="1" s="1"/>
  <c r="O229" i="1" s="1"/>
  <c r="P229" i="1" s="1"/>
  <c r="Q229" i="1" s="1"/>
  <c r="R229" i="1" s="1"/>
  <c r="S229" i="1" s="1"/>
  <c r="T229" i="1" s="1"/>
  <c r="U229" i="1" s="1"/>
  <c r="V229" i="1" s="1"/>
  <c r="W229" i="1" s="1"/>
  <c r="X229" i="1" s="1"/>
  <c r="Y229" i="1" s="1"/>
  <c r="Z229" i="1" s="1"/>
  <c r="AA229" i="1" s="1"/>
  <c r="AB229" i="1" s="1"/>
  <c r="AC229" i="1" s="1"/>
  <c r="AD229" i="1" s="1"/>
  <c r="AE229" i="1" s="1"/>
  <c r="AF229" i="1" s="1"/>
  <c r="AG229" i="1" s="1"/>
  <c r="AH229" i="1" s="1"/>
  <c r="AI229" i="1" s="1"/>
  <c r="AJ229" i="1" s="1"/>
  <c r="AK229" i="1" s="1"/>
  <c r="AL229" i="1" s="1"/>
  <c r="AM229" i="1" s="1"/>
  <c r="AN229" i="1" s="1"/>
  <c r="AO229" i="1" s="1"/>
  <c r="AP229" i="1" s="1"/>
  <c r="AQ229" i="1" s="1"/>
  <c r="AR229" i="1" s="1"/>
  <c r="AS229" i="1" s="1"/>
  <c r="AT229" i="1" s="1"/>
  <c r="AU229" i="1" s="1"/>
  <c r="AV229" i="1" s="1"/>
  <c r="AW229" i="1" s="1"/>
  <c r="AX229" i="1" s="1"/>
  <c r="AY229" i="1" s="1"/>
  <c r="AZ229" i="1" s="1"/>
  <c r="BA229" i="1" s="1"/>
  <c r="BB229" i="1" s="1"/>
  <c r="BC229" i="1" s="1"/>
  <c r="BD229" i="1" s="1"/>
  <c r="BE229" i="1" s="1"/>
  <c r="BF229" i="1" s="1"/>
  <c r="BG229" i="1" s="1"/>
  <c r="BH229" i="1" s="1"/>
  <c r="BI229" i="1" s="1"/>
  <c r="BJ229" i="1" s="1"/>
  <c r="BK229" i="1" s="1"/>
  <c r="D247" i="1"/>
  <c r="E247" i="1" s="1"/>
  <c r="F247" i="1" s="1"/>
  <c r="G247" i="1" s="1"/>
  <c r="H247" i="1" s="1"/>
  <c r="I247" i="1" s="1"/>
  <c r="J247" i="1" s="1"/>
  <c r="K247" i="1" s="1"/>
  <c r="L247" i="1" s="1"/>
  <c r="M247" i="1" s="1"/>
  <c r="N247" i="1" s="1"/>
  <c r="O247" i="1" s="1"/>
  <c r="P247" i="1" s="1"/>
  <c r="Q247" i="1" s="1"/>
  <c r="R247" i="1" s="1"/>
  <c r="S247" i="1" s="1"/>
  <c r="T247" i="1" s="1"/>
  <c r="U247" i="1" s="1"/>
  <c r="V247" i="1" s="1"/>
  <c r="W247" i="1" s="1"/>
  <c r="X247" i="1" s="1"/>
  <c r="Y247" i="1" s="1"/>
  <c r="Z247" i="1" s="1"/>
  <c r="AA247" i="1" s="1"/>
  <c r="AB247" i="1" s="1"/>
  <c r="AC247" i="1" s="1"/>
  <c r="AD247" i="1" s="1"/>
  <c r="AE247" i="1" s="1"/>
  <c r="AF247" i="1" s="1"/>
  <c r="AG247" i="1" s="1"/>
  <c r="AH247" i="1" s="1"/>
  <c r="AI247" i="1" s="1"/>
  <c r="AJ247" i="1" s="1"/>
  <c r="AK247" i="1" s="1"/>
  <c r="AL247" i="1" s="1"/>
  <c r="AM247" i="1" s="1"/>
  <c r="AN247" i="1" s="1"/>
  <c r="AO247" i="1" s="1"/>
  <c r="AP247" i="1" s="1"/>
  <c r="AQ247" i="1" s="1"/>
  <c r="AR247" i="1" s="1"/>
  <c r="AS247" i="1" s="1"/>
  <c r="AT247" i="1" s="1"/>
  <c r="AU247" i="1" s="1"/>
  <c r="AV247" i="1" s="1"/>
  <c r="AW247" i="1" s="1"/>
  <c r="AX247" i="1" s="1"/>
  <c r="AY247" i="1" s="1"/>
  <c r="AZ247" i="1" s="1"/>
  <c r="BA247" i="1" s="1"/>
  <c r="BB247" i="1" s="1"/>
  <c r="BC247" i="1" s="1"/>
  <c r="BD247" i="1" s="1"/>
  <c r="BE247" i="1" s="1"/>
  <c r="BF247" i="1" s="1"/>
  <c r="BG247" i="1" s="1"/>
  <c r="BH247" i="1" s="1"/>
  <c r="BI247" i="1" s="1"/>
  <c r="BJ247" i="1" s="1"/>
  <c r="BK247" i="1" s="1"/>
  <c r="D243" i="1"/>
  <c r="E243" i="1" s="1"/>
  <c r="F243" i="1" s="1"/>
  <c r="G243" i="1" s="1"/>
  <c r="H243" i="1" s="1"/>
  <c r="I243" i="1" s="1"/>
  <c r="J243" i="1" s="1"/>
  <c r="K243" i="1" s="1"/>
  <c r="L243" i="1" s="1"/>
  <c r="M243" i="1" s="1"/>
  <c r="N243" i="1" s="1"/>
  <c r="O243" i="1" s="1"/>
  <c r="P243" i="1" s="1"/>
  <c r="Q243" i="1" s="1"/>
  <c r="R243" i="1" s="1"/>
  <c r="S243" i="1" s="1"/>
  <c r="T243" i="1" s="1"/>
  <c r="U243" i="1" s="1"/>
  <c r="V243" i="1" s="1"/>
  <c r="W243" i="1" s="1"/>
  <c r="X243" i="1" s="1"/>
  <c r="Y243" i="1" s="1"/>
  <c r="Z243" i="1" s="1"/>
  <c r="AA243" i="1" s="1"/>
  <c r="AB243" i="1" s="1"/>
  <c r="AC243" i="1" s="1"/>
  <c r="AD243" i="1" s="1"/>
  <c r="AE243" i="1" s="1"/>
  <c r="AF243" i="1" s="1"/>
  <c r="AG243" i="1" s="1"/>
  <c r="AH243" i="1" s="1"/>
  <c r="AI243" i="1" s="1"/>
  <c r="AJ243" i="1" s="1"/>
  <c r="AK243" i="1" s="1"/>
  <c r="AL243" i="1" s="1"/>
  <c r="AM243" i="1" s="1"/>
  <c r="AN243" i="1" s="1"/>
  <c r="AO243" i="1" s="1"/>
  <c r="AP243" i="1" s="1"/>
  <c r="AQ243" i="1" s="1"/>
  <c r="AR243" i="1" s="1"/>
  <c r="AS243" i="1" s="1"/>
  <c r="AT243" i="1" s="1"/>
  <c r="AU243" i="1" s="1"/>
  <c r="AV243" i="1" s="1"/>
  <c r="AW243" i="1" s="1"/>
  <c r="AX243" i="1" s="1"/>
  <c r="AY243" i="1" s="1"/>
  <c r="AZ243" i="1" s="1"/>
  <c r="BA243" i="1" s="1"/>
  <c r="BB243" i="1" s="1"/>
  <c r="BC243" i="1" s="1"/>
  <c r="BD243" i="1" s="1"/>
  <c r="BE243" i="1" s="1"/>
  <c r="BF243" i="1" s="1"/>
  <c r="BG243" i="1" s="1"/>
  <c r="BH243" i="1" s="1"/>
  <c r="BI243" i="1" s="1"/>
  <c r="BJ243" i="1" s="1"/>
  <c r="BK243" i="1" s="1"/>
  <c r="D241" i="1"/>
  <c r="E241" i="1" s="1"/>
  <c r="F241" i="1" s="1"/>
  <c r="G241" i="1" s="1"/>
  <c r="H241" i="1" s="1"/>
  <c r="I241" i="1" s="1"/>
  <c r="J241" i="1" s="1"/>
  <c r="K241" i="1" s="1"/>
  <c r="L241" i="1" s="1"/>
  <c r="M241" i="1" s="1"/>
  <c r="N241" i="1" s="1"/>
  <c r="O241" i="1" s="1"/>
  <c r="P241" i="1" s="1"/>
  <c r="Q241" i="1" s="1"/>
  <c r="R241" i="1" s="1"/>
  <c r="S241" i="1" s="1"/>
  <c r="T241" i="1" s="1"/>
  <c r="U241" i="1" s="1"/>
  <c r="V241" i="1" s="1"/>
  <c r="W241" i="1" s="1"/>
  <c r="X241" i="1" s="1"/>
  <c r="Y241" i="1" s="1"/>
  <c r="Z241" i="1" s="1"/>
  <c r="AA241" i="1" s="1"/>
  <c r="AB241" i="1" s="1"/>
  <c r="AC241" i="1" s="1"/>
  <c r="AD241" i="1" s="1"/>
  <c r="AE241" i="1" s="1"/>
  <c r="AF241" i="1" s="1"/>
  <c r="AG241" i="1" s="1"/>
  <c r="AH241" i="1" s="1"/>
  <c r="AI241" i="1" s="1"/>
  <c r="AJ241" i="1" s="1"/>
  <c r="AK241" i="1" s="1"/>
  <c r="AL241" i="1" s="1"/>
  <c r="AM241" i="1" s="1"/>
  <c r="AN241" i="1" s="1"/>
  <c r="AO241" i="1" s="1"/>
  <c r="AP241" i="1" s="1"/>
  <c r="AQ241" i="1" s="1"/>
  <c r="AR241" i="1" s="1"/>
  <c r="AS241" i="1" s="1"/>
  <c r="AT241" i="1" s="1"/>
  <c r="AU241" i="1" s="1"/>
  <c r="AV241" i="1" s="1"/>
  <c r="AW241" i="1" s="1"/>
  <c r="AX241" i="1" s="1"/>
  <c r="AY241" i="1" s="1"/>
  <c r="AZ241" i="1" s="1"/>
  <c r="BA241" i="1" s="1"/>
  <c r="BB241" i="1" s="1"/>
  <c r="BC241" i="1" s="1"/>
  <c r="BD241" i="1" s="1"/>
  <c r="BE241" i="1" s="1"/>
  <c r="BF241" i="1" s="1"/>
  <c r="BG241" i="1" s="1"/>
  <c r="BH241" i="1" s="1"/>
  <c r="BI241" i="1" s="1"/>
  <c r="BJ241" i="1" s="1"/>
  <c r="BK241" i="1" s="1"/>
  <c r="D261" i="1"/>
  <c r="E261" i="1" s="1"/>
  <c r="F261" i="1" s="1"/>
  <c r="G261" i="1" s="1"/>
  <c r="H261" i="1" s="1"/>
  <c r="I261" i="1" s="1"/>
  <c r="J261" i="1" s="1"/>
  <c r="K261" i="1" s="1"/>
  <c r="L261" i="1" s="1"/>
  <c r="M261" i="1" s="1"/>
  <c r="N261" i="1" s="1"/>
  <c r="O261" i="1" s="1"/>
  <c r="P261" i="1" s="1"/>
  <c r="Q261" i="1" s="1"/>
  <c r="R261" i="1" s="1"/>
  <c r="S261" i="1" s="1"/>
  <c r="T261" i="1" s="1"/>
  <c r="U261" i="1" s="1"/>
  <c r="V261" i="1" s="1"/>
  <c r="W261" i="1" s="1"/>
  <c r="X261" i="1" s="1"/>
  <c r="Y261" i="1" s="1"/>
  <c r="Z261" i="1" s="1"/>
  <c r="AA261" i="1" s="1"/>
  <c r="AB261" i="1" s="1"/>
  <c r="AC261" i="1" s="1"/>
  <c r="AD261" i="1" s="1"/>
  <c r="AE261" i="1" s="1"/>
  <c r="AF261" i="1" s="1"/>
  <c r="AG261" i="1" s="1"/>
  <c r="AH261" i="1" s="1"/>
  <c r="AI261" i="1" s="1"/>
  <c r="AJ261" i="1" s="1"/>
  <c r="AK261" i="1" s="1"/>
  <c r="AL261" i="1" s="1"/>
  <c r="AM261" i="1" s="1"/>
  <c r="AN261" i="1" s="1"/>
  <c r="AO261" i="1" s="1"/>
  <c r="AP261" i="1" s="1"/>
  <c r="AQ261" i="1" s="1"/>
  <c r="AR261" i="1" s="1"/>
  <c r="AS261" i="1" s="1"/>
  <c r="AT261" i="1" s="1"/>
  <c r="AU261" i="1" s="1"/>
  <c r="AV261" i="1" s="1"/>
  <c r="AW261" i="1" s="1"/>
  <c r="AX261" i="1" s="1"/>
  <c r="AY261" i="1" s="1"/>
  <c r="AZ261" i="1" s="1"/>
  <c r="BA261" i="1" s="1"/>
  <c r="BB261" i="1" s="1"/>
  <c r="BC261" i="1" s="1"/>
  <c r="BD261" i="1" s="1"/>
  <c r="BE261" i="1" s="1"/>
  <c r="BF261" i="1" s="1"/>
  <c r="BG261" i="1" s="1"/>
  <c r="BH261" i="1" s="1"/>
  <c r="BI261" i="1" s="1"/>
  <c r="BJ261" i="1" s="1"/>
  <c r="BK261" i="1" s="1"/>
  <c r="D258" i="1"/>
  <c r="E258" i="1" s="1"/>
  <c r="F258" i="1" s="1"/>
  <c r="G258" i="1" s="1"/>
  <c r="H258" i="1" s="1"/>
  <c r="I258" i="1" s="1"/>
  <c r="J258" i="1" s="1"/>
  <c r="K258" i="1" s="1"/>
  <c r="L258" i="1" s="1"/>
  <c r="M258" i="1" s="1"/>
  <c r="N258" i="1" s="1"/>
  <c r="O258" i="1" s="1"/>
  <c r="P258" i="1" s="1"/>
  <c r="Q258" i="1" s="1"/>
  <c r="R258" i="1" s="1"/>
  <c r="S258" i="1" s="1"/>
  <c r="T258" i="1" s="1"/>
  <c r="U258" i="1" s="1"/>
  <c r="V258" i="1" s="1"/>
  <c r="W258" i="1" s="1"/>
  <c r="X258" i="1" s="1"/>
  <c r="Y258" i="1" s="1"/>
  <c r="Z258" i="1" s="1"/>
  <c r="AA258" i="1" s="1"/>
  <c r="AB258" i="1" s="1"/>
  <c r="AC258" i="1" s="1"/>
  <c r="AD258" i="1" s="1"/>
  <c r="AE258" i="1" s="1"/>
  <c r="AF258" i="1" s="1"/>
  <c r="AG258" i="1" s="1"/>
  <c r="AH258" i="1" s="1"/>
  <c r="AI258" i="1" s="1"/>
  <c r="AJ258" i="1" s="1"/>
  <c r="AK258" i="1" s="1"/>
  <c r="AL258" i="1" s="1"/>
  <c r="AM258" i="1" s="1"/>
  <c r="AN258" i="1" s="1"/>
  <c r="AO258" i="1" s="1"/>
  <c r="AP258" i="1" s="1"/>
  <c r="AQ258" i="1" s="1"/>
  <c r="AR258" i="1" s="1"/>
  <c r="AS258" i="1" s="1"/>
  <c r="AT258" i="1" s="1"/>
  <c r="AU258" i="1" s="1"/>
  <c r="AV258" i="1" s="1"/>
  <c r="AW258" i="1" s="1"/>
  <c r="AX258" i="1" s="1"/>
  <c r="AY258" i="1" s="1"/>
  <c r="AZ258" i="1" s="1"/>
  <c r="BA258" i="1" s="1"/>
  <c r="BB258" i="1" s="1"/>
  <c r="BC258" i="1" s="1"/>
  <c r="BD258" i="1" s="1"/>
  <c r="BE258" i="1" s="1"/>
  <c r="BF258" i="1" s="1"/>
  <c r="BG258" i="1" s="1"/>
  <c r="BH258" i="1" s="1"/>
  <c r="BI258" i="1" s="1"/>
  <c r="BJ258" i="1" s="1"/>
  <c r="BK258" i="1" s="1"/>
  <c r="D255" i="1"/>
  <c r="E255" i="1" s="1"/>
  <c r="F255" i="1" s="1"/>
  <c r="G255" i="1" s="1"/>
  <c r="H255" i="1" s="1"/>
  <c r="I255" i="1" s="1"/>
  <c r="J255" i="1" s="1"/>
  <c r="K255" i="1" s="1"/>
  <c r="L255" i="1" s="1"/>
  <c r="M255" i="1" s="1"/>
  <c r="N255" i="1" s="1"/>
  <c r="O255" i="1" s="1"/>
  <c r="P255" i="1" s="1"/>
  <c r="Q255" i="1" s="1"/>
  <c r="R255" i="1" s="1"/>
  <c r="S255" i="1" s="1"/>
  <c r="T255" i="1" s="1"/>
  <c r="U255" i="1" s="1"/>
  <c r="V255" i="1" s="1"/>
  <c r="W255" i="1" s="1"/>
  <c r="X255" i="1" s="1"/>
  <c r="Y255" i="1" s="1"/>
  <c r="Z255" i="1" s="1"/>
  <c r="AA255" i="1" s="1"/>
  <c r="AB255" i="1" s="1"/>
  <c r="AC255" i="1" s="1"/>
  <c r="AD255" i="1" s="1"/>
  <c r="AE255" i="1" s="1"/>
  <c r="AF255" i="1" s="1"/>
  <c r="AG255" i="1" s="1"/>
  <c r="AH255" i="1" s="1"/>
  <c r="AI255" i="1" s="1"/>
  <c r="AJ255" i="1" s="1"/>
  <c r="AK255" i="1" s="1"/>
  <c r="AL255" i="1" s="1"/>
  <c r="AM255" i="1" s="1"/>
  <c r="AN255" i="1" s="1"/>
  <c r="AO255" i="1" s="1"/>
  <c r="AP255" i="1" s="1"/>
  <c r="AQ255" i="1" s="1"/>
  <c r="AR255" i="1" s="1"/>
  <c r="AS255" i="1" s="1"/>
  <c r="AT255" i="1" s="1"/>
  <c r="AU255" i="1" s="1"/>
  <c r="AV255" i="1" s="1"/>
  <c r="AW255" i="1" s="1"/>
  <c r="AX255" i="1" s="1"/>
  <c r="AY255" i="1" s="1"/>
  <c r="AZ255" i="1" s="1"/>
  <c r="BA255" i="1" s="1"/>
  <c r="BB255" i="1" s="1"/>
  <c r="BC255" i="1" s="1"/>
  <c r="BD255" i="1" s="1"/>
  <c r="BE255" i="1" s="1"/>
  <c r="BF255" i="1" s="1"/>
  <c r="BG255" i="1" s="1"/>
  <c r="BH255" i="1" s="1"/>
  <c r="BI255" i="1" s="1"/>
  <c r="BJ255" i="1" s="1"/>
  <c r="BK255" i="1" s="1"/>
  <c r="D257" i="1"/>
  <c r="E257" i="1" s="1"/>
  <c r="F257" i="1" s="1"/>
  <c r="G257" i="1" s="1"/>
  <c r="H257" i="1" s="1"/>
  <c r="I257" i="1" s="1"/>
  <c r="J257" i="1" s="1"/>
  <c r="K257" i="1" s="1"/>
  <c r="L257" i="1" s="1"/>
  <c r="M257" i="1" s="1"/>
  <c r="N257" i="1" s="1"/>
  <c r="O257" i="1" s="1"/>
  <c r="P257" i="1" s="1"/>
  <c r="Q257" i="1" s="1"/>
  <c r="R257" i="1" s="1"/>
  <c r="S257" i="1" s="1"/>
  <c r="T257" i="1" s="1"/>
  <c r="U257" i="1" s="1"/>
  <c r="V257" i="1" s="1"/>
  <c r="W257" i="1" s="1"/>
  <c r="X257" i="1" s="1"/>
  <c r="Y257" i="1" s="1"/>
  <c r="Z257" i="1" s="1"/>
  <c r="AA257" i="1" s="1"/>
  <c r="AB257" i="1" s="1"/>
  <c r="AC257" i="1" s="1"/>
  <c r="AD257" i="1" s="1"/>
  <c r="AE257" i="1" s="1"/>
  <c r="AF257" i="1" s="1"/>
  <c r="AG257" i="1" s="1"/>
  <c r="AH257" i="1" s="1"/>
  <c r="AI257" i="1" s="1"/>
  <c r="AJ257" i="1" s="1"/>
  <c r="AK257" i="1" s="1"/>
  <c r="AL257" i="1" s="1"/>
  <c r="AM257" i="1" s="1"/>
  <c r="AN257" i="1" s="1"/>
  <c r="AO257" i="1" s="1"/>
  <c r="AP257" i="1" s="1"/>
  <c r="AQ257" i="1" s="1"/>
  <c r="AR257" i="1" s="1"/>
  <c r="AS257" i="1" s="1"/>
  <c r="AT257" i="1" s="1"/>
  <c r="AU257" i="1" s="1"/>
  <c r="AV257" i="1" s="1"/>
  <c r="AW257" i="1" s="1"/>
  <c r="AX257" i="1" s="1"/>
  <c r="AY257" i="1" s="1"/>
  <c r="AZ257" i="1" s="1"/>
  <c r="BA257" i="1" s="1"/>
  <c r="BB257" i="1" s="1"/>
  <c r="BC257" i="1" s="1"/>
  <c r="BD257" i="1" s="1"/>
  <c r="BE257" i="1" s="1"/>
  <c r="BF257" i="1" s="1"/>
  <c r="BG257" i="1" s="1"/>
  <c r="BH257" i="1" s="1"/>
  <c r="BI257" i="1" s="1"/>
  <c r="BJ257" i="1" s="1"/>
  <c r="BK257" i="1" s="1"/>
  <c r="AD272" i="1"/>
  <c r="AE272" i="1" s="1"/>
  <c r="AF272" i="1" s="1"/>
  <c r="AC276" i="1"/>
  <c r="AH11" i="6" s="1"/>
  <c r="D260" i="1"/>
  <c r="E260" i="1" s="1"/>
  <c r="F260" i="1" s="1"/>
  <c r="G260" i="1" s="1"/>
  <c r="H260" i="1" s="1"/>
  <c r="I260" i="1" s="1"/>
  <c r="J260" i="1" s="1"/>
  <c r="K260" i="1" s="1"/>
  <c r="L260" i="1" s="1"/>
  <c r="M260" i="1" s="1"/>
  <c r="N260" i="1" s="1"/>
  <c r="O260" i="1" s="1"/>
  <c r="P260" i="1" s="1"/>
  <c r="Q260" i="1" s="1"/>
  <c r="R260" i="1" s="1"/>
  <c r="S260" i="1" s="1"/>
  <c r="T260" i="1" s="1"/>
  <c r="U260" i="1" s="1"/>
  <c r="V260" i="1" s="1"/>
  <c r="W260" i="1" s="1"/>
  <c r="X260" i="1" s="1"/>
  <c r="Y260" i="1" s="1"/>
  <c r="Z260" i="1" s="1"/>
  <c r="AA260" i="1" s="1"/>
  <c r="AB260" i="1" s="1"/>
  <c r="AC260" i="1" s="1"/>
  <c r="AD260" i="1" s="1"/>
  <c r="AE260" i="1" s="1"/>
  <c r="AF260" i="1" s="1"/>
  <c r="AG260" i="1" s="1"/>
  <c r="AH260" i="1" s="1"/>
  <c r="AI260" i="1" s="1"/>
  <c r="AJ260" i="1" s="1"/>
  <c r="AK260" i="1" s="1"/>
  <c r="AL260" i="1" s="1"/>
  <c r="AM260" i="1" s="1"/>
  <c r="AN260" i="1" s="1"/>
  <c r="AO260" i="1" s="1"/>
  <c r="AP260" i="1" s="1"/>
  <c r="AQ260" i="1" s="1"/>
  <c r="AR260" i="1" s="1"/>
  <c r="AS260" i="1" s="1"/>
  <c r="AT260" i="1" s="1"/>
  <c r="AU260" i="1" s="1"/>
  <c r="AV260" i="1" s="1"/>
  <c r="AW260" i="1" s="1"/>
  <c r="AX260" i="1" s="1"/>
  <c r="AY260" i="1" s="1"/>
  <c r="AZ260" i="1" s="1"/>
  <c r="BA260" i="1" s="1"/>
  <c r="BB260" i="1" s="1"/>
  <c r="BC260" i="1" s="1"/>
  <c r="BD260" i="1" s="1"/>
  <c r="BE260" i="1" s="1"/>
  <c r="BF260" i="1" s="1"/>
  <c r="BG260" i="1" s="1"/>
  <c r="BH260" i="1" s="1"/>
  <c r="BI260" i="1" s="1"/>
  <c r="BJ260" i="1" s="1"/>
  <c r="BK260" i="1" s="1"/>
  <c r="AN60" i="2"/>
  <c r="D254" i="1"/>
  <c r="E254" i="1" s="1"/>
  <c r="F254" i="1" s="1"/>
  <c r="G254" i="1" s="1"/>
  <c r="H254" i="1" s="1"/>
  <c r="I254" i="1" s="1"/>
  <c r="J254" i="1" s="1"/>
  <c r="K254" i="1" s="1"/>
  <c r="L254" i="1" s="1"/>
  <c r="M254" i="1" s="1"/>
  <c r="N254" i="1" s="1"/>
  <c r="O254" i="1" s="1"/>
  <c r="P254" i="1" s="1"/>
  <c r="Q254" i="1" s="1"/>
  <c r="R254" i="1" s="1"/>
  <c r="S254" i="1" s="1"/>
  <c r="T254" i="1" s="1"/>
  <c r="U254" i="1" s="1"/>
  <c r="V254" i="1" s="1"/>
  <c r="W254" i="1" s="1"/>
  <c r="X254" i="1" s="1"/>
  <c r="Y254" i="1" s="1"/>
  <c r="Z254" i="1" s="1"/>
  <c r="AA254" i="1" s="1"/>
  <c r="AB254" i="1" s="1"/>
  <c r="AC254" i="1" s="1"/>
  <c r="AD254" i="1" s="1"/>
  <c r="AE254" i="1" s="1"/>
  <c r="AF254" i="1" s="1"/>
  <c r="AG254" i="1" s="1"/>
  <c r="AH254" i="1" s="1"/>
  <c r="AI254" i="1" s="1"/>
  <c r="AJ254" i="1" s="1"/>
  <c r="AK254" i="1" s="1"/>
  <c r="AL254" i="1" s="1"/>
  <c r="AM254" i="1" s="1"/>
  <c r="AN254" i="1" s="1"/>
  <c r="AO254" i="1" s="1"/>
  <c r="AP254" i="1" s="1"/>
  <c r="AQ254" i="1" s="1"/>
  <c r="AR254" i="1" s="1"/>
  <c r="AS254" i="1" s="1"/>
  <c r="AT254" i="1" s="1"/>
  <c r="AU254" i="1" s="1"/>
  <c r="AV254" i="1" s="1"/>
  <c r="AW254" i="1" s="1"/>
  <c r="AX254" i="1" s="1"/>
  <c r="AY254" i="1" s="1"/>
  <c r="AZ254" i="1" s="1"/>
  <c r="BA254" i="1" s="1"/>
  <c r="BB254" i="1" s="1"/>
  <c r="BC254" i="1" s="1"/>
  <c r="BD254" i="1" s="1"/>
  <c r="BE254" i="1" s="1"/>
  <c r="BF254" i="1" s="1"/>
  <c r="BG254" i="1" s="1"/>
  <c r="BH254" i="1" s="1"/>
  <c r="BI254" i="1" s="1"/>
  <c r="BJ254" i="1" s="1"/>
  <c r="BK254" i="1" s="1"/>
  <c r="AO28" i="2"/>
  <c r="AP28" i="2" s="1"/>
  <c r="AQ28" i="2" s="1"/>
  <c r="AR28" i="2" s="1"/>
  <c r="AS28" i="2" s="1"/>
  <c r="AT28" i="2" s="1"/>
  <c r="AU28" i="2" s="1"/>
  <c r="AV28" i="2" s="1"/>
  <c r="AW28" i="2" s="1"/>
  <c r="AX28" i="2" s="1"/>
  <c r="AY28" i="2" s="1"/>
  <c r="AZ28" i="2" s="1"/>
  <c r="BA28" i="2" s="1"/>
  <c r="BB28" i="2" s="1"/>
  <c r="BC28" i="2" s="1"/>
  <c r="BD28" i="2" s="1"/>
  <c r="BE28" i="2" s="1"/>
  <c r="BF28" i="2" s="1"/>
  <c r="BG28" i="2" s="1"/>
  <c r="BH28" i="2" s="1"/>
  <c r="BI28" i="2" s="1"/>
  <c r="BJ28" i="2" s="1"/>
  <c r="BK28" i="2" s="1"/>
  <c r="BL28" i="2" s="1"/>
  <c r="BM28" i="2" s="1"/>
  <c r="BN28" i="2" s="1"/>
  <c r="BO28" i="2" s="1"/>
  <c r="BP28" i="2" s="1"/>
  <c r="BQ28" i="2" s="1"/>
  <c r="BR28" i="2" s="1"/>
  <c r="BS28" i="2" s="1"/>
  <c r="BT28" i="2" s="1"/>
  <c r="BU28" i="2" s="1"/>
  <c r="BV28" i="2" s="1"/>
  <c r="BW28" i="2" s="1"/>
  <c r="BX28" i="2" s="1"/>
  <c r="BY28" i="2" s="1"/>
  <c r="BZ28" i="2" s="1"/>
  <c r="CA28" i="2" s="1"/>
  <c r="CB28" i="2" s="1"/>
  <c r="CC28" i="2" s="1"/>
  <c r="CD28" i="2" s="1"/>
  <c r="CE28" i="2" s="1"/>
  <c r="CF28" i="2" s="1"/>
  <c r="CG28" i="2" s="1"/>
  <c r="CH28" i="2" s="1"/>
  <c r="CI28" i="2" s="1"/>
  <c r="CJ28" i="2" s="1"/>
  <c r="CK28" i="2" s="1"/>
  <c r="CL28" i="2" s="1"/>
  <c r="CM28" i="2" s="1"/>
  <c r="CN28" i="2" s="1"/>
  <c r="CO28" i="2" s="1"/>
  <c r="CP28" i="2" s="1"/>
  <c r="CQ28" i="2" s="1"/>
  <c r="CR28" i="2" s="1"/>
  <c r="CS28" i="2" s="1"/>
  <c r="CT28" i="2" s="1"/>
  <c r="CU28" i="2" s="1"/>
  <c r="CV28" i="2" s="1"/>
  <c r="AN57" i="2"/>
  <c r="AN69" i="2"/>
  <c r="AP7" i="2"/>
  <c r="AO48" i="2"/>
  <c r="AO60" i="2"/>
  <c r="AO72" i="2"/>
  <c r="AO33" i="2"/>
  <c r="AP33" i="2" s="1"/>
  <c r="AQ33" i="2" s="1"/>
  <c r="AR33" i="2" s="1"/>
  <c r="AS33" i="2" s="1"/>
  <c r="AT33" i="2" s="1"/>
  <c r="AU33" i="2" s="1"/>
  <c r="AV33" i="2" s="1"/>
  <c r="AW33" i="2" s="1"/>
  <c r="AX33" i="2" s="1"/>
  <c r="AY33" i="2" s="1"/>
  <c r="AZ33" i="2" s="1"/>
  <c r="BA33" i="2" s="1"/>
  <c r="BB33" i="2" s="1"/>
  <c r="BC33" i="2" s="1"/>
  <c r="BD33" i="2" s="1"/>
  <c r="BE33" i="2" s="1"/>
  <c r="BF33" i="2" s="1"/>
  <c r="BG33" i="2" s="1"/>
  <c r="BH33" i="2" s="1"/>
  <c r="BI33" i="2" s="1"/>
  <c r="BJ33" i="2" s="1"/>
  <c r="BK33" i="2" s="1"/>
  <c r="BL33" i="2" s="1"/>
  <c r="BM33" i="2" s="1"/>
  <c r="BN33" i="2" s="1"/>
  <c r="BO33" i="2" s="1"/>
  <c r="BP33" i="2" s="1"/>
  <c r="BQ33" i="2" s="1"/>
  <c r="BR33" i="2" s="1"/>
  <c r="BS33" i="2" s="1"/>
  <c r="BT33" i="2" s="1"/>
  <c r="BU33" i="2" s="1"/>
  <c r="BV33" i="2" s="1"/>
  <c r="BW33" i="2" s="1"/>
  <c r="BX33" i="2" s="1"/>
  <c r="BY33" i="2" s="1"/>
  <c r="BZ33" i="2" s="1"/>
  <c r="CA33" i="2" s="1"/>
  <c r="CB33" i="2" s="1"/>
  <c r="CC33" i="2" s="1"/>
  <c r="CD33" i="2" s="1"/>
  <c r="CE33" i="2" s="1"/>
  <c r="CF33" i="2" s="1"/>
  <c r="CG33" i="2" s="1"/>
  <c r="CH33" i="2" s="1"/>
  <c r="CI33" i="2" s="1"/>
  <c r="CJ33" i="2" s="1"/>
  <c r="CK33" i="2" s="1"/>
  <c r="CL33" i="2" s="1"/>
  <c r="CM33" i="2" s="1"/>
  <c r="CN33" i="2" s="1"/>
  <c r="CO33" i="2" s="1"/>
  <c r="CP33" i="2" s="1"/>
  <c r="CQ33" i="2" s="1"/>
  <c r="CR33" i="2" s="1"/>
  <c r="CS33" i="2" s="1"/>
  <c r="CT33" i="2" s="1"/>
  <c r="CU33" i="2" s="1"/>
  <c r="CV33" i="2" s="1"/>
  <c r="AN74" i="2"/>
  <c r="AN50" i="2"/>
  <c r="AP6" i="2"/>
  <c r="AP4" i="2"/>
  <c r="AO32" i="2"/>
  <c r="AP32" i="2" s="1"/>
  <c r="AQ32" i="2" s="1"/>
  <c r="AR32" i="2" s="1"/>
  <c r="AS32" i="2" s="1"/>
  <c r="AT32" i="2" s="1"/>
  <c r="AU32" i="2" s="1"/>
  <c r="AV32" i="2" s="1"/>
  <c r="AW32" i="2" s="1"/>
  <c r="AX32" i="2" s="1"/>
  <c r="AY32" i="2" s="1"/>
  <c r="AZ32" i="2" s="1"/>
  <c r="BA32" i="2" s="1"/>
  <c r="BB32" i="2" s="1"/>
  <c r="BC32" i="2" s="1"/>
  <c r="BD32" i="2" s="1"/>
  <c r="BE32" i="2" s="1"/>
  <c r="BF32" i="2" s="1"/>
  <c r="BG32" i="2" s="1"/>
  <c r="BH32" i="2" s="1"/>
  <c r="BI32" i="2" s="1"/>
  <c r="BJ32" i="2" s="1"/>
  <c r="BK32" i="2" s="1"/>
  <c r="BL32" i="2" s="1"/>
  <c r="BM32" i="2" s="1"/>
  <c r="BN32" i="2" s="1"/>
  <c r="BO32" i="2" s="1"/>
  <c r="BP32" i="2" s="1"/>
  <c r="BQ32" i="2" s="1"/>
  <c r="BR32" i="2" s="1"/>
  <c r="BS32" i="2" s="1"/>
  <c r="BT32" i="2" s="1"/>
  <c r="BU32" i="2" s="1"/>
  <c r="BV32" i="2" s="1"/>
  <c r="BW32" i="2" s="1"/>
  <c r="BX32" i="2" s="1"/>
  <c r="BY32" i="2" s="1"/>
  <c r="BZ32" i="2" s="1"/>
  <c r="CA32" i="2" s="1"/>
  <c r="CB32" i="2" s="1"/>
  <c r="CC32" i="2" s="1"/>
  <c r="CD32" i="2" s="1"/>
  <c r="CE32" i="2" s="1"/>
  <c r="CF32" i="2" s="1"/>
  <c r="CG32" i="2" s="1"/>
  <c r="CH32" i="2" s="1"/>
  <c r="CI32" i="2" s="1"/>
  <c r="CJ32" i="2" s="1"/>
  <c r="CK32" i="2" s="1"/>
  <c r="CL32" i="2" s="1"/>
  <c r="CM32" i="2" s="1"/>
  <c r="CN32" i="2" s="1"/>
  <c r="CO32" i="2" s="1"/>
  <c r="CP32" i="2" s="1"/>
  <c r="CQ32" i="2" s="1"/>
  <c r="CR32" i="2" s="1"/>
  <c r="CS32" i="2" s="1"/>
  <c r="CT32" i="2" s="1"/>
  <c r="CU32" i="2" s="1"/>
  <c r="CV32" i="2" s="1"/>
  <c r="AN61" i="2"/>
  <c r="AO30" i="2"/>
  <c r="AP30" i="2" s="1"/>
  <c r="AQ30" i="2" s="1"/>
  <c r="AR30" i="2" s="1"/>
  <c r="AS30" i="2" s="1"/>
  <c r="AT30" i="2" s="1"/>
  <c r="AU30" i="2" s="1"/>
  <c r="AV30" i="2" s="1"/>
  <c r="AW30" i="2" s="1"/>
  <c r="AX30" i="2" s="1"/>
  <c r="AY30" i="2" s="1"/>
  <c r="AZ30" i="2" s="1"/>
  <c r="BA30" i="2" s="1"/>
  <c r="BB30" i="2" s="1"/>
  <c r="BC30" i="2" s="1"/>
  <c r="BD30" i="2" s="1"/>
  <c r="BE30" i="2" s="1"/>
  <c r="BF30" i="2" s="1"/>
  <c r="BG30" i="2" s="1"/>
  <c r="BH30" i="2" s="1"/>
  <c r="BI30" i="2" s="1"/>
  <c r="BJ30" i="2" s="1"/>
  <c r="BK30" i="2" s="1"/>
  <c r="BL30" i="2" s="1"/>
  <c r="BM30" i="2" s="1"/>
  <c r="BN30" i="2" s="1"/>
  <c r="BO30" i="2" s="1"/>
  <c r="BP30" i="2" s="1"/>
  <c r="BQ30" i="2" s="1"/>
  <c r="BR30" i="2" s="1"/>
  <c r="BS30" i="2" s="1"/>
  <c r="BT30" i="2" s="1"/>
  <c r="BU30" i="2" s="1"/>
  <c r="BV30" i="2" s="1"/>
  <c r="BW30" i="2" s="1"/>
  <c r="BX30" i="2" s="1"/>
  <c r="BY30" i="2" s="1"/>
  <c r="BZ30" i="2" s="1"/>
  <c r="CA30" i="2" s="1"/>
  <c r="CB30" i="2" s="1"/>
  <c r="CC30" i="2" s="1"/>
  <c r="CD30" i="2" s="1"/>
  <c r="CE30" i="2" s="1"/>
  <c r="CF30" i="2" s="1"/>
  <c r="CG30" i="2" s="1"/>
  <c r="CH30" i="2" s="1"/>
  <c r="CI30" i="2" s="1"/>
  <c r="CJ30" i="2" s="1"/>
  <c r="CK30" i="2" s="1"/>
  <c r="CL30" i="2" s="1"/>
  <c r="CM30" i="2" s="1"/>
  <c r="CN30" i="2" s="1"/>
  <c r="CO30" i="2" s="1"/>
  <c r="CP30" i="2" s="1"/>
  <c r="CQ30" i="2" s="1"/>
  <c r="CR30" i="2" s="1"/>
  <c r="CS30" i="2" s="1"/>
  <c r="CT30" i="2" s="1"/>
  <c r="CU30" i="2" s="1"/>
  <c r="CV30" i="2" s="1"/>
  <c r="AN59" i="2"/>
  <c r="AN71" i="2"/>
  <c r="AO34" i="2"/>
  <c r="AP34" i="2" s="1"/>
  <c r="AQ34" i="2" s="1"/>
  <c r="AR34" i="2" s="1"/>
  <c r="AS34" i="2" s="1"/>
  <c r="AT34" i="2" s="1"/>
  <c r="AU34" i="2" s="1"/>
  <c r="AV34" i="2" s="1"/>
  <c r="AW34" i="2" s="1"/>
  <c r="AX34" i="2" s="1"/>
  <c r="AY34" i="2" s="1"/>
  <c r="AZ34" i="2" s="1"/>
  <c r="BA34" i="2" s="1"/>
  <c r="BB34" i="2" s="1"/>
  <c r="BC34" i="2" s="1"/>
  <c r="BD34" i="2" s="1"/>
  <c r="BE34" i="2" s="1"/>
  <c r="BF34" i="2" s="1"/>
  <c r="BG34" i="2" s="1"/>
  <c r="BH34" i="2" s="1"/>
  <c r="BI34" i="2" s="1"/>
  <c r="BJ34" i="2" s="1"/>
  <c r="BK34" i="2" s="1"/>
  <c r="BL34" i="2" s="1"/>
  <c r="BM34" i="2" s="1"/>
  <c r="BN34" i="2" s="1"/>
  <c r="BO34" i="2" s="1"/>
  <c r="BP34" i="2" s="1"/>
  <c r="BQ34" i="2" s="1"/>
  <c r="BR34" i="2" s="1"/>
  <c r="BS34" i="2" s="1"/>
  <c r="BT34" i="2" s="1"/>
  <c r="BU34" i="2" s="1"/>
  <c r="BV34" i="2" s="1"/>
  <c r="BW34" i="2" s="1"/>
  <c r="BX34" i="2" s="1"/>
  <c r="BY34" i="2" s="1"/>
  <c r="BZ34" i="2" s="1"/>
  <c r="CA34" i="2" s="1"/>
  <c r="CB34" i="2" s="1"/>
  <c r="CC34" i="2" s="1"/>
  <c r="CD34" i="2" s="1"/>
  <c r="CE34" i="2" s="1"/>
  <c r="CF34" i="2" s="1"/>
  <c r="CG34" i="2" s="1"/>
  <c r="CH34" i="2" s="1"/>
  <c r="CI34" i="2" s="1"/>
  <c r="CJ34" i="2" s="1"/>
  <c r="CK34" i="2" s="1"/>
  <c r="CL34" i="2" s="1"/>
  <c r="CM34" i="2" s="1"/>
  <c r="CN34" i="2" s="1"/>
  <c r="CO34" i="2" s="1"/>
  <c r="CP34" i="2" s="1"/>
  <c r="CQ34" i="2" s="1"/>
  <c r="CR34" i="2" s="1"/>
  <c r="CS34" i="2" s="1"/>
  <c r="CT34" i="2" s="1"/>
  <c r="CU34" i="2" s="1"/>
  <c r="CV34" i="2" s="1"/>
  <c r="AN63" i="2"/>
  <c r="AN75" i="2"/>
  <c r="AP10" i="2"/>
  <c r="AN62" i="2"/>
  <c r="AO35" i="2"/>
  <c r="AP35" i="2" s="1"/>
  <c r="AQ35" i="2" s="1"/>
  <c r="AR35" i="2" s="1"/>
  <c r="AS35" i="2" s="1"/>
  <c r="AT35" i="2" s="1"/>
  <c r="AU35" i="2" s="1"/>
  <c r="AV35" i="2" s="1"/>
  <c r="AW35" i="2" s="1"/>
  <c r="AX35" i="2" s="1"/>
  <c r="AY35" i="2" s="1"/>
  <c r="AZ35" i="2" s="1"/>
  <c r="BA35" i="2" s="1"/>
  <c r="BB35" i="2" s="1"/>
  <c r="BC35" i="2" s="1"/>
  <c r="BD35" i="2" s="1"/>
  <c r="BE35" i="2" s="1"/>
  <c r="BF35" i="2" s="1"/>
  <c r="BG35" i="2" s="1"/>
  <c r="BH35" i="2" s="1"/>
  <c r="BI35" i="2" s="1"/>
  <c r="BJ35" i="2" s="1"/>
  <c r="BK35" i="2" s="1"/>
  <c r="BL35" i="2" s="1"/>
  <c r="BM35" i="2" s="1"/>
  <c r="BN35" i="2" s="1"/>
  <c r="BO35" i="2" s="1"/>
  <c r="BP35" i="2" s="1"/>
  <c r="BQ35" i="2" s="1"/>
  <c r="BR35" i="2" s="1"/>
  <c r="BS35" i="2" s="1"/>
  <c r="BT35" i="2" s="1"/>
  <c r="BU35" i="2" s="1"/>
  <c r="BV35" i="2" s="1"/>
  <c r="BW35" i="2" s="1"/>
  <c r="BX35" i="2" s="1"/>
  <c r="BY35" i="2" s="1"/>
  <c r="BZ35" i="2" s="1"/>
  <c r="CA35" i="2" s="1"/>
  <c r="CB35" i="2" s="1"/>
  <c r="CC35" i="2" s="1"/>
  <c r="CD35" i="2" s="1"/>
  <c r="CE35" i="2" s="1"/>
  <c r="CF35" i="2" s="1"/>
  <c r="CG35" i="2" s="1"/>
  <c r="CH35" i="2" s="1"/>
  <c r="CI35" i="2" s="1"/>
  <c r="CJ35" i="2" s="1"/>
  <c r="CK35" i="2" s="1"/>
  <c r="CL35" i="2" s="1"/>
  <c r="CM35" i="2" s="1"/>
  <c r="CN35" i="2" s="1"/>
  <c r="CO35" i="2" s="1"/>
  <c r="CP35" i="2" s="1"/>
  <c r="CQ35" i="2" s="1"/>
  <c r="CR35" i="2" s="1"/>
  <c r="CS35" i="2" s="1"/>
  <c r="CT35" i="2" s="1"/>
  <c r="CU35" i="2" s="1"/>
  <c r="CV35" i="2" s="1"/>
  <c r="AN76" i="2"/>
  <c r="AN45" i="2"/>
  <c r="AN73" i="2"/>
  <c r="AP5" i="2"/>
  <c r="AO46" i="2"/>
  <c r="AO58" i="2"/>
  <c r="AO70" i="2"/>
  <c r="AP11" i="2"/>
  <c r="AP8" i="2"/>
  <c r="AN48" i="2"/>
  <c r="AN72" i="2"/>
  <c r="AP9" i="2"/>
  <c r="F249" i="1" l="1"/>
  <c r="G249" i="1" s="1"/>
  <c r="H249" i="1" s="1"/>
  <c r="I249" i="1" s="1"/>
  <c r="J249" i="1" s="1"/>
  <c r="K249" i="1" s="1"/>
  <c r="L249" i="1" s="1"/>
  <c r="M249" i="1" s="1"/>
  <c r="N249" i="1" s="1"/>
  <c r="O249" i="1" s="1"/>
  <c r="P249" i="1" s="1"/>
  <c r="Q249" i="1" s="1"/>
  <c r="R249" i="1" s="1"/>
  <c r="S249" i="1" s="1"/>
  <c r="T249" i="1" s="1"/>
  <c r="U249" i="1" s="1"/>
  <c r="V249" i="1" s="1"/>
  <c r="W249" i="1" s="1"/>
  <c r="X249" i="1" s="1"/>
  <c r="Y249" i="1" s="1"/>
  <c r="Z249" i="1" s="1"/>
  <c r="AA249" i="1" s="1"/>
  <c r="AB249" i="1" s="1"/>
  <c r="AC249" i="1" s="1"/>
  <c r="AD249" i="1" s="1"/>
  <c r="AE249" i="1" s="1"/>
  <c r="AF249" i="1" s="1"/>
  <c r="AG249" i="1" s="1"/>
  <c r="AH249" i="1" s="1"/>
  <c r="AI249" i="1" s="1"/>
  <c r="AJ249" i="1" s="1"/>
  <c r="AK249" i="1" s="1"/>
  <c r="AL249" i="1" s="1"/>
  <c r="AM249" i="1" s="1"/>
  <c r="AN249" i="1" s="1"/>
  <c r="AO249" i="1" s="1"/>
  <c r="AP249" i="1" s="1"/>
  <c r="AQ249" i="1" s="1"/>
  <c r="AR249" i="1" s="1"/>
  <c r="AS249" i="1" s="1"/>
  <c r="AT249" i="1" s="1"/>
  <c r="AU249" i="1" s="1"/>
  <c r="AV249" i="1" s="1"/>
  <c r="AW249" i="1" s="1"/>
  <c r="AX249" i="1" s="1"/>
  <c r="AY249" i="1" s="1"/>
  <c r="AZ249" i="1" s="1"/>
  <c r="BA249" i="1" s="1"/>
  <c r="BB249" i="1" s="1"/>
  <c r="BC249" i="1" s="1"/>
  <c r="BD249" i="1" s="1"/>
  <c r="BE249" i="1" s="1"/>
  <c r="BF249" i="1" s="1"/>
  <c r="BG249" i="1" s="1"/>
  <c r="BH249" i="1" s="1"/>
  <c r="BI249" i="1" s="1"/>
  <c r="BJ249" i="1" s="1"/>
  <c r="BK249" i="1" s="1"/>
  <c r="AP36" i="2"/>
  <c r="AP53" i="2" s="1"/>
  <c r="V38" i="4"/>
  <c r="W14" i="4"/>
  <c r="AR24" i="2"/>
  <c r="V14" i="4"/>
  <c r="R48" i="3"/>
  <c r="R36" i="3"/>
  <c r="R50" i="3"/>
  <c r="R35" i="3"/>
  <c r="R49" i="3"/>
  <c r="R47" i="3"/>
  <c r="R46" i="3"/>
  <c r="R33" i="3"/>
  <c r="R34" i="3"/>
  <c r="R32" i="3"/>
  <c r="AO53" i="2"/>
  <c r="AO65" i="2"/>
  <c r="AN89" i="2"/>
  <c r="AO77" i="2"/>
  <c r="AQ12" i="2"/>
  <c r="R29" i="3"/>
  <c r="AN82" i="2"/>
  <c r="R43" i="3"/>
  <c r="AO75" i="2"/>
  <c r="AN83" i="2"/>
  <c r="AG272" i="1"/>
  <c r="AH272" i="1" s="1"/>
  <c r="AI272" i="1" s="1"/>
  <c r="AJ272" i="1" s="1"/>
  <c r="AK272" i="1" s="1"/>
  <c r="AL272" i="1" s="1"/>
  <c r="AM272" i="1" s="1"/>
  <c r="AN272" i="1" s="1"/>
  <c r="AO272" i="1" s="1"/>
  <c r="AP272" i="1" s="1"/>
  <c r="AQ272" i="1" s="1"/>
  <c r="AR272" i="1" s="1"/>
  <c r="AS272" i="1" s="1"/>
  <c r="AT272" i="1" s="1"/>
  <c r="AU272" i="1" s="1"/>
  <c r="AV272" i="1" s="1"/>
  <c r="AW272" i="1" s="1"/>
  <c r="AX272" i="1" s="1"/>
  <c r="AY272" i="1" s="1"/>
  <c r="AZ272" i="1" s="1"/>
  <c r="BA272" i="1" s="1"/>
  <c r="BB272" i="1" s="1"/>
  <c r="BC272" i="1" s="1"/>
  <c r="BD272" i="1" s="1"/>
  <c r="AF277" i="1"/>
  <c r="AK12" i="6" s="1"/>
  <c r="AO73" i="2"/>
  <c r="AO63" i="2"/>
  <c r="AO64" i="2"/>
  <c r="AO76" i="2"/>
  <c r="AO74" i="2"/>
  <c r="AO52" i="2"/>
  <c r="AN87" i="2"/>
  <c r="AN88" i="2"/>
  <c r="AN85" i="2"/>
  <c r="AN84" i="2"/>
  <c r="R45" i="3"/>
  <c r="R31" i="3"/>
  <c r="AQ11" i="2"/>
  <c r="AP52" i="2"/>
  <c r="AP76" i="2"/>
  <c r="AP64" i="2"/>
  <c r="AO47" i="2"/>
  <c r="AO57" i="2"/>
  <c r="AN81" i="2"/>
  <c r="R42" i="3"/>
  <c r="R28" i="3"/>
  <c r="AO45" i="2"/>
  <c r="AO71" i="2"/>
  <c r="AO61" i="2"/>
  <c r="AO59" i="2"/>
  <c r="AQ7" i="2"/>
  <c r="AP48" i="2"/>
  <c r="AP60" i="2"/>
  <c r="AP72" i="2"/>
  <c r="R30" i="3"/>
  <c r="AO84" i="2"/>
  <c r="S45" i="3"/>
  <c r="S31" i="3"/>
  <c r="AO62" i="2"/>
  <c r="AO49" i="2"/>
  <c r="AO82" i="2"/>
  <c r="S29" i="3"/>
  <c r="S43" i="3"/>
  <c r="AQ6" i="2"/>
  <c r="AP47" i="2"/>
  <c r="AP59" i="2"/>
  <c r="AP71" i="2"/>
  <c r="R44" i="3"/>
  <c r="AQ10" i="2"/>
  <c r="AP63" i="2"/>
  <c r="AP51" i="2"/>
  <c r="AP75" i="2"/>
  <c r="AQ9" i="2"/>
  <c r="AP50" i="2"/>
  <c r="AP62" i="2"/>
  <c r="AP74" i="2"/>
  <c r="AQ4" i="2"/>
  <c r="AP45" i="2"/>
  <c r="AP69" i="2"/>
  <c r="AP57" i="2"/>
  <c r="AO50" i="2"/>
  <c r="AQ8" i="2"/>
  <c r="AP49" i="2"/>
  <c r="AP61" i="2"/>
  <c r="AP73" i="2"/>
  <c r="AQ5" i="2"/>
  <c r="AP70" i="2"/>
  <c r="AP46" i="2"/>
  <c r="AP58" i="2"/>
  <c r="AO51" i="2"/>
  <c r="AO69" i="2"/>
  <c r="AN86" i="2"/>
  <c r="U24" i="4"/>
  <c r="U22" i="4"/>
  <c r="U23" i="4"/>
  <c r="U11" i="4"/>
  <c r="U12" i="4"/>
  <c r="U10" i="4"/>
  <c r="X26" i="4" l="1"/>
  <c r="AP77" i="2"/>
  <c r="AP65" i="2"/>
  <c r="AQ36" i="2"/>
  <c r="AQ77" i="2" s="1"/>
  <c r="W38" i="4"/>
  <c r="AS24" i="2"/>
  <c r="Y26" i="4"/>
  <c r="X14" i="4"/>
  <c r="S49" i="3"/>
  <c r="S46" i="3"/>
  <c r="R51" i="3"/>
  <c r="S50" i="3"/>
  <c r="T49" i="3"/>
  <c r="T48" i="3"/>
  <c r="S48" i="3"/>
  <c r="T47" i="3"/>
  <c r="S47" i="3"/>
  <c r="T46" i="3"/>
  <c r="S32" i="3"/>
  <c r="S34" i="3"/>
  <c r="S36" i="3"/>
  <c r="T35" i="3"/>
  <c r="S35" i="3"/>
  <c r="T34" i="3"/>
  <c r="T33" i="3"/>
  <c r="S33" i="3"/>
  <c r="T32" i="3"/>
  <c r="R37" i="3"/>
  <c r="AO89" i="2"/>
  <c r="AR12" i="2"/>
  <c r="AO88" i="2"/>
  <c r="BE272" i="1"/>
  <c r="BF272" i="1" s="1"/>
  <c r="BG272" i="1" s="1"/>
  <c r="BH272" i="1" s="1"/>
  <c r="BI272" i="1" s="1"/>
  <c r="BJ272" i="1" s="1"/>
  <c r="BD276" i="1"/>
  <c r="BI11" i="6" s="1"/>
  <c r="AR7" i="2"/>
  <c r="AQ48" i="2"/>
  <c r="AQ72" i="2"/>
  <c r="AQ60" i="2"/>
  <c r="AO87" i="2"/>
  <c r="AR8" i="2"/>
  <c r="AQ49" i="2"/>
  <c r="AQ73" i="2"/>
  <c r="AQ61" i="2"/>
  <c r="AP86" i="2"/>
  <c r="AP84" i="2"/>
  <c r="T45" i="3"/>
  <c r="T31" i="3"/>
  <c r="AP85" i="2"/>
  <c r="AO86" i="2"/>
  <c r="AP83" i="2"/>
  <c r="T30" i="3"/>
  <c r="T44" i="3"/>
  <c r="AP87" i="2"/>
  <c r="AO81" i="2"/>
  <c r="S42" i="3"/>
  <c r="S28" i="3"/>
  <c r="AO85" i="2"/>
  <c r="AR9" i="2"/>
  <c r="AQ50" i="2"/>
  <c r="AQ62" i="2"/>
  <c r="AQ74" i="2"/>
  <c r="AR5" i="2"/>
  <c r="AQ46" i="2"/>
  <c r="AQ58" i="2"/>
  <c r="AQ70" i="2"/>
  <c r="AP81" i="2"/>
  <c r="T28" i="3"/>
  <c r="T42" i="3"/>
  <c r="AP88" i="2"/>
  <c r="AO83" i="2"/>
  <c r="S30" i="3"/>
  <c r="S44" i="3"/>
  <c r="AP82" i="2"/>
  <c r="T29" i="3"/>
  <c r="T43" i="3"/>
  <c r="AR6" i="2"/>
  <c r="AQ59" i="2"/>
  <c r="AQ71" i="2"/>
  <c r="AQ47" i="2"/>
  <c r="AR4" i="2"/>
  <c r="AQ69" i="2"/>
  <c r="AQ45" i="2"/>
  <c r="AQ57" i="2"/>
  <c r="AR10" i="2"/>
  <c r="AQ51" i="2"/>
  <c r="AQ63" i="2"/>
  <c r="AQ75" i="2"/>
  <c r="AR11" i="2"/>
  <c r="AQ52" i="2"/>
  <c r="AQ64" i="2"/>
  <c r="AQ76" i="2"/>
  <c r="O5" i="5"/>
  <c r="T36" i="3" l="1"/>
  <c r="T37" i="3" s="1"/>
  <c r="AQ53" i="2"/>
  <c r="T50" i="3"/>
  <c r="T51" i="3" s="1"/>
  <c r="AP89" i="2"/>
  <c r="AQ65" i="2"/>
  <c r="AR36" i="2"/>
  <c r="AR77" i="2" s="1"/>
  <c r="X38" i="4"/>
  <c r="AT24" i="2"/>
  <c r="Z26" i="4"/>
  <c r="Y14" i="4"/>
  <c r="S51" i="3"/>
  <c r="U49" i="3"/>
  <c r="U48" i="3"/>
  <c r="U47" i="3"/>
  <c r="U46" i="3"/>
  <c r="U35" i="3"/>
  <c r="U34" i="3"/>
  <c r="U33" i="3"/>
  <c r="U32" i="3"/>
  <c r="S37" i="3"/>
  <c r="AS12" i="2"/>
  <c r="BK272" i="1"/>
  <c r="BJ277" i="1"/>
  <c r="BO12" i="6" s="1"/>
  <c r="AQ86" i="2"/>
  <c r="AS4" i="2"/>
  <c r="AR45" i="2"/>
  <c r="AR57" i="2"/>
  <c r="AR69" i="2"/>
  <c r="AS9" i="2"/>
  <c r="AR50" i="2"/>
  <c r="AR62" i="2"/>
  <c r="AR74" i="2"/>
  <c r="AQ81" i="2"/>
  <c r="U28" i="3"/>
  <c r="U42" i="3"/>
  <c r="AS11" i="2"/>
  <c r="AR52" i="2"/>
  <c r="AR64" i="2"/>
  <c r="AR76" i="2"/>
  <c r="AQ87" i="2"/>
  <c r="AQ82" i="2"/>
  <c r="U43" i="3"/>
  <c r="U29" i="3"/>
  <c r="AQ85" i="2"/>
  <c r="AQ84" i="2"/>
  <c r="U31" i="3"/>
  <c r="U45" i="3"/>
  <c r="AQ88" i="2"/>
  <c r="AS10" i="2"/>
  <c r="AR51" i="2"/>
  <c r="AR75" i="2"/>
  <c r="AR63" i="2"/>
  <c r="AS6" i="2"/>
  <c r="AR47" i="2"/>
  <c r="AR59" i="2"/>
  <c r="AR71" i="2"/>
  <c r="AS5" i="2"/>
  <c r="AR46" i="2"/>
  <c r="AR58" i="2"/>
  <c r="AR70" i="2"/>
  <c r="AS8" i="2"/>
  <c r="AR49" i="2"/>
  <c r="AR73" i="2"/>
  <c r="AR61" i="2"/>
  <c r="AS7" i="2"/>
  <c r="AR60" i="2"/>
  <c r="AR72" i="2"/>
  <c r="AR48" i="2"/>
  <c r="AQ83" i="2"/>
  <c r="U30" i="3"/>
  <c r="U44" i="3"/>
  <c r="I40" i="6"/>
  <c r="U50" i="3" l="1"/>
  <c r="U51" i="3" s="1"/>
  <c r="AQ89" i="2"/>
  <c r="U36" i="3"/>
  <c r="U37" i="3" s="1"/>
  <c r="AR65" i="2"/>
  <c r="AR53" i="2"/>
  <c r="AS36" i="2"/>
  <c r="AS65" i="2" s="1"/>
  <c r="Y38" i="4"/>
  <c r="AU24" i="2"/>
  <c r="AA26" i="4"/>
  <c r="Z14" i="4"/>
  <c r="V49" i="3"/>
  <c r="V48" i="3"/>
  <c r="V47" i="3"/>
  <c r="V46" i="3"/>
  <c r="V35" i="3"/>
  <c r="V34" i="3"/>
  <c r="V33" i="3"/>
  <c r="V32" i="3"/>
  <c r="AT12" i="2"/>
  <c r="AR84" i="2"/>
  <c r="V31" i="3"/>
  <c r="V45" i="3"/>
  <c r="AR81" i="2"/>
  <c r="V28" i="3"/>
  <c r="V42" i="3"/>
  <c r="AS47" i="2"/>
  <c r="AS59" i="2"/>
  <c r="AT6" i="2"/>
  <c r="AS71" i="2"/>
  <c r="AT7" i="2"/>
  <c r="AS48" i="2"/>
  <c r="AS72" i="2"/>
  <c r="AS60" i="2"/>
  <c r="AT4" i="2"/>
  <c r="AS45" i="2"/>
  <c r="AS57" i="2"/>
  <c r="AS69" i="2"/>
  <c r="AT5" i="2"/>
  <c r="AS46" i="2"/>
  <c r="AS58" i="2"/>
  <c r="AS70" i="2"/>
  <c r="AR86" i="2"/>
  <c r="AR85" i="2"/>
  <c r="AR88" i="2"/>
  <c r="AT9" i="2"/>
  <c r="AS50" i="2"/>
  <c r="AS62" i="2"/>
  <c r="AS74" i="2"/>
  <c r="AR82" i="2"/>
  <c r="V29" i="3"/>
  <c r="V43" i="3"/>
  <c r="AR87" i="2"/>
  <c r="AT10" i="2"/>
  <c r="AS75" i="2"/>
  <c r="AS63" i="2"/>
  <c r="AS51" i="2"/>
  <c r="AT8" i="2"/>
  <c r="AS61" i="2"/>
  <c r="AS73" i="2"/>
  <c r="AS49" i="2"/>
  <c r="AR83" i="2"/>
  <c r="V44" i="3"/>
  <c r="V30" i="3"/>
  <c r="AT11" i="2"/>
  <c r="AS52" i="2"/>
  <c r="AS64" i="2"/>
  <c r="AS76" i="2"/>
  <c r="D22" i="5"/>
  <c r="V50" i="3" l="1"/>
  <c r="V51" i="3" s="1"/>
  <c r="AR89" i="2"/>
  <c r="V36" i="3"/>
  <c r="V37" i="3" s="1"/>
  <c r="AS53" i="2"/>
  <c r="AS77" i="2"/>
  <c r="AT36" i="2"/>
  <c r="AT77" i="2" s="1"/>
  <c r="Z38" i="4"/>
  <c r="AV24" i="2"/>
  <c r="AB26" i="4"/>
  <c r="AA14" i="4"/>
  <c r="W49" i="3"/>
  <c r="W48" i="3"/>
  <c r="W47" i="3"/>
  <c r="W46" i="3"/>
  <c r="W34" i="3"/>
  <c r="W32" i="3"/>
  <c r="W35" i="3"/>
  <c r="W33" i="3"/>
  <c r="AU12" i="2"/>
  <c r="AS88" i="2"/>
  <c r="AS82" i="2"/>
  <c r="W43" i="3"/>
  <c r="W29" i="3"/>
  <c r="AS84" i="2"/>
  <c r="W45" i="3"/>
  <c r="W31" i="3"/>
  <c r="AU8" i="2"/>
  <c r="AT49" i="2"/>
  <c r="AT61" i="2"/>
  <c r="AT73" i="2"/>
  <c r="AU10" i="2"/>
  <c r="AT51" i="2"/>
  <c r="AT63" i="2"/>
  <c r="AT75" i="2"/>
  <c r="AS85" i="2"/>
  <c r="AS86" i="2"/>
  <c r="AT47" i="2"/>
  <c r="AU6" i="2"/>
  <c r="AT71" i="2"/>
  <c r="AT59" i="2"/>
  <c r="AS87" i="2"/>
  <c r="AU5" i="2"/>
  <c r="AT70" i="2"/>
  <c r="AT46" i="2"/>
  <c r="AT58" i="2"/>
  <c r="AU9" i="2"/>
  <c r="AT62" i="2"/>
  <c r="AT74" i="2"/>
  <c r="AT50" i="2"/>
  <c r="AS81" i="2"/>
  <c r="W42" i="3"/>
  <c r="W28" i="3"/>
  <c r="AU11" i="2"/>
  <c r="AT52" i="2"/>
  <c r="AT64" i="2"/>
  <c r="AT76" i="2"/>
  <c r="AU7" i="2"/>
  <c r="AT60" i="2"/>
  <c r="AT72" i="2"/>
  <c r="AT48" i="2"/>
  <c r="AU4" i="2"/>
  <c r="AT45" i="2"/>
  <c r="AT57" i="2"/>
  <c r="AT69" i="2"/>
  <c r="AS83" i="2"/>
  <c r="W30" i="3"/>
  <c r="W44" i="3"/>
  <c r="D44" i="6"/>
  <c r="W36" i="3" l="1"/>
  <c r="W37" i="3" s="1"/>
  <c r="AT65" i="2"/>
  <c r="W50" i="3"/>
  <c r="W51" i="3" s="1"/>
  <c r="AS89" i="2"/>
  <c r="AT53" i="2"/>
  <c r="AU36" i="2"/>
  <c r="AU53" i="2" s="1"/>
  <c r="AA38" i="4"/>
  <c r="AW24" i="2"/>
  <c r="AC26" i="4"/>
  <c r="AB14" i="4"/>
  <c r="X49" i="3"/>
  <c r="X47" i="3"/>
  <c r="X48" i="3"/>
  <c r="X46" i="3"/>
  <c r="X35" i="3"/>
  <c r="X34" i="3"/>
  <c r="X33" i="3"/>
  <c r="X32" i="3"/>
  <c r="AV12" i="2"/>
  <c r="AT81" i="2"/>
  <c r="X28" i="3"/>
  <c r="X42" i="3"/>
  <c r="AT88" i="2"/>
  <c r="AT86" i="2"/>
  <c r="AV10" i="2"/>
  <c r="AU63" i="2"/>
  <c r="AU75" i="2"/>
  <c r="AU51" i="2"/>
  <c r="AV11" i="2"/>
  <c r="AU52" i="2"/>
  <c r="AU76" i="2"/>
  <c r="AU64" i="2"/>
  <c r="AT82" i="2"/>
  <c r="X29" i="3"/>
  <c r="X43" i="3"/>
  <c r="AV6" i="2"/>
  <c r="AU47" i="2"/>
  <c r="AU59" i="2"/>
  <c r="AU71" i="2"/>
  <c r="AV4" i="2"/>
  <c r="AU57" i="2"/>
  <c r="AU69" i="2"/>
  <c r="AU45" i="2"/>
  <c r="AT84" i="2"/>
  <c r="X31" i="3"/>
  <c r="X45" i="3"/>
  <c r="AV8" i="2"/>
  <c r="AU49" i="2"/>
  <c r="AU61" i="2"/>
  <c r="AU73" i="2"/>
  <c r="AT83" i="2"/>
  <c r="X44" i="3"/>
  <c r="X30" i="3"/>
  <c r="AV9" i="2"/>
  <c r="AU50" i="2"/>
  <c r="AU62" i="2"/>
  <c r="AU74" i="2"/>
  <c r="AT85" i="2"/>
  <c r="AV7" i="2"/>
  <c r="AU60" i="2"/>
  <c r="AU48" i="2"/>
  <c r="AU72" i="2"/>
  <c r="AV5" i="2"/>
  <c r="AU46" i="2"/>
  <c r="AU58" i="2"/>
  <c r="AU70" i="2"/>
  <c r="AT87" i="2"/>
  <c r="C40" i="6"/>
  <c r="AT89" i="2" l="1"/>
  <c r="AU65" i="2"/>
  <c r="X50" i="3"/>
  <c r="X51" i="3" s="1"/>
  <c r="AU77" i="2"/>
  <c r="X36" i="3"/>
  <c r="X37" i="3" s="1"/>
  <c r="AV36" i="2"/>
  <c r="AV53" i="2" s="1"/>
  <c r="AB38" i="4"/>
  <c r="AX24" i="2"/>
  <c r="AD26" i="4"/>
  <c r="AC14" i="4"/>
  <c r="Y48" i="3"/>
  <c r="Y49" i="3"/>
  <c r="Y46" i="3"/>
  <c r="Y47" i="3"/>
  <c r="Y35" i="3"/>
  <c r="Y34" i="3"/>
  <c r="Y33" i="3"/>
  <c r="Y32" i="3"/>
  <c r="AW12" i="2"/>
  <c r="AW7" i="2"/>
  <c r="AV48" i="2"/>
  <c r="AV60" i="2"/>
  <c r="AV72" i="2"/>
  <c r="AU83" i="2"/>
  <c r="Y44" i="3"/>
  <c r="Y30" i="3"/>
  <c r="AU88" i="2"/>
  <c r="AU82" i="2"/>
  <c r="Y29" i="3"/>
  <c r="Y43" i="3"/>
  <c r="AW6" i="2"/>
  <c r="AV47" i="2"/>
  <c r="AV71" i="2"/>
  <c r="AV59" i="2"/>
  <c r="AW11" i="2"/>
  <c r="AV64" i="2"/>
  <c r="AV76" i="2"/>
  <c r="AV52" i="2"/>
  <c r="AW5" i="2"/>
  <c r="AV46" i="2"/>
  <c r="AV58" i="2"/>
  <c r="AV70" i="2"/>
  <c r="AU81" i="2"/>
  <c r="Y42" i="3"/>
  <c r="Y28" i="3"/>
  <c r="AU87" i="2"/>
  <c r="AU84" i="2"/>
  <c r="Y31" i="3"/>
  <c r="Y45" i="3"/>
  <c r="AU86" i="2"/>
  <c r="AU85" i="2"/>
  <c r="AW4" i="2"/>
  <c r="AV45" i="2"/>
  <c r="AV57" i="2"/>
  <c r="AV69" i="2"/>
  <c r="AW10" i="2"/>
  <c r="AV51" i="2"/>
  <c r="AV63" i="2"/>
  <c r="AV75" i="2"/>
  <c r="AW9" i="2"/>
  <c r="AV50" i="2"/>
  <c r="AV74" i="2"/>
  <c r="AV62" i="2"/>
  <c r="AW8" i="2"/>
  <c r="AV49" i="2"/>
  <c r="AV61" i="2"/>
  <c r="AV73" i="2"/>
  <c r="Y36" i="3" l="1"/>
  <c r="Y37" i="3" s="1"/>
  <c r="AV65" i="2"/>
  <c r="AV77" i="2"/>
  <c r="AU89" i="2"/>
  <c r="Y50" i="3"/>
  <c r="Y51" i="3" s="1"/>
  <c r="AW36" i="2"/>
  <c r="AW65" i="2" s="1"/>
  <c r="AC38" i="4"/>
  <c r="AY24" i="2"/>
  <c r="AE26" i="4"/>
  <c r="AD14" i="4"/>
  <c r="Z49" i="3"/>
  <c r="Z48" i="3"/>
  <c r="Z47" i="3"/>
  <c r="Z46" i="3"/>
  <c r="Z35" i="3"/>
  <c r="Z34" i="3"/>
  <c r="Z33" i="3"/>
  <c r="Z32" i="3"/>
  <c r="AX12" i="2"/>
  <c r="AV83" i="2"/>
  <c r="Z44" i="3"/>
  <c r="Z30" i="3"/>
  <c r="AV86" i="2"/>
  <c r="AV85" i="2"/>
  <c r="AX8" i="2"/>
  <c r="AW49" i="2"/>
  <c r="AW61" i="2"/>
  <c r="AW73" i="2"/>
  <c r="AX9" i="2"/>
  <c r="AW50" i="2"/>
  <c r="AW74" i="2"/>
  <c r="AW62" i="2"/>
  <c r="AV81" i="2"/>
  <c r="Z42" i="3"/>
  <c r="Z28" i="3"/>
  <c r="AV87" i="2"/>
  <c r="AV82" i="2"/>
  <c r="Z29" i="3"/>
  <c r="Z43" i="3"/>
  <c r="AX6" i="2"/>
  <c r="AW71" i="2"/>
  <c r="AW47" i="2"/>
  <c r="AW59" i="2"/>
  <c r="AV88" i="2"/>
  <c r="AX4" i="2"/>
  <c r="AW45" i="2"/>
  <c r="AW57" i="2"/>
  <c r="AW69" i="2"/>
  <c r="AX11" i="2"/>
  <c r="AW52" i="2"/>
  <c r="AW64" i="2"/>
  <c r="AW76" i="2"/>
  <c r="AV84" i="2"/>
  <c r="Z31" i="3"/>
  <c r="Z45" i="3"/>
  <c r="AX10" i="2"/>
  <c r="AW51" i="2"/>
  <c r="AW63" i="2"/>
  <c r="AW75" i="2"/>
  <c r="AX5" i="2"/>
  <c r="AW46" i="2"/>
  <c r="AW58" i="2"/>
  <c r="AW70" i="2"/>
  <c r="AW48" i="2"/>
  <c r="AX7" i="2"/>
  <c r="AW60" i="2"/>
  <c r="AW72" i="2"/>
  <c r="Z36" i="3" l="1"/>
  <c r="Z37" i="3" s="1"/>
  <c r="Z50" i="3"/>
  <c r="Z51" i="3" s="1"/>
  <c r="AW77" i="2"/>
  <c r="AW53" i="2"/>
  <c r="AV89" i="2"/>
  <c r="AX36" i="2"/>
  <c r="AX77" i="2" s="1"/>
  <c r="AD38" i="4"/>
  <c r="AZ24" i="2"/>
  <c r="AF26" i="4"/>
  <c r="AE14" i="4"/>
  <c r="AA49" i="3"/>
  <c r="AA48" i="3"/>
  <c r="AA47" i="3"/>
  <c r="AA46" i="3"/>
  <c r="AA35" i="3"/>
  <c r="AA34" i="3"/>
  <c r="AA33" i="3"/>
  <c r="AA32" i="3"/>
  <c r="AY12" i="2"/>
  <c r="AY5" i="2"/>
  <c r="AX58" i="2"/>
  <c r="AX70" i="2"/>
  <c r="AX46" i="2"/>
  <c r="AY4" i="2"/>
  <c r="AX45" i="2"/>
  <c r="AX57" i="2"/>
  <c r="AX69" i="2"/>
  <c r="AW84" i="2"/>
  <c r="AA45" i="3"/>
  <c r="AA31" i="3"/>
  <c r="AY10" i="2"/>
  <c r="AX51" i="2"/>
  <c r="AX63" i="2"/>
  <c r="AX75" i="2"/>
  <c r="AW86" i="2"/>
  <c r="AW82" i="2"/>
  <c r="AA43" i="3"/>
  <c r="AA29" i="3"/>
  <c r="AY6" i="2"/>
  <c r="AX47" i="2"/>
  <c r="AX71" i="2"/>
  <c r="AX59" i="2"/>
  <c r="AY8" i="2"/>
  <c r="AX49" i="2"/>
  <c r="AX73" i="2"/>
  <c r="AX61" i="2"/>
  <c r="AW81" i="2"/>
  <c r="AA42" i="3"/>
  <c r="AA28" i="3"/>
  <c r="AW85" i="2"/>
  <c r="AW88" i="2"/>
  <c r="AW83" i="2"/>
  <c r="AA30" i="3"/>
  <c r="AA44" i="3"/>
  <c r="AY9" i="2"/>
  <c r="AX62" i="2"/>
  <c r="AX50" i="2"/>
  <c r="AX74" i="2"/>
  <c r="AY7" i="2"/>
  <c r="AX48" i="2"/>
  <c r="AX60" i="2"/>
  <c r="AX72" i="2"/>
  <c r="AW87" i="2"/>
  <c r="AY11" i="2"/>
  <c r="AX52" i="2"/>
  <c r="AX64" i="2"/>
  <c r="AX76" i="2"/>
  <c r="AA50" i="3" l="1"/>
  <c r="AA51" i="3" s="1"/>
  <c r="AW89" i="2"/>
  <c r="AA36" i="3"/>
  <c r="AA37" i="3" s="1"/>
  <c r="AX65" i="2"/>
  <c r="AX53" i="2"/>
  <c r="AY36" i="2"/>
  <c r="AY53" i="2" s="1"/>
  <c r="AE38" i="4"/>
  <c r="BA24" i="2"/>
  <c r="AG26" i="4"/>
  <c r="AF14" i="4"/>
  <c r="AB49" i="3"/>
  <c r="AB47" i="3"/>
  <c r="AB48" i="3"/>
  <c r="AB46" i="3"/>
  <c r="AB35" i="3"/>
  <c r="AB34" i="3"/>
  <c r="AB33" i="3"/>
  <c r="AB32" i="3"/>
  <c r="AZ12" i="2"/>
  <c r="AX86" i="2"/>
  <c r="AY59" i="2"/>
  <c r="AY71" i="2"/>
  <c r="AZ6" i="2"/>
  <c r="AY47" i="2"/>
  <c r="AX85" i="2"/>
  <c r="AX87" i="2"/>
  <c r="AZ4" i="2"/>
  <c r="AY69" i="2"/>
  <c r="AY45" i="2"/>
  <c r="AY57" i="2"/>
  <c r="AZ9" i="2"/>
  <c r="AY50" i="2"/>
  <c r="AY62" i="2"/>
  <c r="AY74" i="2"/>
  <c r="AZ8" i="2"/>
  <c r="AY49" i="2"/>
  <c r="AY73" i="2"/>
  <c r="AY61" i="2"/>
  <c r="AZ10" i="2"/>
  <c r="AY51" i="2"/>
  <c r="AY63" i="2"/>
  <c r="AY75" i="2"/>
  <c r="AX82" i="2"/>
  <c r="AB29" i="3"/>
  <c r="AB43" i="3"/>
  <c r="AZ11" i="2"/>
  <c r="AY64" i="2"/>
  <c r="AY76" i="2"/>
  <c r="AY52" i="2"/>
  <c r="AX81" i="2"/>
  <c r="AB42" i="3"/>
  <c r="AB28" i="3"/>
  <c r="AX84" i="2"/>
  <c r="AB45" i="3"/>
  <c r="AB31" i="3"/>
  <c r="AX83" i="2"/>
  <c r="AB30" i="3"/>
  <c r="AB44" i="3"/>
  <c r="AX88" i="2"/>
  <c r="AZ7" i="2"/>
  <c r="AY48" i="2"/>
  <c r="AY72" i="2"/>
  <c r="AY60" i="2"/>
  <c r="AZ5" i="2"/>
  <c r="AY46" i="2"/>
  <c r="AY58" i="2"/>
  <c r="AY70" i="2"/>
  <c r="AY77" i="2" l="1"/>
  <c r="AY65" i="2"/>
  <c r="AB50" i="3"/>
  <c r="AB51" i="3" s="1"/>
  <c r="AB36" i="3"/>
  <c r="AB37" i="3" s="1"/>
  <c r="AX89" i="2"/>
  <c r="AZ36" i="2"/>
  <c r="AZ77" i="2" s="1"/>
  <c r="AF38" i="4"/>
  <c r="BB24" i="2"/>
  <c r="AH26" i="4"/>
  <c r="AG14" i="4"/>
  <c r="AC49" i="3"/>
  <c r="AC48" i="3"/>
  <c r="AC47" i="3"/>
  <c r="AC46" i="3"/>
  <c r="AC35" i="3"/>
  <c r="AC34" i="3"/>
  <c r="AC33" i="3"/>
  <c r="AC32" i="3"/>
  <c r="BA12" i="2"/>
  <c r="AY82" i="2"/>
  <c r="AC29" i="3"/>
  <c r="AC43" i="3"/>
  <c r="AZ46" i="2"/>
  <c r="AZ70" i="2"/>
  <c r="BA5" i="2"/>
  <c r="AZ58" i="2"/>
  <c r="AY85" i="2"/>
  <c r="BA8" i="2"/>
  <c r="AZ73" i="2"/>
  <c r="AZ49" i="2"/>
  <c r="AZ61" i="2"/>
  <c r="AZ45" i="2"/>
  <c r="BA4" i="2"/>
  <c r="AZ69" i="2"/>
  <c r="AZ57" i="2"/>
  <c r="BA6" i="2"/>
  <c r="AZ47" i="2"/>
  <c r="AZ59" i="2"/>
  <c r="AZ71" i="2"/>
  <c r="AY84" i="2"/>
  <c r="AC45" i="3"/>
  <c r="AC31" i="3"/>
  <c r="AY87" i="2"/>
  <c r="AY86" i="2"/>
  <c r="AY81" i="2"/>
  <c r="AC42" i="3"/>
  <c r="AC28" i="3"/>
  <c r="AY88" i="2"/>
  <c r="BA7" i="2"/>
  <c r="AZ48" i="2"/>
  <c r="AZ60" i="2"/>
  <c r="AZ72" i="2"/>
  <c r="BA10" i="2"/>
  <c r="AZ51" i="2"/>
  <c r="AZ75" i="2"/>
  <c r="AZ63" i="2"/>
  <c r="BA9" i="2"/>
  <c r="AZ62" i="2"/>
  <c r="AZ50" i="2"/>
  <c r="AZ74" i="2"/>
  <c r="AY83" i="2"/>
  <c r="AC30" i="3"/>
  <c r="AC44" i="3"/>
  <c r="BA11" i="2"/>
  <c r="AZ64" i="2"/>
  <c r="AZ52" i="2"/>
  <c r="AZ76" i="2"/>
  <c r="AC50" i="3" l="1"/>
  <c r="AC51" i="3" s="1"/>
  <c r="AY89" i="2"/>
  <c r="AC36" i="3"/>
  <c r="AC37" i="3" s="1"/>
  <c r="AZ65" i="2"/>
  <c r="AZ53" i="2"/>
  <c r="BA36" i="2"/>
  <c r="BA53" i="2" s="1"/>
  <c r="AG38" i="4"/>
  <c r="BC24" i="2"/>
  <c r="AI26" i="4"/>
  <c r="AH14" i="4"/>
  <c r="AD47" i="3"/>
  <c r="AD49" i="3"/>
  <c r="AD48" i="3"/>
  <c r="AD46" i="3"/>
  <c r="AD35" i="3"/>
  <c r="AD32" i="3"/>
  <c r="AD34" i="3"/>
  <c r="AD33" i="3"/>
  <c r="BB12" i="2"/>
  <c r="AI14" i="4" s="1"/>
  <c r="AZ81" i="2"/>
  <c r="AD28" i="3"/>
  <c r="AD42" i="3"/>
  <c r="BB5" i="2"/>
  <c r="BA46" i="2"/>
  <c r="BA58" i="2"/>
  <c r="BA70" i="2"/>
  <c r="AZ87" i="2"/>
  <c r="AZ85" i="2"/>
  <c r="AZ82" i="2"/>
  <c r="AD43" i="3"/>
  <c r="AD29" i="3"/>
  <c r="BB6" i="2"/>
  <c r="BA47" i="2"/>
  <c r="BA59" i="2"/>
  <c r="BA71" i="2"/>
  <c r="BB8" i="2"/>
  <c r="BA61" i="2"/>
  <c r="BA73" i="2"/>
  <c r="BA49" i="2"/>
  <c r="BB11" i="2"/>
  <c r="BA52" i="2"/>
  <c r="BA64" i="2"/>
  <c r="BA76" i="2"/>
  <c r="BB10" i="2"/>
  <c r="BA75" i="2"/>
  <c r="BA63" i="2"/>
  <c r="BA51" i="2"/>
  <c r="AZ83" i="2"/>
  <c r="AD44" i="3"/>
  <c r="AD30" i="3"/>
  <c r="AZ86" i="2"/>
  <c r="BB9" i="2"/>
  <c r="BA50" i="2"/>
  <c r="BA62" i="2"/>
  <c r="BA74" i="2"/>
  <c r="BB7" i="2"/>
  <c r="BA48" i="2"/>
  <c r="BA72" i="2"/>
  <c r="BA60" i="2"/>
  <c r="BB4" i="2"/>
  <c r="BA45" i="2"/>
  <c r="BA57" i="2"/>
  <c r="BA69" i="2"/>
  <c r="AZ88" i="2"/>
  <c r="AZ84" i="2"/>
  <c r="AD31" i="3"/>
  <c r="AD45" i="3"/>
  <c r="AD36" i="3" l="1"/>
  <c r="AD37" i="3" s="1"/>
  <c r="BA77" i="2"/>
  <c r="BA65" i="2"/>
  <c r="AD50" i="3"/>
  <c r="AD51" i="3" s="1"/>
  <c r="AZ89" i="2"/>
  <c r="BB36" i="2"/>
  <c r="BB77" i="2" s="1"/>
  <c r="AH38" i="4"/>
  <c r="BD24" i="2"/>
  <c r="AJ26" i="4"/>
  <c r="AE49" i="3"/>
  <c r="AE47" i="3"/>
  <c r="AE48" i="3"/>
  <c r="AE46" i="3"/>
  <c r="AE34" i="3"/>
  <c r="AE35" i="3"/>
  <c r="AE33" i="3"/>
  <c r="AE32" i="3"/>
  <c r="BC12" i="2"/>
  <c r="BA84" i="2"/>
  <c r="AE45" i="3"/>
  <c r="AE31" i="3"/>
  <c r="BC10" i="2"/>
  <c r="BB51" i="2"/>
  <c r="BB63" i="2"/>
  <c r="BB75" i="2"/>
  <c r="BC8" i="2"/>
  <c r="BB49" i="2"/>
  <c r="BB61" i="2"/>
  <c r="BB73" i="2"/>
  <c r="BA88" i="2"/>
  <c r="BA83" i="2"/>
  <c r="AE30" i="3"/>
  <c r="AE44" i="3"/>
  <c r="BA81" i="2"/>
  <c r="AE42" i="3"/>
  <c r="AE28" i="3"/>
  <c r="BA86" i="2"/>
  <c r="BC11" i="2"/>
  <c r="BB64" i="2"/>
  <c r="BB76" i="2"/>
  <c r="BB52" i="2"/>
  <c r="BC6" i="2"/>
  <c r="BB47" i="2"/>
  <c r="BB59" i="2"/>
  <c r="BB71" i="2"/>
  <c r="BB48" i="2"/>
  <c r="BB72" i="2"/>
  <c r="BB60" i="2"/>
  <c r="BC7" i="2"/>
  <c r="BA82" i="2"/>
  <c r="AE43" i="3"/>
  <c r="AE29" i="3"/>
  <c r="BC5" i="2"/>
  <c r="BB70" i="2"/>
  <c r="BB46" i="2"/>
  <c r="BB58" i="2"/>
  <c r="BC4" i="2"/>
  <c r="BB45" i="2"/>
  <c r="BB57" i="2"/>
  <c r="BB69" i="2"/>
  <c r="BC9" i="2"/>
  <c r="BB50" i="2"/>
  <c r="BB62" i="2"/>
  <c r="BB74" i="2"/>
  <c r="BA87" i="2"/>
  <c r="BA85" i="2"/>
  <c r="D9" i="5"/>
  <c r="AE50" i="3" l="1"/>
  <c r="AE51" i="3" s="1"/>
  <c r="BA89" i="2"/>
  <c r="AE36" i="3"/>
  <c r="AE37" i="3" s="1"/>
  <c r="BB65" i="2"/>
  <c r="BB53" i="2"/>
  <c r="BC36" i="2"/>
  <c r="BC53" i="2" s="1"/>
  <c r="AI38" i="4"/>
  <c r="BE24" i="2"/>
  <c r="AK26" i="4"/>
  <c r="AJ14" i="4"/>
  <c r="AF49" i="3"/>
  <c r="AF48" i="3"/>
  <c r="AF47" i="3"/>
  <c r="AF46" i="3"/>
  <c r="AF35" i="3"/>
  <c r="AF33" i="3"/>
  <c r="AF34" i="3"/>
  <c r="AF32" i="3"/>
  <c r="BD12" i="2"/>
  <c r="BB81" i="2"/>
  <c r="AF28" i="3"/>
  <c r="AF42" i="3"/>
  <c r="BB83" i="2"/>
  <c r="AF44" i="3"/>
  <c r="AF30" i="3"/>
  <c r="BB82" i="2"/>
  <c r="AF29" i="3"/>
  <c r="AF43" i="3"/>
  <c r="BD4" i="2"/>
  <c r="BC57" i="2"/>
  <c r="BC69" i="2"/>
  <c r="BC45" i="2"/>
  <c r="BB88" i="2"/>
  <c r="BD10" i="2"/>
  <c r="BC63" i="2"/>
  <c r="BC75" i="2"/>
  <c r="BC51" i="2"/>
  <c r="BB86" i="2"/>
  <c r="BB84" i="2"/>
  <c r="AF31" i="3"/>
  <c r="AF45" i="3"/>
  <c r="BD8" i="2"/>
  <c r="BC49" i="2"/>
  <c r="BC61" i="2"/>
  <c r="BC73" i="2"/>
  <c r="BD7" i="2"/>
  <c r="BC72" i="2"/>
  <c r="BC48" i="2"/>
  <c r="BC60" i="2"/>
  <c r="BD6" i="2"/>
  <c r="BC59" i="2"/>
  <c r="BC71" i="2"/>
  <c r="BC47" i="2"/>
  <c r="BB87" i="2"/>
  <c r="BD9" i="2"/>
  <c r="BC50" i="2"/>
  <c r="BC62" i="2"/>
  <c r="BC74" i="2"/>
  <c r="BD5" i="2"/>
  <c r="BC46" i="2"/>
  <c r="BC70" i="2"/>
  <c r="BC58" i="2"/>
  <c r="BD11" i="2"/>
  <c r="BC52" i="2"/>
  <c r="BC76" i="2"/>
  <c r="BC64" i="2"/>
  <c r="BB85" i="2"/>
  <c r="D11" i="5"/>
  <c r="D10" i="5"/>
  <c r="BL9" i="5"/>
  <c r="BK9" i="5"/>
  <c r="BJ9" i="5"/>
  <c r="BH9" i="5"/>
  <c r="BI9" i="5"/>
  <c r="BG9" i="5"/>
  <c r="BF9" i="5"/>
  <c r="BD9" i="5"/>
  <c r="BE9" i="5"/>
  <c r="BC9" i="5"/>
  <c r="BB9" i="5"/>
  <c r="BA9" i="5"/>
  <c r="AZ9" i="5"/>
  <c r="AY9" i="5"/>
  <c r="AW9" i="5"/>
  <c r="AX9" i="5"/>
  <c r="AV9" i="5"/>
  <c r="AU9" i="5"/>
  <c r="AT9" i="5"/>
  <c r="AS9" i="5"/>
  <c r="AQ9" i="5"/>
  <c r="AR9" i="5"/>
  <c r="AP9" i="5"/>
  <c r="AO9" i="5"/>
  <c r="AN9" i="5"/>
  <c r="AM9" i="5"/>
  <c r="AL9" i="5"/>
  <c r="AJ9" i="5"/>
  <c r="AK9" i="5"/>
  <c r="AI9" i="5"/>
  <c r="AH9" i="5"/>
  <c r="AG9" i="5"/>
  <c r="AE9" i="5"/>
  <c r="AF9" i="5"/>
  <c r="AD9" i="5"/>
  <c r="AB9" i="5"/>
  <c r="AC9" i="5"/>
  <c r="AA9" i="5"/>
  <c r="Z9" i="5"/>
  <c r="Y9" i="5"/>
  <c r="W9" i="5"/>
  <c r="V9" i="5"/>
  <c r="X9" i="5"/>
  <c r="T9" i="5"/>
  <c r="U9" i="5"/>
  <c r="S9" i="5"/>
  <c r="R9" i="5"/>
  <c r="Q9" i="5"/>
  <c r="P9" i="5"/>
  <c r="O9" i="5"/>
  <c r="N9" i="5"/>
  <c r="M9" i="5"/>
  <c r="L9" i="5"/>
  <c r="K9" i="5"/>
  <c r="J9" i="5"/>
  <c r="I9" i="5"/>
  <c r="H9" i="5"/>
  <c r="G9" i="5"/>
  <c r="E9" i="5"/>
  <c r="F9" i="5"/>
  <c r="D8" i="5"/>
  <c r="AF36" i="3" l="1"/>
  <c r="AF37" i="3" s="1"/>
  <c r="BC77" i="2"/>
  <c r="AF50" i="3"/>
  <c r="AF51" i="3" s="1"/>
  <c r="BC65" i="2"/>
  <c r="BB89" i="2"/>
  <c r="BD36" i="2"/>
  <c r="BD65" i="2" s="1"/>
  <c r="AJ38" i="4"/>
  <c r="BF24" i="2"/>
  <c r="AL26" i="4"/>
  <c r="AK14" i="4"/>
  <c r="AG49" i="3"/>
  <c r="AG48" i="3"/>
  <c r="AG47" i="3"/>
  <c r="AG46" i="3"/>
  <c r="AG35" i="3"/>
  <c r="AG34" i="3"/>
  <c r="AG33" i="3"/>
  <c r="AG32" i="3"/>
  <c r="BE12" i="2"/>
  <c r="D12" i="5"/>
  <c r="D15" i="5" s="1"/>
  <c r="D13" i="5"/>
  <c r="D16" i="5" s="1"/>
  <c r="H7" i="6" s="1"/>
  <c r="BC87" i="2"/>
  <c r="BC88" i="2"/>
  <c r="BE11" i="2"/>
  <c r="BD52" i="2"/>
  <c r="BD64" i="2"/>
  <c r="BD76" i="2"/>
  <c r="BE4" i="2"/>
  <c r="BD45" i="2"/>
  <c r="BD57" i="2"/>
  <c r="BD69" i="2"/>
  <c r="BC81" i="2"/>
  <c r="AG28" i="3"/>
  <c r="AG42" i="3"/>
  <c r="BC85" i="2"/>
  <c r="BC86" i="2"/>
  <c r="BE8" i="2"/>
  <c r="BD49" i="2"/>
  <c r="BD61" i="2"/>
  <c r="BD73" i="2"/>
  <c r="BC84" i="2"/>
  <c r="AG31" i="3"/>
  <c r="AG45" i="3"/>
  <c r="BC82" i="2"/>
  <c r="AG29" i="3"/>
  <c r="AG43" i="3"/>
  <c r="BE7" i="2"/>
  <c r="BD60" i="2"/>
  <c r="BD72" i="2"/>
  <c r="BD48" i="2"/>
  <c r="BE6" i="2"/>
  <c r="BD47" i="2"/>
  <c r="BD71" i="2"/>
  <c r="BD59" i="2"/>
  <c r="BE9" i="2"/>
  <c r="BD50" i="2"/>
  <c r="BD62" i="2"/>
  <c r="BD74" i="2"/>
  <c r="BE10" i="2"/>
  <c r="BD51" i="2"/>
  <c r="BD63" i="2"/>
  <c r="BD75" i="2"/>
  <c r="BE5" i="2"/>
  <c r="BD46" i="2"/>
  <c r="BD58" i="2"/>
  <c r="BD70" i="2"/>
  <c r="BC83" i="2"/>
  <c r="AG44" i="3"/>
  <c r="AG30" i="3"/>
  <c r="E10" i="5"/>
  <c r="F10" i="5" s="1"/>
  <c r="D3" i="5"/>
  <c r="BC8" i="5"/>
  <c r="BA8" i="5"/>
  <c r="BB8" i="5"/>
  <c r="AZ8" i="5"/>
  <c r="AY8" i="5"/>
  <c r="AW8" i="5"/>
  <c r="AX8" i="5"/>
  <c r="AV8" i="5"/>
  <c r="AU8" i="5"/>
  <c r="AT8" i="5"/>
  <c r="AS8" i="5"/>
  <c r="AR8" i="5"/>
  <c r="AQ8" i="5"/>
  <c r="AP8" i="5"/>
  <c r="AN8" i="5"/>
  <c r="AO8" i="5"/>
  <c r="AM8" i="5"/>
  <c r="AL8" i="5"/>
  <c r="AJ8" i="5"/>
  <c r="AK8" i="5"/>
  <c r="AH8" i="5"/>
  <c r="AI8" i="5"/>
  <c r="AG8" i="5"/>
  <c r="AF8" i="5"/>
  <c r="AE8" i="5"/>
  <c r="AC8" i="5"/>
  <c r="AD8" i="5"/>
  <c r="AA8" i="5"/>
  <c r="AB8" i="5"/>
  <c r="Z8" i="5"/>
  <c r="Y8" i="5"/>
  <c r="W8" i="5"/>
  <c r="X8" i="5"/>
  <c r="V8" i="5"/>
  <c r="U8" i="5"/>
  <c r="T8" i="5"/>
  <c r="R8" i="5"/>
  <c r="S8" i="5"/>
  <c r="Q8" i="5"/>
  <c r="P8" i="5"/>
  <c r="O8" i="5"/>
  <c r="M8" i="5"/>
  <c r="N8" i="5"/>
  <c r="L8" i="5"/>
  <c r="K8" i="5"/>
  <c r="I8" i="5"/>
  <c r="J8" i="5"/>
  <c r="H8" i="5"/>
  <c r="G8" i="5"/>
  <c r="F8" i="5"/>
  <c r="E8" i="5"/>
  <c r="AG50" i="3" l="1"/>
  <c r="AG51" i="3" s="1"/>
  <c r="BD77" i="2"/>
  <c r="AG36" i="3"/>
  <c r="AG37" i="3" s="1"/>
  <c r="BC89" i="2"/>
  <c r="BD53" i="2"/>
  <c r="BE36" i="2"/>
  <c r="BE77" i="2" s="1"/>
  <c r="AK38" i="4"/>
  <c r="BG24" i="2"/>
  <c r="AM26" i="4"/>
  <c r="AL14" i="4"/>
  <c r="AH49" i="3"/>
  <c r="AH48" i="3"/>
  <c r="AH47" i="3"/>
  <c r="AH46" i="3"/>
  <c r="AH34" i="3"/>
  <c r="AH35" i="3"/>
  <c r="AH33" i="3"/>
  <c r="AH32" i="3"/>
  <c r="BF12" i="2"/>
  <c r="E12" i="5"/>
  <c r="F12" i="5" s="1"/>
  <c r="BD86" i="2"/>
  <c r="BF5" i="2"/>
  <c r="BE46" i="2"/>
  <c r="BE58" i="2"/>
  <c r="BE70" i="2"/>
  <c r="BF9" i="2"/>
  <c r="BE74" i="2"/>
  <c r="BE62" i="2"/>
  <c r="BE50" i="2"/>
  <c r="BD81" i="2"/>
  <c r="AH42" i="3"/>
  <c r="AH28" i="3"/>
  <c r="BD88" i="2"/>
  <c r="BF7" i="2"/>
  <c r="BE48" i="2"/>
  <c r="BE60" i="2"/>
  <c r="BE72" i="2"/>
  <c r="BF4" i="2"/>
  <c r="BE57" i="2"/>
  <c r="BE45" i="2"/>
  <c r="BE69" i="2"/>
  <c r="BE63" i="2"/>
  <c r="BF10" i="2"/>
  <c r="BE51" i="2"/>
  <c r="BE75" i="2"/>
  <c r="BF6" i="2"/>
  <c r="BE47" i="2"/>
  <c r="BE71" i="2"/>
  <c r="BE59" i="2"/>
  <c r="BE49" i="2"/>
  <c r="BF8" i="2"/>
  <c r="BE61" i="2"/>
  <c r="BE73" i="2"/>
  <c r="BD84" i="2"/>
  <c r="AH45" i="3"/>
  <c r="AH31" i="3"/>
  <c r="BD82" i="2"/>
  <c r="AH43" i="3"/>
  <c r="AH29" i="3"/>
  <c r="BF11" i="2"/>
  <c r="BE52" i="2"/>
  <c r="BE76" i="2"/>
  <c r="BE64" i="2"/>
  <c r="BD87" i="2"/>
  <c r="BD83" i="2"/>
  <c r="AH30" i="3"/>
  <c r="AH44" i="3"/>
  <c r="BD85" i="2"/>
  <c r="G10" i="5"/>
  <c r="H8" i="6"/>
  <c r="E13" i="5"/>
  <c r="C29" i="6"/>
  <c r="G6" i="6" s="1"/>
  <c r="AH50" i="3" l="1"/>
  <c r="AH51" i="3" s="1"/>
  <c r="AH36" i="3"/>
  <c r="AH37" i="3" s="1"/>
  <c r="BD89" i="2"/>
  <c r="BE65" i="2"/>
  <c r="BE53" i="2"/>
  <c r="BF36" i="2"/>
  <c r="BF77" i="2" s="1"/>
  <c r="AL38" i="4"/>
  <c r="BH24" i="2"/>
  <c r="AN26" i="4"/>
  <c r="AM14" i="4"/>
  <c r="AI48" i="3"/>
  <c r="AI49" i="3"/>
  <c r="AI33" i="3"/>
  <c r="AI47" i="3"/>
  <c r="AI46" i="3"/>
  <c r="AI34" i="3"/>
  <c r="AI35" i="3"/>
  <c r="AI32" i="3"/>
  <c r="BG12" i="2"/>
  <c r="BE88" i="2"/>
  <c r="BE82" i="2"/>
  <c r="AI29" i="3"/>
  <c r="AI43" i="3"/>
  <c r="BG11" i="2"/>
  <c r="BF52" i="2"/>
  <c r="BF76" i="2"/>
  <c r="BF64" i="2"/>
  <c r="BE87" i="2"/>
  <c r="BG5" i="2"/>
  <c r="BF58" i="2"/>
  <c r="BF70" i="2"/>
  <c r="BF46" i="2"/>
  <c r="BE83" i="2"/>
  <c r="AI44" i="3"/>
  <c r="AI30" i="3"/>
  <c r="BG4" i="2"/>
  <c r="BF69" i="2"/>
  <c r="BF57" i="2"/>
  <c r="BF45" i="2"/>
  <c r="BF51" i="2"/>
  <c r="BF63" i="2"/>
  <c r="BG10" i="2"/>
  <c r="BF75" i="2"/>
  <c r="BE85" i="2"/>
  <c r="BG7" i="2"/>
  <c r="BF48" i="2"/>
  <c r="BF60" i="2"/>
  <c r="BF72" i="2"/>
  <c r="BE84" i="2"/>
  <c r="AI45" i="3"/>
  <c r="AI31" i="3"/>
  <c r="BE86" i="2"/>
  <c r="BG6" i="2"/>
  <c r="BF47" i="2"/>
  <c r="BF71" i="2"/>
  <c r="BF59" i="2"/>
  <c r="BG8" i="2"/>
  <c r="BF49" i="2"/>
  <c r="BF61" i="2"/>
  <c r="BF73" i="2"/>
  <c r="BE81" i="2"/>
  <c r="AI28" i="3"/>
  <c r="AI42" i="3"/>
  <c r="BG9" i="2"/>
  <c r="BF62" i="2"/>
  <c r="BF50" i="2"/>
  <c r="BF74" i="2"/>
  <c r="H10" i="5"/>
  <c r="F13" i="5"/>
  <c r="E16" i="5"/>
  <c r="I7" i="6" s="1"/>
  <c r="BL43" i="5"/>
  <c r="AI36" i="3" l="1"/>
  <c r="AI37" i="3" s="1"/>
  <c r="BE89" i="2"/>
  <c r="AI50" i="3"/>
  <c r="AI51" i="3" s="1"/>
  <c r="BF65" i="2"/>
  <c r="BF53" i="2"/>
  <c r="BG36" i="2"/>
  <c r="BG77" i="2" s="1"/>
  <c r="AM38" i="4"/>
  <c r="BI24" i="2"/>
  <c r="AO26" i="4"/>
  <c r="AN14" i="4"/>
  <c r="AJ49" i="3"/>
  <c r="AJ48" i="3"/>
  <c r="AJ47" i="3"/>
  <c r="AJ46" i="3"/>
  <c r="AJ34" i="3"/>
  <c r="AJ35" i="3"/>
  <c r="AJ33" i="3"/>
  <c r="AJ32" i="3"/>
  <c r="BH12" i="2"/>
  <c r="BH4" i="2"/>
  <c r="BG69" i="2"/>
  <c r="BG57" i="2"/>
  <c r="BG45" i="2"/>
  <c r="BH8" i="2"/>
  <c r="BG49" i="2"/>
  <c r="BG61" i="2"/>
  <c r="BG73" i="2"/>
  <c r="BH5" i="2"/>
  <c r="BG46" i="2"/>
  <c r="BG58" i="2"/>
  <c r="BG70" i="2"/>
  <c r="BH11" i="2"/>
  <c r="BG64" i="2"/>
  <c r="BG76" i="2"/>
  <c r="BG52" i="2"/>
  <c r="BH9" i="2"/>
  <c r="BG50" i="2"/>
  <c r="BG62" i="2"/>
  <c r="BG74" i="2"/>
  <c r="BF83" i="2"/>
  <c r="AJ30" i="3"/>
  <c r="AJ44" i="3"/>
  <c r="BH6" i="2"/>
  <c r="BG59" i="2"/>
  <c r="BG71" i="2"/>
  <c r="BG47" i="2"/>
  <c r="BF84" i="2"/>
  <c r="AJ31" i="3"/>
  <c r="AJ45" i="3"/>
  <c r="BF87" i="2"/>
  <c r="BF82" i="2"/>
  <c r="AJ29" i="3"/>
  <c r="AJ43" i="3"/>
  <c r="BH7" i="2"/>
  <c r="BG48" i="2"/>
  <c r="BG72" i="2"/>
  <c r="BG60" i="2"/>
  <c r="BF81" i="2"/>
  <c r="AJ42" i="3"/>
  <c r="AJ28" i="3"/>
  <c r="BH10" i="2"/>
  <c r="BG51" i="2"/>
  <c r="BG63" i="2"/>
  <c r="BG75" i="2"/>
  <c r="BF86" i="2"/>
  <c r="BF85" i="2"/>
  <c r="BF88" i="2"/>
  <c r="G13" i="5"/>
  <c r="F16" i="5"/>
  <c r="J7" i="6" s="1"/>
  <c r="I10" i="5"/>
  <c r="BL44" i="5"/>
  <c r="BL45" i="5" s="1"/>
  <c r="AJ36" i="3" l="1"/>
  <c r="AJ37" i="3" s="1"/>
  <c r="BG53" i="2"/>
  <c r="BF89" i="2"/>
  <c r="BG65" i="2"/>
  <c r="AJ50" i="3"/>
  <c r="AJ51" i="3" s="1"/>
  <c r="BH36" i="2"/>
  <c r="BH77" i="2" s="1"/>
  <c r="AN38" i="4"/>
  <c r="BJ24" i="2"/>
  <c r="AP26" i="4"/>
  <c r="AO14" i="4"/>
  <c r="AK49" i="3"/>
  <c r="AK48" i="3"/>
  <c r="AK47" i="3"/>
  <c r="AK35" i="3"/>
  <c r="AK46" i="3"/>
  <c r="AK34" i="3"/>
  <c r="AK33" i="3"/>
  <c r="AK32" i="3"/>
  <c r="BI12" i="2"/>
  <c r="BG84" i="2"/>
  <c r="AK31" i="3"/>
  <c r="AK45" i="3"/>
  <c r="BG83" i="2"/>
  <c r="AK30" i="3"/>
  <c r="AK44" i="3"/>
  <c r="BG81" i="2"/>
  <c r="AK28" i="3"/>
  <c r="AK42" i="3"/>
  <c r="BG87" i="2"/>
  <c r="BG86" i="2"/>
  <c r="BG82" i="2"/>
  <c r="AK29" i="3"/>
  <c r="AK43" i="3"/>
  <c r="BI7" i="2"/>
  <c r="BH60" i="2"/>
  <c r="BH72" i="2"/>
  <c r="BH48" i="2"/>
  <c r="BG85" i="2"/>
  <c r="BI11" i="2"/>
  <c r="BH64" i="2"/>
  <c r="BH52" i="2"/>
  <c r="BH76" i="2"/>
  <c r="BH62" i="2"/>
  <c r="BI9" i="2"/>
  <c r="BH50" i="2"/>
  <c r="BH74" i="2"/>
  <c r="BI5" i="2"/>
  <c r="BH58" i="2"/>
  <c r="BH46" i="2"/>
  <c r="BH70" i="2"/>
  <c r="BI10" i="2"/>
  <c r="BH51" i="2"/>
  <c r="BH75" i="2"/>
  <c r="BH63" i="2"/>
  <c r="BI8" i="2"/>
  <c r="BH49" i="2"/>
  <c r="BH61" i="2"/>
  <c r="BH73" i="2"/>
  <c r="BI6" i="2"/>
  <c r="BH47" i="2"/>
  <c r="BH59" i="2"/>
  <c r="BH71" i="2"/>
  <c r="BG88" i="2"/>
  <c r="BI4" i="2"/>
  <c r="BH45" i="2"/>
  <c r="BH69" i="2"/>
  <c r="BH57" i="2"/>
  <c r="V12" i="4"/>
  <c r="V22" i="4"/>
  <c r="V23" i="4"/>
  <c r="V24" i="4"/>
  <c r="V10" i="4"/>
  <c r="V11" i="4"/>
  <c r="J10" i="5"/>
  <c r="H13" i="5"/>
  <c r="G16" i="5"/>
  <c r="K7" i="6" s="1"/>
  <c r="BY4" i="4"/>
  <c r="BZ4" i="4" s="1"/>
  <c r="CA4" i="4" s="1"/>
  <c r="CB4" i="4" s="1"/>
  <c r="CC4" i="4" s="1"/>
  <c r="BY5" i="4"/>
  <c r="BZ5" i="4" s="1"/>
  <c r="CA5" i="4" s="1"/>
  <c r="CB5" i="4" s="1"/>
  <c r="CC5" i="4" s="1"/>
  <c r="W4" i="4"/>
  <c r="X4" i="4"/>
  <c r="Y4" i="4"/>
  <c r="Z4" i="4"/>
  <c r="AA4" i="4"/>
  <c r="AB4" i="4"/>
  <c r="AC4" i="4"/>
  <c r="AD4" i="4"/>
  <c r="AE4" i="4" s="1"/>
  <c r="AF4" i="4" s="1"/>
  <c r="AG4" i="4" s="1"/>
  <c r="AH4" i="4" s="1"/>
  <c r="AI4" i="4" s="1"/>
  <c r="AJ4" i="4" s="1"/>
  <c r="AK4" i="4" s="1"/>
  <c r="AL4" i="4" s="1"/>
  <c r="AM4" i="4" s="1"/>
  <c r="AN4" i="4" s="1"/>
  <c r="AO4" i="4" s="1"/>
  <c r="AP4" i="4" s="1"/>
  <c r="AQ4" i="4" s="1"/>
  <c r="AR4" i="4" s="1"/>
  <c r="AS4" i="4" s="1"/>
  <c r="AT4" i="4" s="1"/>
  <c r="AU4" i="4" s="1"/>
  <c r="AV4" i="4" s="1"/>
  <c r="AW4" i="4" s="1"/>
  <c r="AX4" i="4" s="1"/>
  <c r="AY4" i="4" s="1"/>
  <c r="AZ4" i="4" s="1"/>
  <c r="BA4" i="4" s="1"/>
  <c r="BB4" i="4" s="1"/>
  <c r="BC4" i="4" s="1"/>
  <c r="BD4" i="4" s="1"/>
  <c r="BE4" i="4" s="1"/>
  <c r="BF4" i="4" s="1"/>
  <c r="BG4" i="4" s="1"/>
  <c r="BH4" i="4" s="1"/>
  <c r="BI4" i="4" s="1"/>
  <c r="BJ4" i="4" s="1"/>
  <c r="BK4" i="4" s="1"/>
  <c r="BL4" i="4" s="1"/>
  <c r="BM4" i="4" s="1"/>
  <c r="BN4" i="4" s="1"/>
  <c r="BO4" i="4" s="1"/>
  <c r="BP4" i="4" s="1"/>
  <c r="BQ4" i="4" s="1"/>
  <c r="BR4" i="4" s="1"/>
  <c r="BS4" i="4" s="1"/>
  <c r="BT4" i="4" s="1"/>
  <c r="BU4" i="4" s="1"/>
  <c r="BV4" i="4" s="1"/>
  <c r="BW4" i="4" s="1"/>
  <c r="BX4" i="4" s="1"/>
  <c r="W5" i="4"/>
  <c r="X5" i="4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BG5" i="4" s="1"/>
  <c r="BH5" i="4" s="1"/>
  <c r="BI5" i="4" s="1"/>
  <c r="BJ5" i="4" s="1"/>
  <c r="BK5" i="4" s="1"/>
  <c r="BL5" i="4" s="1"/>
  <c r="BM5" i="4" s="1"/>
  <c r="BN5" i="4" s="1"/>
  <c r="BO5" i="4" s="1"/>
  <c r="BP5" i="4" s="1"/>
  <c r="BQ5" i="4" s="1"/>
  <c r="BR5" i="4" s="1"/>
  <c r="BS5" i="4" s="1"/>
  <c r="BT5" i="4" s="1"/>
  <c r="BU5" i="4" s="1"/>
  <c r="BV5" i="4" s="1"/>
  <c r="BW5" i="4" s="1"/>
  <c r="BX5" i="4" s="1"/>
  <c r="V5" i="4"/>
  <c r="V4" i="4"/>
  <c r="AK50" i="3" l="1"/>
  <c r="AK51" i="3" s="1"/>
  <c r="AK36" i="3"/>
  <c r="AK37" i="3" s="1"/>
  <c r="BG89" i="2"/>
  <c r="BH65" i="2"/>
  <c r="BH53" i="2"/>
  <c r="BI36" i="2"/>
  <c r="BI77" i="2" s="1"/>
  <c r="AO38" i="4"/>
  <c r="BK24" i="2"/>
  <c r="AQ26" i="4"/>
  <c r="AP14" i="4"/>
  <c r="AL48" i="3"/>
  <c r="AL49" i="3"/>
  <c r="AL46" i="3"/>
  <c r="AL47" i="3"/>
  <c r="AL35" i="3"/>
  <c r="AL34" i="3"/>
  <c r="AL33" i="3"/>
  <c r="AL32" i="3"/>
  <c r="BJ12" i="2"/>
  <c r="BJ4" i="2"/>
  <c r="BI45" i="2"/>
  <c r="BI69" i="2"/>
  <c r="BI57" i="2"/>
  <c r="BH84" i="2"/>
  <c r="AL45" i="3"/>
  <c r="AL31" i="3"/>
  <c r="BH86" i="2"/>
  <c r="BH82" i="2"/>
  <c r="AL43" i="3"/>
  <c r="AL29" i="3"/>
  <c r="BJ8" i="2"/>
  <c r="BI61" i="2"/>
  <c r="BI73" i="2"/>
  <c r="BI49" i="2"/>
  <c r="BJ5" i="2"/>
  <c r="BI70" i="2"/>
  <c r="BI58" i="2"/>
  <c r="BI46" i="2"/>
  <c r="BJ7" i="2"/>
  <c r="BI48" i="2"/>
  <c r="BI72" i="2"/>
  <c r="BI60" i="2"/>
  <c r="BH83" i="2"/>
  <c r="AL44" i="3"/>
  <c r="AL30" i="3"/>
  <c r="BH87" i="2"/>
  <c r="BJ9" i="2"/>
  <c r="BI62" i="2"/>
  <c r="BI74" i="2"/>
  <c r="BI50" i="2"/>
  <c r="BH85" i="2"/>
  <c r="BH88" i="2"/>
  <c r="BJ11" i="2"/>
  <c r="BI52" i="2"/>
  <c r="BI64" i="2"/>
  <c r="BI76" i="2"/>
  <c r="BH81" i="2"/>
  <c r="AL28" i="3"/>
  <c r="AL42" i="3"/>
  <c r="BJ6" i="2"/>
  <c r="BI47" i="2"/>
  <c r="BI59" i="2"/>
  <c r="BI71" i="2"/>
  <c r="BJ10" i="2"/>
  <c r="BI51" i="2"/>
  <c r="BI75" i="2"/>
  <c r="BI63" i="2"/>
  <c r="I13" i="5"/>
  <c r="H16" i="5"/>
  <c r="L7" i="6" s="1"/>
  <c r="K10" i="5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22" i="5" s="1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D21" i="5"/>
  <c r="E21" i="5" s="1"/>
  <c r="G12" i="5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AH12" i="5" s="1"/>
  <c r="AI12" i="5" s="1"/>
  <c r="AJ12" i="5" s="1"/>
  <c r="AK12" i="5" s="1"/>
  <c r="AL12" i="5" s="1"/>
  <c r="AM12" i="5" s="1"/>
  <c r="AN12" i="5" s="1"/>
  <c r="AO12" i="5" s="1"/>
  <c r="AP12" i="5" s="1"/>
  <c r="AQ12" i="5" s="1"/>
  <c r="AR12" i="5" s="1"/>
  <c r="AS12" i="5" s="1"/>
  <c r="AT12" i="5" s="1"/>
  <c r="AU12" i="5" s="1"/>
  <c r="AV12" i="5" s="1"/>
  <c r="AW12" i="5" s="1"/>
  <c r="AX12" i="5" s="1"/>
  <c r="AY12" i="5" s="1"/>
  <c r="AZ12" i="5" s="1"/>
  <c r="BA12" i="5" s="1"/>
  <c r="BB12" i="5" s="1"/>
  <c r="BC12" i="5" s="1"/>
  <c r="BD12" i="5" s="1"/>
  <c r="BE12" i="5" s="1"/>
  <c r="BF12" i="5" s="1"/>
  <c r="BG12" i="5" s="1"/>
  <c r="BH12" i="5" s="1"/>
  <c r="BI12" i="5" s="1"/>
  <c r="BJ12" i="5" s="1"/>
  <c r="BK12" i="5" s="1"/>
  <c r="BL12" i="5" s="1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AL50" i="3" l="1"/>
  <c r="AL51" i="3" s="1"/>
  <c r="AL36" i="3"/>
  <c r="AL37" i="3" s="1"/>
  <c r="BH89" i="2"/>
  <c r="BI65" i="2"/>
  <c r="BI53" i="2"/>
  <c r="BJ36" i="2"/>
  <c r="BJ77" i="2" s="1"/>
  <c r="AP38" i="4"/>
  <c r="BL24" i="2"/>
  <c r="AR26" i="4"/>
  <c r="AQ14" i="4"/>
  <c r="AM49" i="3"/>
  <c r="AM48" i="3"/>
  <c r="AM46" i="3"/>
  <c r="AM47" i="3"/>
  <c r="AM35" i="3"/>
  <c r="AM34" i="3"/>
  <c r="AM32" i="3"/>
  <c r="AM33" i="3"/>
  <c r="BK12" i="2"/>
  <c r="BI84" i="2"/>
  <c r="AM31" i="3"/>
  <c r="AM45" i="3"/>
  <c r="BI83" i="2"/>
  <c r="AM30" i="3"/>
  <c r="AM44" i="3"/>
  <c r="BK11" i="2"/>
  <c r="BJ64" i="2"/>
  <c r="BJ52" i="2"/>
  <c r="BJ76" i="2"/>
  <c r="BI86" i="2"/>
  <c r="BI87" i="2"/>
  <c r="BK7" i="2"/>
  <c r="BJ60" i="2"/>
  <c r="BJ72" i="2"/>
  <c r="BJ48" i="2"/>
  <c r="BI82" i="2"/>
  <c r="AM43" i="3"/>
  <c r="AM29" i="3"/>
  <c r="BK6" i="2"/>
  <c r="BJ47" i="2"/>
  <c r="BJ59" i="2"/>
  <c r="BJ71" i="2"/>
  <c r="BK5" i="2"/>
  <c r="BJ70" i="2"/>
  <c r="BJ58" i="2"/>
  <c r="BJ46" i="2"/>
  <c r="BK10" i="2"/>
  <c r="BJ51" i="2"/>
  <c r="BJ63" i="2"/>
  <c r="BJ75" i="2"/>
  <c r="BK8" i="2"/>
  <c r="BJ49" i="2"/>
  <c r="BJ61" i="2"/>
  <c r="BJ73" i="2"/>
  <c r="BI88" i="2"/>
  <c r="BI85" i="2"/>
  <c r="BI81" i="2"/>
  <c r="AM42" i="3"/>
  <c r="AM28" i="3"/>
  <c r="BK9" i="2"/>
  <c r="BJ62" i="2"/>
  <c r="BJ74" i="2"/>
  <c r="BJ50" i="2"/>
  <c r="BJ45" i="2"/>
  <c r="BJ57" i="2"/>
  <c r="BK4" i="2"/>
  <c r="BJ69" i="2"/>
  <c r="L10" i="5"/>
  <c r="J13" i="5"/>
  <c r="I16" i="5"/>
  <c r="M7" i="6" s="1"/>
  <c r="AV22" i="5"/>
  <c r="AW22" i="5" s="1"/>
  <c r="AX22" i="5" s="1"/>
  <c r="AY22" i="5" s="1"/>
  <c r="AZ22" i="5" s="1"/>
  <c r="BA22" i="5" s="1"/>
  <c r="BB22" i="5" s="1"/>
  <c r="BC22" i="5" s="1"/>
  <c r="BD22" i="5" s="1"/>
  <c r="BE22" i="5" s="1"/>
  <c r="BF22" i="5" s="1"/>
  <c r="BG22" i="5" s="1"/>
  <c r="BH22" i="5" s="1"/>
  <c r="BI22" i="5" s="1"/>
  <c r="BJ22" i="5" s="1"/>
  <c r="BK22" i="5" s="1"/>
  <c r="BL22" i="5" s="1"/>
  <c r="E24" i="5"/>
  <c r="F21" i="5"/>
  <c r="D24" i="5"/>
  <c r="E11" i="5"/>
  <c r="AM36" i="3" l="1"/>
  <c r="AM37" i="3" s="1"/>
  <c r="BI89" i="2"/>
  <c r="BJ65" i="2"/>
  <c r="AM50" i="3"/>
  <c r="AM51" i="3" s="1"/>
  <c r="BJ53" i="2"/>
  <c r="BK36" i="2"/>
  <c r="BK77" i="2" s="1"/>
  <c r="AQ38" i="4"/>
  <c r="BM24" i="2"/>
  <c r="AS26" i="4"/>
  <c r="AR14" i="4"/>
  <c r="AN47" i="3"/>
  <c r="AN49" i="3"/>
  <c r="AN48" i="3"/>
  <c r="AN46" i="3"/>
  <c r="AN35" i="3"/>
  <c r="AN34" i="3"/>
  <c r="AN33" i="3"/>
  <c r="AN32" i="3"/>
  <c r="BL12" i="2"/>
  <c r="BJ82" i="2"/>
  <c r="AN43" i="3"/>
  <c r="AN29" i="3"/>
  <c r="BK63" i="2"/>
  <c r="BK51" i="2"/>
  <c r="BK75" i="2"/>
  <c r="BL10" i="2"/>
  <c r="BL6" i="2"/>
  <c r="BK47" i="2"/>
  <c r="BK59" i="2"/>
  <c r="BK71" i="2"/>
  <c r="BJ81" i="2"/>
  <c r="AN28" i="3"/>
  <c r="AN42" i="3"/>
  <c r="BJ86" i="2"/>
  <c r="BJ85" i="2"/>
  <c r="BL5" i="2"/>
  <c r="BK46" i="2"/>
  <c r="BK70" i="2"/>
  <c r="BK58" i="2"/>
  <c r="BJ84" i="2"/>
  <c r="AN45" i="3"/>
  <c r="AN31" i="3"/>
  <c r="BL9" i="2"/>
  <c r="BK50" i="2"/>
  <c r="BK62" i="2"/>
  <c r="BK74" i="2"/>
  <c r="BL11" i="2"/>
  <c r="BK64" i="2"/>
  <c r="BK52" i="2"/>
  <c r="BK76" i="2"/>
  <c r="BL8" i="2"/>
  <c r="BK49" i="2"/>
  <c r="BK61" i="2"/>
  <c r="BK73" i="2"/>
  <c r="BL4" i="2"/>
  <c r="BK57" i="2"/>
  <c r="BK69" i="2"/>
  <c r="BK45" i="2"/>
  <c r="BJ87" i="2"/>
  <c r="BJ83" i="2"/>
  <c r="AN44" i="3"/>
  <c r="AN30" i="3"/>
  <c r="BL7" i="2"/>
  <c r="BK48" i="2"/>
  <c r="BK60" i="2"/>
  <c r="BK72" i="2"/>
  <c r="BJ88" i="2"/>
  <c r="K13" i="5"/>
  <c r="J16" i="5"/>
  <c r="N7" i="6" s="1"/>
  <c r="M10" i="5"/>
  <c r="F11" i="5"/>
  <c r="F15" i="5" s="1"/>
  <c r="F24" i="5"/>
  <c r="G21" i="5"/>
  <c r="E15" i="5"/>
  <c r="I8" i="6" s="1"/>
  <c r="AN36" i="3" l="1"/>
  <c r="AN37" i="3" s="1"/>
  <c r="BK65" i="2"/>
  <c r="BK53" i="2"/>
  <c r="AN50" i="3"/>
  <c r="AN51" i="3" s="1"/>
  <c r="BJ89" i="2"/>
  <c r="BL36" i="2"/>
  <c r="BL65" i="2" s="1"/>
  <c r="AR38" i="4"/>
  <c r="BN24" i="2"/>
  <c r="AT26" i="4"/>
  <c r="AS14" i="4"/>
  <c r="AO49" i="3"/>
  <c r="AO48" i="3"/>
  <c r="AO47" i="3"/>
  <c r="AO46" i="3"/>
  <c r="AO35" i="3"/>
  <c r="AO34" i="3"/>
  <c r="AO33" i="3"/>
  <c r="AO32" i="3"/>
  <c r="BM12" i="2"/>
  <c r="BK82" i="2"/>
  <c r="AO29" i="3"/>
  <c r="AO43" i="3"/>
  <c r="BM10" i="2"/>
  <c r="BL51" i="2"/>
  <c r="BL63" i="2"/>
  <c r="BL75" i="2"/>
  <c r="BK86" i="2"/>
  <c r="BK84" i="2"/>
  <c r="AO31" i="3"/>
  <c r="AO45" i="3"/>
  <c r="BM7" i="2"/>
  <c r="BL48" i="2"/>
  <c r="BL60" i="2"/>
  <c r="BL72" i="2"/>
  <c r="BK88" i="2"/>
  <c r="BK87" i="2"/>
  <c r="BM9" i="2"/>
  <c r="BL50" i="2"/>
  <c r="BL62" i="2"/>
  <c r="BL74" i="2"/>
  <c r="BK83" i="2"/>
  <c r="AO44" i="3"/>
  <c r="AO30" i="3"/>
  <c r="BK85" i="2"/>
  <c r="BM5" i="2"/>
  <c r="BL46" i="2"/>
  <c r="BL70" i="2"/>
  <c r="BL58" i="2"/>
  <c r="BM8" i="2"/>
  <c r="BL49" i="2"/>
  <c r="BL61" i="2"/>
  <c r="BL73" i="2"/>
  <c r="BK81" i="2"/>
  <c r="AO28" i="3"/>
  <c r="AO42" i="3"/>
  <c r="BM4" i="2"/>
  <c r="BL45" i="2"/>
  <c r="BL57" i="2"/>
  <c r="BL69" i="2"/>
  <c r="BM11" i="2"/>
  <c r="BL52" i="2"/>
  <c r="BL64" i="2"/>
  <c r="BL76" i="2"/>
  <c r="BM6" i="2"/>
  <c r="BL47" i="2"/>
  <c r="BL59" i="2"/>
  <c r="BL71" i="2"/>
  <c r="W23" i="4"/>
  <c r="W24" i="4"/>
  <c r="W22" i="4"/>
  <c r="W11" i="4"/>
  <c r="W12" i="4"/>
  <c r="W10" i="4"/>
  <c r="N10" i="5"/>
  <c r="L13" i="5"/>
  <c r="K16" i="5"/>
  <c r="O7" i="6" s="1"/>
  <c r="J8" i="6"/>
  <c r="G11" i="5"/>
  <c r="H11" i="5" s="1"/>
  <c r="H21" i="5"/>
  <c r="G24" i="5"/>
  <c r="AO36" i="3" l="1"/>
  <c r="AO37" i="3" s="1"/>
  <c r="BL53" i="2"/>
  <c r="AO50" i="3"/>
  <c r="AO51" i="3" s="1"/>
  <c r="BK89" i="2"/>
  <c r="BL77" i="2"/>
  <c r="BM36" i="2"/>
  <c r="BM77" i="2" s="1"/>
  <c r="AS38" i="4"/>
  <c r="BO24" i="2"/>
  <c r="AU26" i="4"/>
  <c r="AT14" i="4"/>
  <c r="AP48" i="3"/>
  <c r="AP49" i="3"/>
  <c r="AP47" i="3"/>
  <c r="AP46" i="3"/>
  <c r="AP35" i="3"/>
  <c r="AP34" i="3"/>
  <c r="AP33" i="3"/>
  <c r="AP32" i="3"/>
  <c r="BN12" i="2"/>
  <c r="BL82" i="2"/>
  <c r="AP29" i="3"/>
  <c r="AP43" i="3"/>
  <c r="BL88" i="2"/>
  <c r="BN5" i="2"/>
  <c r="BM46" i="2"/>
  <c r="BM58" i="2"/>
  <c r="BM70" i="2"/>
  <c r="BL87" i="2"/>
  <c r="BN11" i="2"/>
  <c r="BM52" i="2"/>
  <c r="BM64" i="2"/>
  <c r="BM76" i="2"/>
  <c r="BL86" i="2"/>
  <c r="BL81" i="2"/>
  <c r="AP28" i="3"/>
  <c r="AP42" i="3"/>
  <c r="BN4" i="2"/>
  <c r="BM45" i="2"/>
  <c r="BM57" i="2"/>
  <c r="BM69" i="2"/>
  <c r="BN10" i="2"/>
  <c r="BM63" i="2"/>
  <c r="BM51" i="2"/>
  <c r="BM75" i="2"/>
  <c r="BN9" i="2"/>
  <c r="BM50" i="2"/>
  <c r="BM62" i="2"/>
  <c r="BM74" i="2"/>
  <c r="BL83" i="2"/>
  <c r="AP30" i="3"/>
  <c r="AP44" i="3"/>
  <c r="BN8" i="2"/>
  <c r="BM49" i="2"/>
  <c r="BM61" i="2"/>
  <c r="BM73" i="2"/>
  <c r="BN7" i="2"/>
  <c r="BM48" i="2"/>
  <c r="BM60" i="2"/>
  <c r="BM72" i="2"/>
  <c r="BN6" i="2"/>
  <c r="BM47" i="2"/>
  <c r="BM59" i="2"/>
  <c r="BM71" i="2"/>
  <c r="BL85" i="2"/>
  <c r="BL84" i="2"/>
  <c r="AP45" i="3"/>
  <c r="AP31" i="3"/>
  <c r="X22" i="4"/>
  <c r="X23" i="4"/>
  <c r="X24" i="4"/>
  <c r="X12" i="4"/>
  <c r="X10" i="4"/>
  <c r="X11" i="4"/>
  <c r="M13" i="5"/>
  <c r="L16" i="5"/>
  <c r="P7" i="6" s="1"/>
  <c r="O10" i="5"/>
  <c r="G15" i="5"/>
  <c r="K8" i="6" s="1"/>
  <c r="I21" i="5"/>
  <c r="H24" i="5"/>
  <c r="I11" i="5"/>
  <c r="H15" i="5"/>
  <c r="L8" i="6" s="1"/>
  <c r="AP36" i="3" l="1"/>
  <c r="AP37" i="3" s="1"/>
  <c r="BM53" i="2"/>
  <c r="BL89" i="2"/>
  <c r="AP50" i="3"/>
  <c r="AP51" i="3" s="1"/>
  <c r="BM65" i="2"/>
  <c r="BN36" i="2"/>
  <c r="BN77" i="2" s="1"/>
  <c r="AT38" i="4"/>
  <c r="BP24" i="2"/>
  <c r="AV26" i="4"/>
  <c r="AU14" i="4"/>
  <c r="AQ49" i="3"/>
  <c r="AQ48" i="3"/>
  <c r="AQ47" i="3"/>
  <c r="AQ46" i="3"/>
  <c r="AQ35" i="3"/>
  <c r="AQ32" i="3"/>
  <c r="AQ34" i="3"/>
  <c r="AQ33" i="3"/>
  <c r="BO12" i="2"/>
  <c r="BM86" i="2"/>
  <c r="BM81" i="2"/>
  <c r="AQ28" i="3"/>
  <c r="AQ42" i="3"/>
  <c r="BO10" i="2"/>
  <c r="BN51" i="2"/>
  <c r="BN63" i="2"/>
  <c r="BN75" i="2"/>
  <c r="BM83" i="2"/>
  <c r="AQ30" i="3"/>
  <c r="AQ44" i="3"/>
  <c r="BM85" i="2"/>
  <c r="BO9" i="2"/>
  <c r="BN62" i="2"/>
  <c r="BN50" i="2"/>
  <c r="BN74" i="2"/>
  <c r="BO4" i="2"/>
  <c r="BN45" i="2"/>
  <c r="BN57" i="2"/>
  <c r="BN69" i="2"/>
  <c r="BO7" i="2"/>
  <c r="BN48" i="2"/>
  <c r="BN60" i="2"/>
  <c r="BN72" i="2"/>
  <c r="BO6" i="2"/>
  <c r="BN47" i="2"/>
  <c r="BN71" i="2"/>
  <c r="BN59" i="2"/>
  <c r="BO8" i="2"/>
  <c r="BN49" i="2"/>
  <c r="BN73" i="2"/>
  <c r="BN61" i="2"/>
  <c r="BM88" i="2"/>
  <c r="BM82" i="2"/>
  <c r="AQ29" i="3"/>
  <c r="AQ43" i="3"/>
  <c r="BM84" i="2"/>
  <c r="AQ45" i="3"/>
  <c r="AQ31" i="3"/>
  <c r="BM87" i="2"/>
  <c r="BN52" i="2"/>
  <c r="BN64" i="2"/>
  <c r="BN76" i="2"/>
  <c r="BO11" i="2"/>
  <c r="BO5" i="2"/>
  <c r="BN58" i="2"/>
  <c r="BN70" i="2"/>
  <c r="BN46" i="2"/>
  <c r="Y22" i="4"/>
  <c r="Y24" i="4"/>
  <c r="Y23" i="4"/>
  <c r="Y11" i="4"/>
  <c r="Y10" i="4"/>
  <c r="Y12" i="4"/>
  <c r="P10" i="5"/>
  <c r="N13" i="5"/>
  <c r="M16" i="5"/>
  <c r="Q7" i="6" s="1"/>
  <c r="J21" i="5"/>
  <c r="I24" i="5"/>
  <c r="J11" i="5"/>
  <c r="I15" i="5"/>
  <c r="M8" i="6" s="1"/>
  <c r="G4" i="6"/>
  <c r="H3" i="6"/>
  <c r="H4" i="6" s="1"/>
  <c r="AQ36" i="3" l="1"/>
  <c r="AQ37" i="3" s="1"/>
  <c r="AQ50" i="3"/>
  <c r="AQ51" i="3" s="1"/>
  <c r="BM89" i="2"/>
  <c r="BN65" i="2"/>
  <c r="BN53" i="2"/>
  <c r="BO36" i="2"/>
  <c r="BO53" i="2" s="1"/>
  <c r="AU38" i="4"/>
  <c r="BQ24" i="2"/>
  <c r="AW26" i="4"/>
  <c r="AV14" i="4"/>
  <c r="AR49" i="3"/>
  <c r="AR47" i="3"/>
  <c r="AR48" i="3"/>
  <c r="AR46" i="3"/>
  <c r="AR35" i="3"/>
  <c r="AR34" i="3"/>
  <c r="AR33" i="3"/>
  <c r="AR32" i="3"/>
  <c r="BP12" i="2"/>
  <c r="BN87" i="2"/>
  <c r="BP5" i="2"/>
  <c r="BO46" i="2"/>
  <c r="BO58" i="2"/>
  <c r="BO70" i="2"/>
  <c r="BP6" i="2"/>
  <c r="BO59" i="2"/>
  <c r="BO71" i="2"/>
  <c r="BO47" i="2"/>
  <c r="BN88" i="2"/>
  <c r="BN86" i="2"/>
  <c r="BN81" i="2"/>
  <c r="AR42" i="3"/>
  <c r="AR28" i="3"/>
  <c r="BN82" i="2"/>
  <c r="AR43" i="3"/>
  <c r="AR29" i="3"/>
  <c r="BN85" i="2"/>
  <c r="BN84" i="2"/>
  <c r="AR45" i="3"/>
  <c r="AR31" i="3"/>
  <c r="BP10" i="2"/>
  <c r="BO63" i="2"/>
  <c r="BO75" i="2"/>
  <c r="BO51" i="2"/>
  <c r="BP11" i="2"/>
  <c r="BO52" i="2"/>
  <c r="BO76" i="2"/>
  <c r="BO64" i="2"/>
  <c r="BN83" i="2"/>
  <c r="AR44" i="3"/>
  <c r="AR30" i="3"/>
  <c r="BP4" i="2"/>
  <c r="BO69" i="2"/>
  <c r="BO45" i="2"/>
  <c r="BO57" i="2"/>
  <c r="BP8" i="2"/>
  <c r="BO49" i="2"/>
  <c r="BO73" i="2"/>
  <c r="BO61" i="2"/>
  <c r="BP7" i="2"/>
  <c r="BO48" i="2"/>
  <c r="BO60" i="2"/>
  <c r="BO72" i="2"/>
  <c r="BP9" i="2"/>
  <c r="BO50" i="2"/>
  <c r="BO62" i="2"/>
  <c r="BO74" i="2"/>
  <c r="Z24" i="4"/>
  <c r="Z23" i="4"/>
  <c r="Z22" i="4"/>
  <c r="Z10" i="4"/>
  <c r="Z12" i="4"/>
  <c r="Z11" i="4"/>
  <c r="O13" i="5"/>
  <c r="N16" i="5"/>
  <c r="R7" i="6" s="1"/>
  <c r="Q10" i="5"/>
  <c r="K21" i="5"/>
  <c r="J24" i="5"/>
  <c r="I3" i="6"/>
  <c r="K11" i="5"/>
  <c r="J15" i="5"/>
  <c r="N8" i="6" s="1"/>
  <c r="BO77" i="2" l="1"/>
  <c r="BN89" i="2"/>
  <c r="BO65" i="2"/>
  <c r="AR50" i="3"/>
  <c r="AR51" i="3" s="1"/>
  <c r="AR36" i="3"/>
  <c r="AR37" i="3" s="1"/>
  <c r="BP36" i="2"/>
  <c r="BP65" i="2" s="1"/>
  <c r="AV38" i="4"/>
  <c r="BR24" i="2"/>
  <c r="AX26" i="4"/>
  <c r="AW14" i="4"/>
  <c r="AS49" i="3"/>
  <c r="AS48" i="3"/>
  <c r="AS47" i="3"/>
  <c r="AS46" i="3"/>
  <c r="AS34" i="3"/>
  <c r="AS35" i="3"/>
  <c r="AS33" i="3"/>
  <c r="AS32" i="3"/>
  <c r="BQ12" i="2"/>
  <c r="BQ9" i="2"/>
  <c r="BP62" i="2"/>
  <c r="BP74" i="2"/>
  <c r="BP50" i="2"/>
  <c r="BO88" i="2"/>
  <c r="BO83" i="2"/>
  <c r="AS44" i="3"/>
  <c r="AS30" i="3"/>
  <c r="BO84" i="2"/>
  <c r="AS31" i="3"/>
  <c r="AS45" i="3"/>
  <c r="BQ11" i="2"/>
  <c r="BP64" i="2"/>
  <c r="BP52" i="2"/>
  <c r="BP76" i="2"/>
  <c r="BQ7" i="2"/>
  <c r="BP48" i="2"/>
  <c r="BP60" i="2"/>
  <c r="BP72" i="2"/>
  <c r="BQ4" i="2"/>
  <c r="BP45" i="2"/>
  <c r="BP57" i="2"/>
  <c r="BP69" i="2"/>
  <c r="BO87" i="2"/>
  <c r="BQ6" i="2"/>
  <c r="BP47" i="2"/>
  <c r="BP59" i="2"/>
  <c r="BP71" i="2"/>
  <c r="BO82" i="2"/>
  <c r="AS29" i="3"/>
  <c r="AS43" i="3"/>
  <c r="BO81" i="2"/>
  <c r="AS42" i="3"/>
  <c r="AS28" i="3"/>
  <c r="BQ5" i="2"/>
  <c r="BP46" i="2"/>
  <c r="BP58" i="2"/>
  <c r="BP70" i="2"/>
  <c r="BQ8" i="2"/>
  <c r="BP73" i="2"/>
  <c r="BP49" i="2"/>
  <c r="BP61" i="2"/>
  <c r="BO86" i="2"/>
  <c r="BO85" i="2"/>
  <c r="BQ10" i="2"/>
  <c r="BP51" i="2"/>
  <c r="BP75" i="2"/>
  <c r="BP63" i="2"/>
  <c r="AA23" i="4"/>
  <c r="AA22" i="4"/>
  <c r="AA24" i="4"/>
  <c r="AA11" i="4"/>
  <c r="AA12" i="4"/>
  <c r="AA10" i="4"/>
  <c r="R10" i="5"/>
  <c r="P13" i="5"/>
  <c r="O16" i="5"/>
  <c r="S7" i="6" s="1"/>
  <c r="L21" i="5"/>
  <c r="K24" i="5"/>
  <c r="J3" i="6"/>
  <c r="I4" i="6"/>
  <c r="L11" i="5"/>
  <c r="K15" i="5"/>
  <c r="O8" i="6" s="1"/>
  <c r="BO89" i="2" l="1"/>
  <c r="BP53" i="2"/>
  <c r="AS50" i="3"/>
  <c r="AS51" i="3" s="1"/>
  <c r="AS36" i="3"/>
  <c r="AS37" i="3" s="1"/>
  <c r="BP77" i="2"/>
  <c r="BQ36" i="2"/>
  <c r="BQ77" i="2" s="1"/>
  <c r="AW38" i="4"/>
  <c r="BS24" i="2"/>
  <c r="AY26" i="4"/>
  <c r="AX14" i="4"/>
  <c r="AT49" i="3"/>
  <c r="AT48" i="3"/>
  <c r="AT46" i="3"/>
  <c r="AT47" i="3"/>
  <c r="AT33" i="3"/>
  <c r="AT35" i="3"/>
  <c r="AT34" i="3"/>
  <c r="AT32" i="3"/>
  <c r="BR12" i="2"/>
  <c r="BP83" i="2"/>
  <c r="AT30" i="3"/>
  <c r="AT44" i="3"/>
  <c r="BP81" i="2"/>
  <c r="AT28" i="3"/>
  <c r="AT42" i="3"/>
  <c r="BP85" i="2"/>
  <c r="BR6" i="2"/>
  <c r="BQ47" i="2"/>
  <c r="BQ59" i="2"/>
  <c r="BQ71" i="2"/>
  <c r="BR4" i="2"/>
  <c r="BQ45" i="2"/>
  <c r="BQ69" i="2"/>
  <c r="BQ57" i="2"/>
  <c r="BR11" i="2"/>
  <c r="BQ52" i="2"/>
  <c r="BQ64" i="2"/>
  <c r="BQ76" i="2"/>
  <c r="BR10" i="2"/>
  <c r="BQ75" i="2"/>
  <c r="BQ63" i="2"/>
  <c r="BQ51" i="2"/>
  <c r="BP84" i="2"/>
  <c r="AT31" i="3"/>
  <c r="AT45" i="3"/>
  <c r="BP86" i="2"/>
  <c r="BR7" i="2"/>
  <c r="BQ48" i="2"/>
  <c r="BQ60" i="2"/>
  <c r="BQ72" i="2"/>
  <c r="BR5" i="2"/>
  <c r="BQ46" i="2"/>
  <c r="BQ58" i="2"/>
  <c r="BQ70" i="2"/>
  <c r="BP88" i="2"/>
  <c r="BR8" i="2"/>
  <c r="BQ61" i="2"/>
  <c r="BQ73" i="2"/>
  <c r="BQ49" i="2"/>
  <c r="BP87" i="2"/>
  <c r="BP82" i="2"/>
  <c r="AT43" i="3"/>
  <c r="AT29" i="3"/>
  <c r="BR9" i="2"/>
  <c r="BQ50" i="2"/>
  <c r="BQ62" i="2"/>
  <c r="BQ74" i="2"/>
  <c r="AB24" i="4"/>
  <c r="AB22" i="4"/>
  <c r="AB23" i="4"/>
  <c r="AB12" i="4"/>
  <c r="AB11" i="4"/>
  <c r="AB10" i="4"/>
  <c r="Q13" i="5"/>
  <c r="P16" i="5"/>
  <c r="T7" i="6" s="1"/>
  <c r="S10" i="5"/>
  <c r="M21" i="5"/>
  <c r="L24" i="5"/>
  <c r="K3" i="6"/>
  <c r="J4" i="6"/>
  <c r="M11" i="5"/>
  <c r="L15" i="5"/>
  <c r="P8" i="6" s="1"/>
  <c r="AT50" i="3" l="1"/>
  <c r="AT51" i="3" s="1"/>
  <c r="AT36" i="3"/>
  <c r="AT37" i="3" s="1"/>
  <c r="BP89" i="2"/>
  <c r="BQ65" i="2"/>
  <c r="BQ53" i="2"/>
  <c r="BR36" i="2"/>
  <c r="BR77" i="2" s="1"/>
  <c r="AX38" i="4"/>
  <c r="BT24" i="2"/>
  <c r="AZ26" i="4"/>
  <c r="AY14" i="4"/>
  <c r="AU49" i="3"/>
  <c r="AU48" i="3"/>
  <c r="AU47" i="3"/>
  <c r="AU46" i="3"/>
  <c r="AU35" i="3"/>
  <c r="AU34" i="3"/>
  <c r="AU33" i="3"/>
  <c r="AU32" i="3"/>
  <c r="BS12" i="2"/>
  <c r="BQ82" i="2"/>
  <c r="AU29" i="3"/>
  <c r="AU43" i="3"/>
  <c r="BS4" i="2"/>
  <c r="BR45" i="2"/>
  <c r="BR69" i="2"/>
  <c r="BR57" i="2"/>
  <c r="BS5" i="2"/>
  <c r="BR70" i="2"/>
  <c r="BR46" i="2"/>
  <c r="BR58" i="2"/>
  <c r="BS8" i="2"/>
  <c r="BR49" i="2"/>
  <c r="BR61" i="2"/>
  <c r="BR73" i="2"/>
  <c r="BS7" i="2"/>
  <c r="BR48" i="2"/>
  <c r="BR60" i="2"/>
  <c r="BR72" i="2"/>
  <c r="BQ87" i="2"/>
  <c r="BS9" i="2"/>
  <c r="BR62" i="2"/>
  <c r="BR74" i="2"/>
  <c r="BR50" i="2"/>
  <c r="BQ88" i="2"/>
  <c r="BQ84" i="2"/>
  <c r="AU45" i="3"/>
  <c r="AU31" i="3"/>
  <c r="BS11" i="2"/>
  <c r="BR64" i="2"/>
  <c r="BR52" i="2"/>
  <c r="BR76" i="2"/>
  <c r="BS10" i="2"/>
  <c r="BR51" i="2"/>
  <c r="BR63" i="2"/>
  <c r="BR75" i="2"/>
  <c r="BQ83" i="2"/>
  <c r="AU30" i="3"/>
  <c r="AU44" i="3"/>
  <c r="BS6" i="2"/>
  <c r="BR47" i="2"/>
  <c r="BR59" i="2"/>
  <c r="BR71" i="2"/>
  <c r="BQ86" i="2"/>
  <c r="BQ85" i="2"/>
  <c r="BQ81" i="2"/>
  <c r="AU28" i="3"/>
  <c r="AU42" i="3"/>
  <c r="AC22" i="4"/>
  <c r="AC23" i="4"/>
  <c r="AC24" i="4"/>
  <c r="AC11" i="4"/>
  <c r="AC10" i="4"/>
  <c r="AC12" i="4"/>
  <c r="T10" i="5"/>
  <c r="R13" i="5"/>
  <c r="Q16" i="5"/>
  <c r="U7" i="6" s="1"/>
  <c r="N21" i="5"/>
  <c r="M24" i="5"/>
  <c r="L3" i="6"/>
  <c r="K4" i="6"/>
  <c r="N11" i="5"/>
  <c r="M15" i="5"/>
  <c r="Q8" i="6" s="1"/>
  <c r="BR53" i="2" l="1"/>
  <c r="AU36" i="3"/>
  <c r="AU37" i="3" s="1"/>
  <c r="BQ89" i="2"/>
  <c r="BR65" i="2"/>
  <c r="AU50" i="3"/>
  <c r="AU51" i="3" s="1"/>
  <c r="BS36" i="2"/>
  <c r="BS77" i="2" s="1"/>
  <c r="AY38" i="4"/>
  <c r="BU24" i="2"/>
  <c r="BA26" i="4"/>
  <c r="AZ14" i="4"/>
  <c r="AV47" i="3"/>
  <c r="AV49" i="3"/>
  <c r="AV48" i="3"/>
  <c r="AV46" i="3"/>
  <c r="AV33" i="3"/>
  <c r="AV35" i="3"/>
  <c r="AV34" i="3"/>
  <c r="AV32" i="3"/>
  <c r="BT12" i="2"/>
  <c r="BT5" i="2"/>
  <c r="BS46" i="2"/>
  <c r="BS58" i="2"/>
  <c r="BS70" i="2"/>
  <c r="BT6" i="2"/>
  <c r="BS59" i="2"/>
  <c r="BS71" i="2"/>
  <c r="BS47" i="2"/>
  <c r="BR88" i="2"/>
  <c r="BR85" i="2"/>
  <c r="BT7" i="2"/>
  <c r="BS48" i="2"/>
  <c r="BS72" i="2"/>
  <c r="BS60" i="2"/>
  <c r="BR83" i="2"/>
  <c r="AV30" i="3"/>
  <c r="AV44" i="3"/>
  <c r="BR81" i="2"/>
  <c r="AV28" i="3"/>
  <c r="AV42" i="3"/>
  <c r="BT11" i="2"/>
  <c r="BS52" i="2"/>
  <c r="BS76" i="2"/>
  <c r="BS64" i="2"/>
  <c r="BT4" i="2"/>
  <c r="BS69" i="2"/>
  <c r="BS45" i="2"/>
  <c r="BS57" i="2"/>
  <c r="BT9" i="2"/>
  <c r="BS50" i="2"/>
  <c r="BS74" i="2"/>
  <c r="BS62" i="2"/>
  <c r="BR82" i="2"/>
  <c r="AV43" i="3"/>
  <c r="AV29" i="3"/>
  <c r="BT10" i="2"/>
  <c r="BS63" i="2"/>
  <c r="BS51" i="2"/>
  <c r="BS75" i="2"/>
  <c r="BR86" i="2"/>
  <c r="BT8" i="2"/>
  <c r="BS49" i="2"/>
  <c r="BS61" i="2"/>
  <c r="BS73" i="2"/>
  <c r="BR84" i="2"/>
  <c r="AV31" i="3"/>
  <c r="AV45" i="3"/>
  <c r="BR87" i="2"/>
  <c r="AD22" i="4"/>
  <c r="AD23" i="4"/>
  <c r="AD24" i="4"/>
  <c r="AD12" i="4"/>
  <c r="AD10" i="4"/>
  <c r="AD11" i="4"/>
  <c r="S13" i="5"/>
  <c r="R16" i="5"/>
  <c r="V7" i="6" s="1"/>
  <c r="U10" i="5"/>
  <c r="O21" i="5"/>
  <c r="N24" i="5"/>
  <c r="M3" i="6"/>
  <c r="L4" i="6"/>
  <c r="O11" i="5"/>
  <c r="N15" i="5"/>
  <c r="R8" i="6" s="1"/>
  <c r="AV36" i="3" l="1"/>
  <c r="AV37" i="3" s="1"/>
  <c r="AV50" i="3"/>
  <c r="AV51" i="3" s="1"/>
  <c r="BR89" i="2"/>
  <c r="BS65" i="2"/>
  <c r="BS53" i="2"/>
  <c r="BT36" i="2"/>
  <c r="BT77" i="2" s="1"/>
  <c r="AZ38" i="4"/>
  <c r="BV24" i="2"/>
  <c r="BB26" i="4"/>
  <c r="BA14" i="4"/>
  <c r="AW49" i="3"/>
  <c r="AW48" i="3"/>
  <c r="AW47" i="3"/>
  <c r="AW46" i="3"/>
  <c r="AW35" i="3"/>
  <c r="AW34" i="3"/>
  <c r="AW33" i="3"/>
  <c r="AW32" i="3"/>
  <c r="BU12" i="2"/>
  <c r="BS81" i="2"/>
  <c r="AW28" i="3"/>
  <c r="AW42" i="3"/>
  <c r="BU4" i="2"/>
  <c r="BT45" i="2"/>
  <c r="BT57" i="2"/>
  <c r="BT69" i="2"/>
  <c r="BS83" i="2"/>
  <c r="AW44" i="3"/>
  <c r="AW30" i="3"/>
  <c r="BU6" i="2"/>
  <c r="BT47" i="2"/>
  <c r="BT59" i="2"/>
  <c r="BT71" i="2"/>
  <c r="BS86" i="2"/>
  <c r="BU9" i="2"/>
  <c r="BT50" i="2"/>
  <c r="BT74" i="2"/>
  <c r="BT62" i="2"/>
  <c r="BS88" i="2"/>
  <c r="BU7" i="2"/>
  <c r="BT60" i="2"/>
  <c r="BT72" i="2"/>
  <c r="BT48" i="2"/>
  <c r="BS87" i="2"/>
  <c r="BS85" i="2"/>
  <c r="BU10" i="2"/>
  <c r="BT51" i="2"/>
  <c r="BT63" i="2"/>
  <c r="BT75" i="2"/>
  <c r="BU11" i="2"/>
  <c r="BT64" i="2"/>
  <c r="BT76" i="2"/>
  <c r="BT52" i="2"/>
  <c r="BS82" i="2"/>
  <c r="AW29" i="3"/>
  <c r="AW43" i="3"/>
  <c r="BU8" i="2"/>
  <c r="BT49" i="2"/>
  <c r="BT61" i="2"/>
  <c r="BT73" i="2"/>
  <c r="BS84" i="2"/>
  <c r="AW45" i="3"/>
  <c r="AW31" i="3"/>
  <c r="BU5" i="2"/>
  <c r="BT46" i="2"/>
  <c r="BT70" i="2"/>
  <c r="BT58" i="2"/>
  <c r="AE24" i="4"/>
  <c r="AE23" i="4"/>
  <c r="AE22" i="4"/>
  <c r="AE11" i="4"/>
  <c r="AE10" i="4"/>
  <c r="AE12" i="4"/>
  <c r="U35" i="4"/>
  <c r="U36" i="4"/>
  <c r="V10" i="5"/>
  <c r="T13" i="5"/>
  <c r="S16" i="5"/>
  <c r="W7" i="6" s="1"/>
  <c r="P21" i="5"/>
  <c r="O24" i="5"/>
  <c r="N3" i="6"/>
  <c r="M4" i="6"/>
  <c r="P11" i="5"/>
  <c r="O15" i="5"/>
  <c r="S8" i="6" s="1"/>
  <c r="U13" i="4"/>
  <c r="BS89" i="2" l="1"/>
  <c r="AW50" i="3"/>
  <c r="AW51" i="3" s="1"/>
  <c r="AW36" i="3"/>
  <c r="AW37" i="3" s="1"/>
  <c r="BT65" i="2"/>
  <c r="BT53" i="2"/>
  <c r="BU36" i="2"/>
  <c r="BU53" i="2" s="1"/>
  <c r="BA38" i="4"/>
  <c r="BW24" i="2"/>
  <c r="BC26" i="4"/>
  <c r="BB14" i="4"/>
  <c r="AX49" i="3"/>
  <c r="AX48" i="3"/>
  <c r="AX47" i="3"/>
  <c r="AX46" i="3"/>
  <c r="AX35" i="3"/>
  <c r="AX34" i="3"/>
  <c r="AX33" i="3"/>
  <c r="AX32" i="3"/>
  <c r="BV12" i="2"/>
  <c r="BV8" i="2"/>
  <c r="BU49" i="2"/>
  <c r="BU61" i="2"/>
  <c r="BU73" i="2"/>
  <c r="BT84" i="2"/>
  <c r="AX31" i="3"/>
  <c r="AX45" i="3"/>
  <c r="BT83" i="2"/>
  <c r="AX30" i="3"/>
  <c r="AX44" i="3"/>
  <c r="BV4" i="2"/>
  <c r="BU57" i="2"/>
  <c r="BU45" i="2"/>
  <c r="BU69" i="2"/>
  <c r="BV10" i="2"/>
  <c r="BU51" i="2"/>
  <c r="BU63" i="2"/>
  <c r="BU75" i="2"/>
  <c r="BT86" i="2"/>
  <c r="BV6" i="2"/>
  <c r="BU59" i="2"/>
  <c r="BU47" i="2"/>
  <c r="BU71" i="2"/>
  <c r="BT88" i="2"/>
  <c r="BV9" i="2"/>
  <c r="BU50" i="2"/>
  <c r="BU62" i="2"/>
  <c r="BU74" i="2"/>
  <c r="BV5" i="2"/>
  <c r="BU46" i="2"/>
  <c r="BU70" i="2"/>
  <c r="BU58" i="2"/>
  <c r="BV11" i="2"/>
  <c r="BU52" i="2"/>
  <c r="BU76" i="2"/>
  <c r="BU64" i="2"/>
  <c r="BT87" i="2"/>
  <c r="BV7" i="2"/>
  <c r="BU48" i="2"/>
  <c r="BU60" i="2"/>
  <c r="BU72" i="2"/>
  <c r="BT81" i="2"/>
  <c r="AX42" i="3"/>
  <c r="AX28" i="3"/>
  <c r="BT82" i="2"/>
  <c r="AX43" i="3"/>
  <c r="AX29" i="3"/>
  <c r="BT85" i="2"/>
  <c r="U34" i="4"/>
  <c r="AF23" i="4"/>
  <c r="AF22" i="4"/>
  <c r="AF24" i="4"/>
  <c r="AF10" i="4"/>
  <c r="AF11" i="4"/>
  <c r="AF12" i="4"/>
  <c r="U13" i="5"/>
  <c r="T16" i="5"/>
  <c r="X7" i="6" s="1"/>
  <c r="W10" i="5"/>
  <c r="Q21" i="5"/>
  <c r="P24" i="5"/>
  <c r="O3" i="6"/>
  <c r="N4" i="6"/>
  <c r="Q11" i="5"/>
  <c r="P15" i="5"/>
  <c r="T8" i="6" s="1"/>
  <c r="BU77" i="2" l="1"/>
  <c r="BT89" i="2"/>
  <c r="AX50" i="3"/>
  <c r="AX51" i="3" s="1"/>
  <c r="AX36" i="3"/>
  <c r="AX37" i="3" s="1"/>
  <c r="BU65" i="2"/>
  <c r="BV36" i="2"/>
  <c r="BV77" i="2" s="1"/>
  <c r="BB38" i="4"/>
  <c r="BX24" i="2"/>
  <c r="BD26" i="4"/>
  <c r="BC14" i="4"/>
  <c r="AY49" i="3"/>
  <c r="AY48" i="3"/>
  <c r="AY47" i="3"/>
  <c r="AY46" i="3"/>
  <c r="AY35" i="3"/>
  <c r="AY34" i="3"/>
  <c r="AY33" i="3"/>
  <c r="AY32" i="3"/>
  <c r="BW12" i="2"/>
  <c r="BU86" i="2"/>
  <c r="BU83" i="2"/>
  <c r="AY44" i="3"/>
  <c r="AY30" i="3"/>
  <c r="BU87" i="2"/>
  <c r="BU82" i="2"/>
  <c r="AY29" i="3"/>
  <c r="AY43" i="3"/>
  <c r="BW4" i="2"/>
  <c r="BV57" i="2"/>
  <c r="BV45" i="2"/>
  <c r="BV69" i="2"/>
  <c r="BU88" i="2"/>
  <c r="BW10" i="2"/>
  <c r="BV63" i="2"/>
  <c r="BV51" i="2"/>
  <c r="BV75" i="2"/>
  <c r="BU84" i="2"/>
  <c r="AY45" i="3"/>
  <c r="AY31" i="3"/>
  <c r="BW7" i="2"/>
  <c r="BV48" i="2"/>
  <c r="BV60" i="2"/>
  <c r="BV72" i="2"/>
  <c r="BW9" i="2"/>
  <c r="BV50" i="2"/>
  <c r="BV62" i="2"/>
  <c r="BV74" i="2"/>
  <c r="BW5" i="2"/>
  <c r="BV70" i="2"/>
  <c r="BV46" i="2"/>
  <c r="BV58" i="2"/>
  <c r="BU85" i="2"/>
  <c r="BW11" i="2"/>
  <c r="BV52" i="2"/>
  <c r="BV76" i="2"/>
  <c r="BV64" i="2"/>
  <c r="BW6" i="2"/>
  <c r="BV47" i="2"/>
  <c r="BV71" i="2"/>
  <c r="BV59" i="2"/>
  <c r="BU81" i="2"/>
  <c r="AY28" i="3"/>
  <c r="AY42" i="3"/>
  <c r="BW8" i="2"/>
  <c r="BV49" i="2"/>
  <c r="BV61" i="2"/>
  <c r="BV73" i="2"/>
  <c r="V34" i="4"/>
  <c r="V35" i="4"/>
  <c r="V36" i="4"/>
  <c r="AG22" i="4"/>
  <c r="AG24" i="4"/>
  <c r="AG23" i="4"/>
  <c r="AG11" i="4"/>
  <c r="AG12" i="4"/>
  <c r="AG10" i="4"/>
  <c r="X10" i="5"/>
  <c r="V13" i="5"/>
  <c r="U16" i="5"/>
  <c r="Y7" i="6" s="1"/>
  <c r="R21" i="5"/>
  <c r="Q24" i="5"/>
  <c r="P3" i="6"/>
  <c r="O4" i="6"/>
  <c r="R11" i="5"/>
  <c r="Q15" i="5"/>
  <c r="U8" i="6" s="1"/>
  <c r="AY50" i="3" l="1"/>
  <c r="AY51" i="3" s="1"/>
  <c r="AY36" i="3"/>
  <c r="AY37" i="3" s="1"/>
  <c r="BU89" i="2"/>
  <c r="BV65" i="2"/>
  <c r="BV53" i="2"/>
  <c r="BW36" i="2"/>
  <c r="BW65" i="2" s="1"/>
  <c r="BC38" i="4"/>
  <c r="BY24" i="2"/>
  <c r="BE26" i="4"/>
  <c r="BD14" i="4"/>
  <c r="AZ48" i="3"/>
  <c r="AZ49" i="3"/>
  <c r="AZ47" i="3"/>
  <c r="AZ46" i="3"/>
  <c r="AZ33" i="3"/>
  <c r="AZ35" i="3"/>
  <c r="AZ34" i="3"/>
  <c r="AZ32" i="3"/>
  <c r="BX12" i="2"/>
  <c r="BX8" i="2"/>
  <c r="BW49" i="2"/>
  <c r="BW61" i="2"/>
  <c r="BW73" i="2"/>
  <c r="BV87" i="2"/>
  <c r="BV84" i="2"/>
  <c r="AZ31" i="3"/>
  <c r="AZ45" i="3"/>
  <c r="BX7" i="2"/>
  <c r="BW48" i="2"/>
  <c r="BW72" i="2"/>
  <c r="BW60" i="2"/>
  <c r="BV82" i="2"/>
  <c r="AZ43" i="3"/>
  <c r="AZ29" i="3"/>
  <c r="BV88" i="2"/>
  <c r="BX9" i="2"/>
  <c r="BW50" i="2"/>
  <c r="BW62" i="2"/>
  <c r="BW74" i="2"/>
  <c r="BV81" i="2"/>
  <c r="AZ28" i="3"/>
  <c r="AZ42" i="3"/>
  <c r="BX5" i="2"/>
  <c r="BW46" i="2"/>
  <c r="BW58" i="2"/>
  <c r="BW70" i="2"/>
  <c r="BX4" i="2"/>
  <c r="BW69" i="2"/>
  <c r="BW57" i="2"/>
  <c r="BW45" i="2"/>
  <c r="BV83" i="2"/>
  <c r="AZ44" i="3"/>
  <c r="AZ30" i="3"/>
  <c r="BX11" i="2"/>
  <c r="BW52" i="2"/>
  <c r="BW64" i="2"/>
  <c r="BW76" i="2"/>
  <c r="BX10" i="2"/>
  <c r="BW51" i="2"/>
  <c r="BW63" i="2"/>
  <c r="BW75" i="2"/>
  <c r="BV85" i="2"/>
  <c r="BX6" i="2"/>
  <c r="BW59" i="2"/>
  <c r="BW71" i="2"/>
  <c r="BW47" i="2"/>
  <c r="BV86" i="2"/>
  <c r="W35" i="4"/>
  <c r="W36" i="4"/>
  <c r="W34" i="4"/>
  <c r="AH23" i="4"/>
  <c r="AH24" i="4"/>
  <c r="AH22" i="4"/>
  <c r="AH10" i="4"/>
  <c r="AH11" i="4"/>
  <c r="AH12" i="4"/>
  <c r="W13" i="5"/>
  <c r="V16" i="5"/>
  <c r="Z7" i="6" s="1"/>
  <c r="Y10" i="5"/>
  <c r="S21" i="5"/>
  <c r="R24" i="5"/>
  <c r="Q3" i="6"/>
  <c r="P4" i="6"/>
  <c r="S11" i="5"/>
  <c r="R15" i="5"/>
  <c r="V8" i="6" s="1"/>
  <c r="BW77" i="2" l="1"/>
  <c r="BW53" i="2"/>
  <c r="BV89" i="2"/>
  <c r="AZ36" i="3"/>
  <c r="AZ37" i="3" s="1"/>
  <c r="AZ50" i="3"/>
  <c r="AZ51" i="3" s="1"/>
  <c r="BX36" i="2"/>
  <c r="BX65" i="2" s="1"/>
  <c r="BD38" i="4"/>
  <c r="BZ24" i="2"/>
  <c r="BF26" i="4"/>
  <c r="BE14" i="4"/>
  <c r="BA49" i="3"/>
  <c r="BA48" i="3"/>
  <c r="BA47" i="3"/>
  <c r="BA46" i="3"/>
  <c r="BA35" i="3"/>
  <c r="BA34" i="3"/>
  <c r="BA33" i="3"/>
  <c r="BA32" i="3"/>
  <c r="BY12" i="2"/>
  <c r="BW83" i="2"/>
  <c r="BA44" i="3"/>
  <c r="BA30" i="3"/>
  <c r="BW86" i="2"/>
  <c r="BY10" i="2"/>
  <c r="BX51" i="2"/>
  <c r="BX75" i="2"/>
  <c r="BX63" i="2"/>
  <c r="BW82" i="2"/>
  <c r="BA29" i="3"/>
  <c r="BA43" i="3"/>
  <c r="BY9" i="2"/>
  <c r="BX50" i="2"/>
  <c r="BX62" i="2"/>
  <c r="BX74" i="2"/>
  <c r="BW87" i="2"/>
  <c r="BY6" i="2"/>
  <c r="BX47" i="2"/>
  <c r="BX59" i="2"/>
  <c r="BX71" i="2"/>
  <c r="BY5" i="2"/>
  <c r="BX58" i="2"/>
  <c r="BX46" i="2"/>
  <c r="BX70" i="2"/>
  <c r="BW81" i="2"/>
  <c r="BA28" i="3"/>
  <c r="BA42" i="3"/>
  <c r="BY7" i="2"/>
  <c r="BX60" i="2"/>
  <c r="BX72" i="2"/>
  <c r="BX48" i="2"/>
  <c r="BW84" i="2"/>
  <c r="BA31" i="3"/>
  <c r="BA45" i="3"/>
  <c r="BW88" i="2"/>
  <c r="BW85" i="2"/>
  <c r="BY4" i="2"/>
  <c r="BX45" i="2"/>
  <c r="BX57" i="2"/>
  <c r="BX69" i="2"/>
  <c r="BY11" i="2"/>
  <c r="BX64" i="2"/>
  <c r="BX52" i="2"/>
  <c r="BX76" i="2"/>
  <c r="BY8" i="2"/>
  <c r="BX49" i="2"/>
  <c r="BX61" i="2"/>
  <c r="BX73" i="2"/>
  <c r="X34" i="4"/>
  <c r="X36" i="4"/>
  <c r="X35" i="4"/>
  <c r="AI24" i="4"/>
  <c r="AI22" i="4"/>
  <c r="AI23" i="4"/>
  <c r="AI11" i="4"/>
  <c r="AI10" i="4"/>
  <c r="AI12" i="4"/>
  <c r="Z10" i="5"/>
  <c r="X13" i="5"/>
  <c r="W16" i="5"/>
  <c r="AA7" i="6" s="1"/>
  <c r="T21" i="5"/>
  <c r="S24" i="5"/>
  <c r="R3" i="6"/>
  <c r="Q4" i="6"/>
  <c r="T11" i="5"/>
  <c r="S15" i="5"/>
  <c r="W8" i="6" s="1"/>
  <c r="BA36" i="3" l="1"/>
  <c r="BA37" i="3" s="1"/>
  <c r="BW89" i="2"/>
  <c r="BA50" i="3"/>
  <c r="BA51" i="3" s="1"/>
  <c r="BX53" i="2"/>
  <c r="BX77" i="2"/>
  <c r="BY36" i="2"/>
  <c r="BY65" i="2" s="1"/>
  <c r="BE38" i="4"/>
  <c r="CA24" i="2"/>
  <c r="BG26" i="4"/>
  <c r="BF14" i="4"/>
  <c r="BB49" i="3"/>
  <c r="BB48" i="3"/>
  <c r="BB47" i="3"/>
  <c r="BB46" i="3"/>
  <c r="BB35" i="3"/>
  <c r="BB34" i="3"/>
  <c r="BB33" i="3"/>
  <c r="BB32" i="3"/>
  <c r="BZ12" i="2"/>
  <c r="BX81" i="2"/>
  <c r="BB28" i="3"/>
  <c r="BB42" i="3"/>
  <c r="BZ4" i="2"/>
  <c r="BY45" i="2"/>
  <c r="BY57" i="2"/>
  <c r="BY69" i="2"/>
  <c r="BX86" i="2"/>
  <c r="BZ10" i="2"/>
  <c r="BY75" i="2"/>
  <c r="BY51" i="2"/>
  <c r="BY63" i="2"/>
  <c r="BX83" i="2"/>
  <c r="BB30" i="3"/>
  <c r="BB44" i="3"/>
  <c r="BZ9" i="2"/>
  <c r="BY50" i="2"/>
  <c r="BY62" i="2"/>
  <c r="BY74" i="2"/>
  <c r="BX87" i="2"/>
  <c r="BX88" i="2"/>
  <c r="BZ6" i="2"/>
  <c r="BY47" i="2"/>
  <c r="BY59" i="2"/>
  <c r="BY71" i="2"/>
  <c r="BZ11" i="2"/>
  <c r="BY64" i="2"/>
  <c r="BY52" i="2"/>
  <c r="BY76" i="2"/>
  <c r="BX82" i="2"/>
  <c r="BB43" i="3"/>
  <c r="BB29" i="3"/>
  <c r="BZ8" i="2"/>
  <c r="BY61" i="2"/>
  <c r="BY49" i="2"/>
  <c r="BY73" i="2"/>
  <c r="BX84" i="2"/>
  <c r="BB45" i="3"/>
  <c r="BB31" i="3"/>
  <c r="BX85" i="2"/>
  <c r="BZ7" i="2"/>
  <c r="BY48" i="2"/>
  <c r="BY60" i="2"/>
  <c r="BY72" i="2"/>
  <c r="BZ5" i="2"/>
  <c r="BY58" i="2"/>
  <c r="BY46" i="2"/>
  <c r="BY70" i="2"/>
  <c r="Y35" i="4"/>
  <c r="Y34" i="4"/>
  <c r="Y36" i="4"/>
  <c r="AJ22" i="4"/>
  <c r="AJ23" i="4"/>
  <c r="AJ24" i="4"/>
  <c r="AJ12" i="4"/>
  <c r="AJ11" i="4"/>
  <c r="AJ10" i="4"/>
  <c r="H10" i="6"/>
  <c r="Y13" i="5"/>
  <c r="X16" i="5"/>
  <c r="AB7" i="6" s="1"/>
  <c r="AA10" i="5"/>
  <c r="U21" i="5"/>
  <c r="T24" i="5"/>
  <c r="S3" i="6"/>
  <c r="R4" i="6"/>
  <c r="U11" i="5"/>
  <c r="T15" i="5"/>
  <c r="X8" i="6" s="1"/>
  <c r="BY77" i="2" l="1"/>
  <c r="BY53" i="2"/>
  <c r="BB50" i="3"/>
  <c r="BB51" i="3" s="1"/>
  <c r="BB36" i="3"/>
  <c r="BB37" i="3" s="1"/>
  <c r="BX89" i="2"/>
  <c r="BZ36" i="2"/>
  <c r="BZ77" i="2" s="1"/>
  <c r="BF38" i="4"/>
  <c r="CB24" i="2"/>
  <c r="BH26" i="4"/>
  <c r="BG14" i="4"/>
  <c r="BC49" i="3"/>
  <c r="BC48" i="3"/>
  <c r="BC47" i="3"/>
  <c r="BC46" i="3"/>
  <c r="BC35" i="3"/>
  <c r="BC34" i="3"/>
  <c r="BC33" i="3"/>
  <c r="BC32" i="3"/>
  <c r="CA12" i="2"/>
  <c r="CA5" i="2"/>
  <c r="BZ70" i="2"/>
  <c r="BZ58" i="2"/>
  <c r="BZ46" i="2"/>
  <c r="BY83" i="2"/>
  <c r="BC30" i="3"/>
  <c r="BC44" i="3"/>
  <c r="CA6" i="2"/>
  <c r="BZ47" i="2"/>
  <c r="BZ71" i="2"/>
  <c r="BZ59" i="2"/>
  <c r="BY87" i="2"/>
  <c r="BY86" i="2"/>
  <c r="CA10" i="2"/>
  <c r="BZ51" i="2"/>
  <c r="BZ63" i="2"/>
  <c r="BZ75" i="2"/>
  <c r="CA11" i="2"/>
  <c r="BZ64" i="2"/>
  <c r="BZ52" i="2"/>
  <c r="BZ76" i="2"/>
  <c r="BY84" i="2"/>
  <c r="BC45" i="3"/>
  <c r="BC31" i="3"/>
  <c r="BY88" i="2"/>
  <c r="BY85" i="2"/>
  <c r="CA9" i="2"/>
  <c r="BZ62" i="2"/>
  <c r="BZ74" i="2"/>
  <c r="BZ50" i="2"/>
  <c r="BY82" i="2"/>
  <c r="BC43" i="3"/>
  <c r="BC29" i="3"/>
  <c r="CA8" i="2"/>
  <c r="BZ49" i="2"/>
  <c r="BZ61" i="2"/>
  <c r="BZ73" i="2"/>
  <c r="BY81" i="2"/>
  <c r="BC28" i="3"/>
  <c r="BC42" i="3"/>
  <c r="CA7" i="2"/>
  <c r="BZ60" i="2"/>
  <c r="BZ72" i="2"/>
  <c r="BZ48" i="2"/>
  <c r="CA4" i="2"/>
  <c r="BZ45" i="2"/>
  <c r="BZ69" i="2"/>
  <c r="BZ57" i="2"/>
  <c r="Z34" i="4"/>
  <c r="Z35" i="4"/>
  <c r="Z36" i="4"/>
  <c r="AK24" i="4"/>
  <c r="AK23" i="4"/>
  <c r="AK22" i="4"/>
  <c r="AK10" i="4"/>
  <c r="AK11" i="4"/>
  <c r="AK12" i="4"/>
  <c r="I10" i="6"/>
  <c r="AB10" i="5"/>
  <c r="Z13" i="5"/>
  <c r="Y16" i="5"/>
  <c r="AC7" i="6" s="1"/>
  <c r="V21" i="5"/>
  <c r="U24" i="5"/>
  <c r="T3" i="6"/>
  <c r="S4" i="6"/>
  <c r="V11" i="5"/>
  <c r="U15" i="5"/>
  <c r="Y8" i="6" s="1"/>
  <c r="BC50" i="3" l="1"/>
  <c r="BC51" i="3" s="1"/>
  <c r="BC36" i="3"/>
  <c r="BC37" i="3" s="1"/>
  <c r="BY89" i="2"/>
  <c r="BZ65" i="2"/>
  <c r="BZ53" i="2"/>
  <c r="CA36" i="2"/>
  <c r="CA77" i="2" s="1"/>
  <c r="BG38" i="4"/>
  <c r="CC24" i="2"/>
  <c r="BI26" i="4"/>
  <c r="BH14" i="4"/>
  <c r="BD47" i="3"/>
  <c r="BD49" i="3"/>
  <c r="BD48" i="3"/>
  <c r="BD46" i="3"/>
  <c r="BD35" i="3"/>
  <c r="BD34" i="3"/>
  <c r="BD33" i="3"/>
  <c r="BD32" i="3"/>
  <c r="CB12" i="2"/>
  <c r="CB4" i="2"/>
  <c r="CA69" i="2"/>
  <c r="CA45" i="2"/>
  <c r="CA57" i="2"/>
  <c r="BZ86" i="2"/>
  <c r="BZ84" i="2"/>
  <c r="BD31" i="3"/>
  <c r="BD45" i="3"/>
  <c r="CB11" i="2"/>
  <c r="CA64" i="2"/>
  <c r="CA76" i="2"/>
  <c r="CA52" i="2"/>
  <c r="CB6" i="2"/>
  <c r="CA47" i="2"/>
  <c r="CA59" i="2"/>
  <c r="CA71" i="2"/>
  <c r="BZ82" i="2"/>
  <c r="BD29" i="3"/>
  <c r="BD43" i="3"/>
  <c r="CB7" i="2"/>
  <c r="CA60" i="2"/>
  <c r="CA48" i="2"/>
  <c r="CA72" i="2"/>
  <c r="CB8" i="2"/>
  <c r="CA49" i="2"/>
  <c r="CA61" i="2"/>
  <c r="CA73" i="2"/>
  <c r="BZ87" i="2"/>
  <c r="BZ88" i="2"/>
  <c r="CB9" i="2"/>
  <c r="CA50" i="2"/>
  <c r="CA62" i="2"/>
  <c r="CA74" i="2"/>
  <c r="CB10" i="2"/>
  <c r="CA63" i="2"/>
  <c r="CA51" i="2"/>
  <c r="CA75" i="2"/>
  <c r="BZ81" i="2"/>
  <c r="BD42" i="3"/>
  <c r="BD28" i="3"/>
  <c r="BZ85" i="2"/>
  <c r="BZ83" i="2"/>
  <c r="BD44" i="3"/>
  <c r="BD30" i="3"/>
  <c r="CB5" i="2"/>
  <c r="CA46" i="2"/>
  <c r="CA58" i="2"/>
  <c r="CA70" i="2"/>
  <c r="AA35" i="4"/>
  <c r="AA36" i="4"/>
  <c r="AA34" i="4"/>
  <c r="AL24" i="4"/>
  <c r="AL22" i="4"/>
  <c r="AL23" i="4"/>
  <c r="AL11" i="4"/>
  <c r="AL12" i="4"/>
  <c r="AL10" i="4"/>
  <c r="U20" i="4"/>
  <c r="U25" i="4"/>
  <c r="J10" i="6"/>
  <c r="AA13" i="5"/>
  <c r="Z16" i="5"/>
  <c r="AD7" i="6" s="1"/>
  <c r="AC10" i="5"/>
  <c r="W21" i="5"/>
  <c r="V24" i="5"/>
  <c r="U3" i="6"/>
  <c r="T4" i="6"/>
  <c r="W11" i="5"/>
  <c r="V15" i="5"/>
  <c r="Z8" i="6" s="1"/>
  <c r="CA65" i="2" l="1"/>
  <c r="BZ89" i="2"/>
  <c r="BD36" i="3"/>
  <c r="BD37" i="3" s="1"/>
  <c r="CA53" i="2"/>
  <c r="BD50" i="3"/>
  <c r="BD51" i="3" s="1"/>
  <c r="CB36" i="2"/>
  <c r="CB77" i="2" s="1"/>
  <c r="BH38" i="4"/>
  <c r="CD24" i="2"/>
  <c r="BJ26" i="4"/>
  <c r="BI14" i="4"/>
  <c r="BE49" i="3"/>
  <c r="BE48" i="3"/>
  <c r="BE47" i="3"/>
  <c r="BE46" i="3"/>
  <c r="BE35" i="3"/>
  <c r="BE33" i="3"/>
  <c r="BE34" i="3"/>
  <c r="BE32" i="3"/>
  <c r="CC12" i="2"/>
  <c r="CA83" i="2"/>
  <c r="BE44" i="3"/>
  <c r="BE30" i="3"/>
  <c r="CC7" i="2"/>
  <c r="CB48" i="2"/>
  <c r="CB60" i="2"/>
  <c r="CB72" i="2"/>
  <c r="CC9" i="2"/>
  <c r="CB50" i="2"/>
  <c r="CB62" i="2"/>
  <c r="CB74" i="2"/>
  <c r="CA82" i="2"/>
  <c r="BE29" i="3"/>
  <c r="BE43" i="3"/>
  <c r="CA84" i="2"/>
  <c r="BE45" i="3"/>
  <c r="BE31" i="3"/>
  <c r="CC5" i="2"/>
  <c r="CB46" i="2"/>
  <c r="CB58" i="2"/>
  <c r="CB70" i="2"/>
  <c r="CA87" i="2"/>
  <c r="CA85" i="2"/>
  <c r="CC11" i="2"/>
  <c r="CB64" i="2"/>
  <c r="CB52" i="2"/>
  <c r="CB76" i="2"/>
  <c r="CA81" i="2"/>
  <c r="BE42" i="3"/>
  <c r="BE28" i="3"/>
  <c r="CA86" i="2"/>
  <c r="CC8" i="2"/>
  <c r="CB49" i="2"/>
  <c r="CB73" i="2"/>
  <c r="CB61" i="2"/>
  <c r="CC6" i="2"/>
  <c r="CB47" i="2"/>
  <c r="CB71" i="2"/>
  <c r="CB59" i="2"/>
  <c r="CA88" i="2"/>
  <c r="CC10" i="2"/>
  <c r="CB51" i="2"/>
  <c r="CB63" i="2"/>
  <c r="CB75" i="2"/>
  <c r="CC4" i="2"/>
  <c r="CB45" i="2"/>
  <c r="CB57" i="2"/>
  <c r="CB69" i="2"/>
  <c r="AB35" i="4"/>
  <c r="AB34" i="4"/>
  <c r="AB36" i="4"/>
  <c r="AM23" i="4"/>
  <c r="AM22" i="4"/>
  <c r="AM24" i="4"/>
  <c r="AM12" i="4"/>
  <c r="AM11" i="4"/>
  <c r="AM10" i="4"/>
  <c r="U21" i="4"/>
  <c r="U7" i="4"/>
  <c r="V20" i="4"/>
  <c r="U33" i="4"/>
  <c r="U19" i="4"/>
  <c r="U30" i="4"/>
  <c r="V25" i="4"/>
  <c r="U6" i="4"/>
  <c r="U18" i="4"/>
  <c r="U37" i="4"/>
  <c r="U31" i="4"/>
  <c r="U8" i="4"/>
  <c r="K10" i="6"/>
  <c r="AD10" i="5"/>
  <c r="AB13" i="5"/>
  <c r="AA16" i="5"/>
  <c r="AE7" i="6" s="1"/>
  <c r="X21" i="5"/>
  <c r="W24" i="5"/>
  <c r="V3" i="6"/>
  <c r="U4" i="6"/>
  <c r="X11" i="5"/>
  <c r="W15" i="5"/>
  <c r="AA8" i="6" s="1"/>
  <c r="BE50" i="3" l="1"/>
  <c r="BE51" i="3" s="1"/>
  <c r="BE36" i="3"/>
  <c r="BE37" i="3" s="1"/>
  <c r="CA89" i="2"/>
  <c r="CB65" i="2"/>
  <c r="CB53" i="2"/>
  <c r="CC36" i="2"/>
  <c r="CC77" i="2" s="1"/>
  <c r="BI38" i="4"/>
  <c r="CE24" i="2"/>
  <c r="BK26" i="4"/>
  <c r="BJ14" i="4"/>
  <c r="BF49" i="3"/>
  <c r="BF48" i="3"/>
  <c r="BF47" i="3"/>
  <c r="BF46" i="3"/>
  <c r="BF35" i="3"/>
  <c r="BF34" i="3"/>
  <c r="BF33" i="3"/>
  <c r="BF32" i="3"/>
  <c r="CD12" i="2"/>
  <c r="CB85" i="2"/>
  <c r="CD9" i="2"/>
  <c r="CC50" i="2"/>
  <c r="CC62" i="2"/>
  <c r="CC74" i="2"/>
  <c r="CB88" i="2"/>
  <c r="CB84" i="2"/>
  <c r="BF31" i="3"/>
  <c r="BF45" i="3"/>
  <c r="CD10" i="2"/>
  <c r="CC51" i="2"/>
  <c r="CC63" i="2"/>
  <c r="CC75" i="2"/>
  <c r="CB83" i="2"/>
  <c r="BF30" i="3"/>
  <c r="BF44" i="3"/>
  <c r="CD11" i="2"/>
  <c r="CC52" i="2"/>
  <c r="CC76" i="2"/>
  <c r="CC64" i="2"/>
  <c r="CD7" i="2"/>
  <c r="CC48" i="2"/>
  <c r="CC60" i="2"/>
  <c r="CC72" i="2"/>
  <c r="CB87" i="2"/>
  <c r="CD6" i="2"/>
  <c r="CC47" i="2"/>
  <c r="CC71" i="2"/>
  <c r="CC59" i="2"/>
  <c r="CB82" i="2"/>
  <c r="BF29" i="3"/>
  <c r="BF43" i="3"/>
  <c r="CD4" i="2"/>
  <c r="CC45" i="2"/>
  <c r="CC57" i="2"/>
  <c r="CC69" i="2"/>
  <c r="CD8" i="2"/>
  <c r="CC49" i="2"/>
  <c r="CC61" i="2"/>
  <c r="CC73" i="2"/>
  <c r="CD5" i="2"/>
  <c r="CC46" i="2"/>
  <c r="CC58" i="2"/>
  <c r="CC70" i="2"/>
  <c r="CB81" i="2"/>
  <c r="BF42" i="3"/>
  <c r="BF28" i="3"/>
  <c r="CB86" i="2"/>
  <c r="AC34" i="4"/>
  <c r="AC35" i="4"/>
  <c r="AC36" i="4"/>
  <c r="AN22" i="4"/>
  <c r="AN24" i="4"/>
  <c r="AN23" i="4"/>
  <c r="AN10" i="4"/>
  <c r="AN11" i="4"/>
  <c r="AN12" i="4"/>
  <c r="V6" i="4"/>
  <c r="V37" i="4"/>
  <c r="V21" i="4"/>
  <c r="W20" i="4"/>
  <c r="U9" i="4"/>
  <c r="U40" i="4" s="1"/>
  <c r="V33" i="4"/>
  <c r="V8" i="4"/>
  <c r="V18" i="4"/>
  <c r="V7" i="4"/>
  <c r="V31" i="4"/>
  <c r="V19" i="4"/>
  <c r="V32" i="4"/>
  <c r="V30" i="4"/>
  <c r="W25" i="4"/>
  <c r="L10" i="6"/>
  <c r="AC13" i="5"/>
  <c r="AB16" i="5"/>
  <c r="AF7" i="6" s="1"/>
  <c r="AE10" i="5"/>
  <c r="Y21" i="5"/>
  <c r="X24" i="5"/>
  <c r="W3" i="6"/>
  <c r="V4" i="6"/>
  <c r="Y11" i="5"/>
  <c r="X15" i="5"/>
  <c r="AB8" i="6" s="1"/>
  <c r="CB89" i="2" l="1"/>
  <c r="BF36" i="3"/>
  <c r="BF37" i="3" s="1"/>
  <c r="BF50" i="3"/>
  <c r="BF51" i="3" s="1"/>
  <c r="CC65" i="2"/>
  <c r="CC53" i="2"/>
  <c r="CD36" i="2"/>
  <c r="CD77" i="2" s="1"/>
  <c r="BJ38" i="4"/>
  <c r="CF24" i="2"/>
  <c r="BL26" i="4"/>
  <c r="BK14" i="4"/>
  <c r="BG49" i="3"/>
  <c r="BG48" i="3"/>
  <c r="BG47" i="3"/>
  <c r="BG46" i="3"/>
  <c r="BG35" i="3"/>
  <c r="BG34" i="3"/>
  <c r="BG33" i="3"/>
  <c r="BG32" i="3"/>
  <c r="CE12" i="2"/>
  <c r="CC86" i="2"/>
  <c r="CE4" i="2"/>
  <c r="CD57" i="2"/>
  <c r="CD45" i="2"/>
  <c r="CD69" i="2"/>
  <c r="CC88" i="2"/>
  <c r="CC85" i="2"/>
  <c r="CE8" i="2"/>
  <c r="CD49" i="2"/>
  <c r="CD73" i="2"/>
  <c r="CD61" i="2"/>
  <c r="CC87" i="2"/>
  <c r="CE10" i="2"/>
  <c r="CD51" i="2"/>
  <c r="CD63" i="2"/>
  <c r="CD75" i="2"/>
  <c r="CE11" i="2"/>
  <c r="CD52" i="2"/>
  <c r="CD76" i="2"/>
  <c r="CD64" i="2"/>
  <c r="CC82" i="2"/>
  <c r="BG43" i="3"/>
  <c r="BG29" i="3"/>
  <c r="CC83" i="2"/>
  <c r="BG30" i="3"/>
  <c r="BG44" i="3"/>
  <c r="CC84" i="2"/>
  <c r="BG45" i="3"/>
  <c r="BG31" i="3"/>
  <c r="CE9" i="2"/>
  <c r="CD62" i="2"/>
  <c r="CD50" i="2"/>
  <c r="CD74" i="2"/>
  <c r="CE5" i="2"/>
  <c r="CD70" i="2"/>
  <c r="CD58" i="2"/>
  <c r="CD46" i="2"/>
  <c r="CC81" i="2"/>
  <c r="BG28" i="3"/>
  <c r="BG42" i="3"/>
  <c r="CE6" i="2"/>
  <c r="CD47" i="2"/>
  <c r="CD71" i="2"/>
  <c r="CD59" i="2"/>
  <c r="CE7" i="2"/>
  <c r="CD48" i="2"/>
  <c r="CD60" i="2"/>
  <c r="CD72" i="2"/>
  <c r="AD35" i="4"/>
  <c r="AD36" i="4"/>
  <c r="AD34" i="4"/>
  <c r="AO24" i="4"/>
  <c r="AO23" i="4"/>
  <c r="AO22" i="4"/>
  <c r="AO11" i="4"/>
  <c r="AO12" i="4"/>
  <c r="AO10" i="4"/>
  <c r="H9" i="6"/>
  <c r="W18" i="4"/>
  <c r="W21" i="4"/>
  <c r="V13" i="4"/>
  <c r="W33" i="4"/>
  <c r="X25" i="4"/>
  <c r="W8" i="4"/>
  <c r="W30" i="4"/>
  <c r="W37" i="4"/>
  <c r="W19" i="4"/>
  <c r="W32" i="4"/>
  <c r="W7" i="4"/>
  <c r="V9" i="4"/>
  <c r="W31" i="4"/>
  <c r="X20" i="4"/>
  <c r="W6" i="4"/>
  <c r="M10" i="6"/>
  <c r="AF10" i="5"/>
  <c r="AD13" i="5"/>
  <c r="AC16" i="5"/>
  <c r="AG7" i="6" s="1"/>
  <c r="Z21" i="5"/>
  <c r="Y24" i="5"/>
  <c r="X3" i="6"/>
  <c r="W4" i="6"/>
  <c r="Z11" i="5"/>
  <c r="Y15" i="5"/>
  <c r="AC8" i="6" s="1"/>
  <c r="CD65" i="2" l="1"/>
  <c r="V40" i="4"/>
  <c r="I9" i="6" s="1"/>
  <c r="CD53" i="2"/>
  <c r="BG50" i="3"/>
  <c r="BG51" i="3" s="1"/>
  <c r="BG36" i="3"/>
  <c r="BG37" i="3" s="1"/>
  <c r="CC89" i="2"/>
  <c r="CE36" i="2"/>
  <c r="CE77" i="2" s="1"/>
  <c r="BK38" i="4"/>
  <c r="CG24" i="2"/>
  <c r="BM26" i="4"/>
  <c r="BL14" i="4"/>
  <c r="BH49" i="3"/>
  <c r="BH48" i="3"/>
  <c r="BH47" i="3"/>
  <c r="BH46" i="3"/>
  <c r="BH35" i="3"/>
  <c r="BH34" i="3"/>
  <c r="BH33" i="3"/>
  <c r="BH32" i="3"/>
  <c r="CF12" i="2"/>
  <c r="CD87" i="2"/>
  <c r="CF4" i="2"/>
  <c r="CE69" i="2"/>
  <c r="CE57" i="2"/>
  <c r="CE45" i="2"/>
  <c r="CD83" i="2"/>
  <c r="BH30" i="3"/>
  <c r="BH44" i="3"/>
  <c r="CF5" i="2"/>
  <c r="CE46" i="2"/>
  <c r="CE58" i="2"/>
  <c r="CE70" i="2"/>
  <c r="CD88" i="2"/>
  <c r="CD84" i="2"/>
  <c r="BH31" i="3"/>
  <c r="BH45" i="3"/>
  <c r="CF10" i="2"/>
  <c r="CE51" i="2"/>
  <c r="CE63" i="2"/>
  <c r="CE75" i="2"/>
  <c r="CF6" i="2"/>
  <c r="CE59" i="2"/>
  <c r="CE71" i="2"/>
  <c r="CE47" i="2"/>
  <c r="CF11" i="2"/>
  <c r="CE52" i="2"/>
  <c r="CE76" i="2"/>
  <c r="CE64" i="2"/>
  <c r="CF9" i="2"/>
  <c r="CE50" i="2"/>
  <c r="CE62" i="2"/>
  <c r="CE74" i="2"/>
  <c r="CF8" i="2"/>
  <c r="CE49" i="2"/>
  <c r="CE73" i="2"/>
  <c r="CE61" i="2"/>
  <c r="CD82" i="2"/>
  <c r="BH29" i="3"/>
  <c r="BH43" i="3"/>
  <c r="CD81" i="2"/>
  <c r="BH28" i="3"/>
  <c r="BH42" i="3"/>
  <c r="CD86" i="2"/>
  <c r="CF7" i="2"/>
  <c r="CE48" i="2"/>
  <c r="CE72" i="2"/>
  <c r="CE60" i="2"/>
  <c r="CD85" i="2"/>
  <c r="AE34" i="4"/>
  <c r="AE36" i="4"/>
  <c r="AE35" i="4"/>
  <c r="AP23" i="4"/>
  <c r="AP22" i="4"/>
  <c r="AP24" i="4"/>
  <c r="AP10" i="4"/>
  <c r="AP12" i="4"/>
  <c r="AP11" i="4"/>
  <c r="X7" i="4"/>
  <c r="X33" i="4"/>
  <c r="W9" i="4"/>
  <c r="X30" i="4"/>
  <c r="Y20" i="4"/>
  <c r="X31" i="4"/>
  <c r="X32" i="4"/>
  <c r="X8" i="4"/>
  <c r="X21" i="4"/>
  <c r="X6" i="4"/>
  <c r="W13" i="4"/>
  <c r="X37" i="4"/>
  <c r="X19" i="4"/>
  <c r="Y25" i="4"/>
  <c r="X18" i="4"/>
  <c r="N10" i="6"/>
  <c r="AE13" i="5"/>
  <c r="AD16" i="5"/>
  <c r="AH7" i="6" s="1"/>
  <c r="AG10" i="5"/>
  <c r="AA21" i="5"/>
  <c r="Z24" i="5"/>
  <c r="Y3" i="6"/>
  <c r="X4" i="6"/>
  <c r="AA11" i="5"/>
  <c r="Z15" i="5"/>
  <c r="AD8" i="6" s="1"/>
  <c r="BH50" i="3" l="1"/>
  <c r="BH51" i="3" s="1"/>
  <c r="BH36" i="3"/>
  <c r="BH37" i="3" s="1"/>
  <c r="CD89" i="2"/>
  <c r="CE53" i="2"/>
  <c r="CE65" i="2"/>
  <c r="CF36" i="2"/>
  <c r="CF65" i="2" s="1"/>
  <c r="BL38" i="4"/>
  <c r="CH24" i="2"/>
  <c r="BN26" i="4"/>
  <c r="BM14" i="4"/>
  <c r="W40" i="4"/>
  <c r="J9" i="6" s="1"/>
  <c r="BI49" i="3"/>
  <c r="BI48" i="3"/>
  <c r="BI47" i="3"/>
  <c r="BI46" i="3"/>
  <c r="BI35" i="3"/>
  <c r="BI34" i="3"/>
  <c r="BI33" i="3"/>
  <c r="BI32" i="3"/>
  <c r="CG12" i="2"/>
  <c r="CE87" i="2"/>
  <c r="CG11" i="2"/>
  <c r="CF64" i="2"/>
  <c r="CF52" i="2"/>
  <c r="CF76" i="2"/>
  <c r="CE84" i="2"/>
  <c r="BI31" i="3"/>
  <c r="BI45" i="3"/>
  <c r="CE83" i="2"/>
  <c r="BI30" i="3"/>
  <c r="BI44" i="3"/>
  <c r="CE82" i="2"/>
  <c r="BI43" i="3"/>
  <c r="BI29" i="3"/>
  <c r="CF45" i="2"/>
  <c r="CF57" i="2"/>
  <c r="CG4" i="2"/>
  <c r="CF69" i="2"/>
  <c r="CE81" i="2"/>
  <c r="BI42" i="3"/>
  <c r="BI28" i="3"/>
  <c r="CE85" i="2"/>
  <c r="CG7" i="2"/>
  <c r="CF48" i="2"/>
  <c r="CF60" i="2"/>
  <c r="CF72" i="2"/>
  <c r="CG5" i="2"/>
  <c r="CF46" i="2"/>
  <c r="CF70" i="2"/>
  <c r="CF58" i="2"/>
  <c r="CG8" i="2"/>
  <c r="CF49" i="2"/>
  <c r="CF73" i="2"/>
  <c r="CF61" i="2"/>
  <c r="CE86" i="2"/>
  <c r="CE88" i="2"/>
  <c r="CG10" i="2"/>
  <c r="CF51" i="2"/>
  <c r="CF75" i="2"/>
  <c r="CF63" i="2"/>
  <c r="CG9" i="2"/>
  <c r="CF62" i="2"/>
  <c r="CF74" i="2"/>
  <c r="CF50" i="2"/>
  <c r="CG6" i="2"/>
  <c r="CF47" i="2"/>
  <c r="CF59" i="2"/>
  <c r="CF71" i="2"/>
  <c r="AF34" i="4"/>
  <c r="AF35" i="4"/>
  <c r="AF36" i="4"/>
  <c r="AQ24" i="4"/>
  <c r="AQ22" i="4"/>
  <c r="AQ23" i="4"/>
  <c r="AQ11" i="4"/>
  <c r="AQ12" i="4"/>
  <c r="AQ10" i="4"/>
  <c r="Y37" i="4"/>
  <c r="Y18" i="4"/>
  <c r="X9" i="4"/>
  <c r="Z25" i="4"/>
  <c r="Y33" i="4"/>
  <c r="Y19" i="4"/>
  <c r="Z20" i="4"/>
  <c r="Y8" i="4"/>
  <c r="Y32" i="4"/>
  <c r="Y6" i="4"/>
  <c r="Y21" i="4"/>
  <c r="Y7" i="4"/>
  <c r="Y30" i="4"/>
  <c r="X13" i="4"/>
  <c r="Y31" i="4"/>
  <c r="O10" i="6"/>
  <c r="AH10" i="5"/>
  <c r="AF13" i="5"/>
  <c r="AE16" i="5"/>
  <c r="AI7" i="6" s="1"/>
  <c r="AB21" i="5"/>
  <c r="AA24" i="5"/>
  <c r="Z3" i="6"/>
  <c r="Y4" i="6"/>
  <c r="AB11" i="5"/>
  <c r="AA15" i="5"/>
  <c r="AE8" i="6" s="1"/>
  <c r="BI36" i="3" l="1"/>
  <c r="BI37" i="3" s="1"/>
  <c r="BI50" i="3"/>
  <c r="BI51" i="3" s="1"/>
  <c r="CE89" i="2"/>
  <c r="CF53" i="2"/>
  <c r="CF77" i="2"/>
  <c r="CG36" i="2"/>
  <c r="BM38" i="4"/>
  <c r="CI24" i="2"/>
  <c r="BO26" i="4"/>
  <c r="BN14" i="4"/>
  <c r="X40" i="4"/>
  <c r="K9" i="6" s="1"/>
  <c r="BJ49" i="3"/>
  <c r="BJ48" i="3"/>
  <c r="BJ47" i="3"/>
  <c r="BJ46" i="3"/>
  <c r="BJ33" i="3"/>
  <c r="BJ35" i="3"/>
  <c r="BJ34" i="3"/>
  <c r="BJ32" i="3"/>
  <c r="CH12" i="2"/>
  <c r="CF83" i="2"/>
  <c r="BJ30" i="3"/>
  <c r="BJ44" i="3"/>
  <c r="CF84" i="2"/>
  <c r="BJ45" i="3"/>
  <c r="BJ31" i="3"/>
  <c r="CH7" i="2"/>
  <c r="CG48" i="2"/>
  <c r="CG72" i="2"/>
  <c r="CG60" i="2"/>
  <c r="CH11" i="2"/>
  <c r="CG52" i="2"/>
  <c r="CG64" i="2"/>
  <c r="CG76" i="2"/>
  <c r="CH10" i="2"/>
  <c r="CG51" i="2"/>
  <c r="CG75" i="2"/>
  <c r="CG63" i="2"/>
  <c r="CH8" i="2"/>
  <c r="CG61" i="2"/>
  <c r="CG49" i="2"/>
  <c r="CG73" i="2"/>
  <c r="CH9" i="2"/>
  <c r="CG50" i="2"/>
  <c r="CG74" i="2"/>
  <c r="CG62" i="2"/>
  <c r="CF81" i="2"/>
  <c r="BJ28" i="3"/>
  <c r="BJ42" i="3"/>
  <c r="CF86" i="2"/>
  <c r="CH4" i="2"/>
  <c r="CG45" i="2"/>
  <c r="CG57" i="2"/>
  <c r="CG69" i="2"/>
  <c r="CF82" i="2"/>
  <c r="BJ43" i="3"/>
  <c r="BJ29" i="3"/>
  <c r="CF87" i="2"/>
  <c r="CH6" i="2"/>
  <c r="CG47" i="2"/>
  <c r="CG59" i="2"/>
  <c r="CG71" i="2"/>
  <c r="CF88" i="2"/>
  <c r="CF85" i="2"/>
  <c r="CH5" i="2"/>
  <c r="CG58" i="2"/>
  <c r="CG46" i="2"/>
  <c r="CG70" i="2"/>
  <c r="AG35" i="4"/>
  <c r="AG34" i="4"/>
  <c r="AG36" i="4"/>
  <c r="AR22" i="4"/>
  <c r="AR23" i="4"/>
  <c r="AR24" i="4"/>
  <c r="AR12" i="4"/>
  <c r="AR10" i="4"/>
  <c r="AR11" i="4"/>
  <c r="Z21" i="4"/>
  <c r="Z6" i="4"/>
  <c r="Z19" i="4"/>
  <c r="Z31" i="4"/>
  <c r="Y13" i="4"/>
  <c r="Z30" i="4"/>
  <c r="Z32" i="4"/>
  <c r="Z18" i="4"/>
  <c r="Z8" i="4"/>
  <c r="AA25" i="4"/>
  <c r="Y9" i="4"/>
  <c r="Z33" i="4"/>
  <c r="AA20" i="4"/>
  <c r="Z7" i="4"/>
  <c r="Z37" i="4"/>
  <c r="P10" i="6"/>
  <c r="AG13" i="5"/>
  <c r="AF16" i="5"/>
  <c r="AJ7" i="6" s="1"/>
  <c r="AI10" i="5"/>
  <c r="AC21" i="5"/>
  <c r="AB24" i="5"/>
  <c r="AA3" i="6"/>
  <c r="Z4" i="6"/>
  <c r="AC11" i="5"/>
  <c r="AB15" i="5"/>
  <c r="AF8" i="6" s="1"/>
  <c r="BJ36" i="3" l="1"/>
  <c r="BJ37" i="3" s="1"/>
  <c r="BJ50" i="3"/>
  <c r="BJ51" i="3" s="1"/>
  <c r="CF89" i="2"/>
  <c r="CH36" i="2"/>
  <c r="CH77" i="2" s="1"/>
  <c r="BN38" i="4"/>
  <c r="CG65" i="2"/>
  <c r="CG53" i="2"/>
  <c r="CG77" i="2"/>
  <c r="CJ24" i="2"/>
  <c r="BP26" i="4"/>
  <c r="BO14" i="4"/>
  <c r="Y40" i="4"/>
  <c r="L9" i="6" s="1"/>
  <c r="BK49" i="3"/>
  <c r="BK48" i="3"/>
  <c r="BK47" i="3"/>
  <c r="BK46" i="3"/>
  <c r="BK35" i="3"/>
  <c r="BK33" i="3"/>
  <c r="BK34" i="3"/>
  <c r="BK32" i="3"/>
  <c r="CI12" i="2"/>
  <c r="CI10" i="2"/>
  <c r="CH51" i="2"/>
  <c r="CH63" i="2"/>
  <c r="CH75" i="2"/>
  <c r="CI6" i="2"/>
  <c r="CH47" i="2"/>
  <c r="CH59" i="2"/>
  <c r="CH71" i="2"/>
  <c r="CG88" i="2"/>
  <c r="CG84" i="2"/>
  <c r="BK45" i="3"/>
  <c r="BK31" i="3"/>
  <c r="CI7" i="2"/>
  <c r="CH48" i="2"/>
  <c r="CH60" i="2"/>
  <c r="CH72" i="2"/>
  <c r="CG85" i="2"/>
  <c r="CG81" i="2"/>
  <c r="BK42" i="3"/>
  <c r="BK28" i="3"/>
  <c r="CI8" i="2"/>
  <c r="CH49" i="2"/>
  <c r="CH61" i="2"/>
  <c r="CH73" i="2"/>
  <c r="CI11" i="2"/>
  <c r="CH64" i="2"/>
  <c r="CH52" i="2"/>
  <c r="CH76" i="2"/>
  <c r="CG82" i="2"/>
  <c r="BK29" i="3"/>
  <c r="BK43" i="3"/>
  <c r="CG87" i="2"/>
  <c r="CI9" i="2"/>
  <c r="CH50" i="2"/>
  <c r="CH62" i="2"/>
  <c r="CH74" i="2"/>
  <c r="CI5" i="2"/>
  <c r="CH70" i="2"/>
  <c r="CH58" i="2"/>
  <c r="CH46" i="2"/>
  <c r="CI4" i="2"/>
  <c r="CH45" i="2"/>
  <c r="CH57" i="2"/>
  <c r="CH69" i="2"/>
  <c r="CG86" i="2"/>
  <c r="CG83" i="2"/>
  <c r="BK30" i="3"/>
  <c r="BK44" i="3"/>
  <c r="AH34" i="4"/>
  <c r="AH36" i="4"/>
  <c r="AH35" i="4"/>
  <c r="AS24" i="4"/>
  <c r="AS23" i="4"/>
  <c r="AS22" i="4"/>
  <c r="AS11" i="4"/>
  <c r="AS10" i="4"/>
  <c r="AS12" i="4"/>
  <c r="Z9" i="4"/>
  <c r="AB25" i="4"/>
  <c r="AA30" i="4"/>
  <c r="AA6" i="4"/>
  <c r="AA37" i="4"/>
  <c r="AA7" i="4"/>
  <c r="AB20" i="4"/>
  <c r="AA18" i="4"/>
  <c r="AA8" i="4"/>
  <c r="Z13" i="4"/>
  <c r="AA33" i="4"/>
  <c r="AA32" i="4"/>
  <c r="AA19" i="4"/>
  <c r="AA31" i="4"/>
  <c r="AA21" i="4"/>
  <c r="Q10" i="6"/>
  <c r="AJ10" i="5"/>
  <c r="AH13" i="5"/>
  <c r="AG16" i="5"/>
  <c r="AK7" i="6" s="1"/>
  <c r="AD21" i="5"/>
  <c r="AC24" i="5"/>
  <c r="AB3" i="6"/>
  <c r="AA4" i="6"/>
  <c r="AD11" i="5"/>
  <c r="AC15" i="5"/>
  <c r="AG8" i="6" s="1"/>
  <c r="CH65" i="2" l="1"/>
  <c r="CH53" i="2"/>
  <c r="CG89" i="2"/>
  <c r="BK36" i="3"/>
  <c r="BK37" i="3" s="1"/>
  <c r="BK50" i="3"/>
  <c r="BK51" i="3" s="1"/>
  <c r="CI36" i="2"/>
  <c r="CI65" i="2" s="1"/>
  <c r="BO38" i="4"/>
  <c r="CK24" i="2"/>
  <c r="BQ26" i="4"/>
  <c r="BP14" i="4"/>
  <c r="Z40" i="4"/>
  <c r="M9" i="6" s="1"/>
  <c r="BL48" i="3"/>
  <c r="BL49" i="3"/>
  <c r="BL46" i="3"/>
  <c r="BL47" i="3"/>
  <c r="BL35" i="3"/>
  <c r="BL34" i="3"/>
  <c r="BL33" i="3"/>
  <c r="BL32" i="3"/>
  <c r="CJ12" i="2"/>
  <c r="CJ6" i="2"/>
  <c r="CI59" i="2"/>
  <c r="CI71" i="2"/>
  <c r="CI47" i="2"/>
  <c r="CH85" i="2"/>
  <c r="CJ8" i="2"/>
  <c r="CI49" i="2"/>
  <c r="CI61" i="2"/>
  <c r="CI73" i="2"/>
  <c r="CJ11" i="2"/>
  <c r="CI52" i="2"/>
  <c r="CI76" i="2"/>
  <c r="CI64" i="2"/>
  <c r="CH81" i="2"/>
  <c r="BL42" i="3"/>
  <c r="BL28" i="3"/>
  <c r="CH86" i="2"/>
  <c r="CH83" i="2"/>
  <c r="BL44" i="3"/>
  <c r="BL30" i="3"/>
  <c r="CJ4" i="2"/>
  <c r="CI69" i="2"/>
  <c r="CI57" i="2"/>
  <c r="CI45" i="2"/>
  <c r="CJ9" i="2"/>
  <c r="CI50" i="2"/>
  <c r="CI74" i="2"/>
  <c r="CI62" i="2"/>
  <c r="CH88" i="2"/>
  <c r="CH84" i="2"/>
  <c r="BL31" i="3"/>
  <c r="BL45" i="3"/>
  <c r="CH87" i="2"/>
  <c r="CJ5" i="2"/>
  <c r="CI46" i="2"/>
  <c r="CI58" i="2"/>
  <c r="CI70" i="2"/>
  <c r="CH82" i="2"/>
  <c r="BL29" i="3"/>
  <c r="BL43" i="3"/>
  <c r="CJ7" i="2"/>
  <c r="CI72" i="2"/>
  <c r="CI48" i="2"/>
  <c r="CI60" i="2"/>
  <c r="CJ10" i="2"/>
  <c r="CI63" i="2"/>
  <c r="CI75" i="2"/>
  <c r="CI51" i="2"/>
  <c r="AI34" i="4"/>
  <c r="AI35" i="4"/>
  <c r="AI36" i="4"/>
  <c r="AT23" i="4"/>
  <c r="AT22" i="4"/>
  <c r="AT24" i="4"/>
  <c r="AT12" i="4"/>
  <c r="AT10" i="4"/>
  <c r="AT11" i="4"/>
  <c r="AC20" i="4"/>
  <c r="AB7" i="4"/>
  <c r="AC25" i="4"/>
  <c r="AB21" i="4"/>
  <c r="AB30" i="4"/>
  <c r="AB19" i="4"/>
  <c r="AB8" i="4"/>
  <c r="AB33" i="4"/>
  <c r="AB37" i="4"/>
  <c r="AA9" i="4"/>
  <c r="AB31" i="4"/>
  <c r="AA13" i="4"/>
  <c r="AB32" i="4"/>
  <c r="AB18" i="4"/>
  <c r="AB6" i="4"/>
  <c r="R10" i="6"/>
  <c r="AI13" i="5"/>
  <c r="AH16" i="5"/>
  <c r="AL7" i="6" s="1"/>
  <c r="AK10" i="5"/>
  <c r="AE21" i="5"/>
  <c r="AD24" i="5"/>
  <c r="AC3" i="6"/>
  <c r="AB4" i="6"/>
  <c r="AE11" i="5"/>
  <c r="AD15" i="5"/>
  <c r="AH8" i="6" s="1"/>
  <c r="CH89" i="2" l="1"/>
  <c r="BL50" i="3"/>
  <c r="BL51" i="3" s="1"/>
  <c r="BL36" i="3"/>
  <c r="BL37" i="3" s="1"/>
  <c r="CI77" i="2"/>
  <c r="CI53" i="2"/>
  <c r="CJ36" i="2"/>
  <c r="CJ65" i="2" s="1"/>
  <c r="BP38" i="4"/>
  <c r="CL24" i="2"/>
  <c r="BR26" i="4"/>
  <c r="BQ14" i="4"/>
  <c r="AA40" i="4"/>
  <c r="N9" i="6" s="1"/>
  <c r="BM49" i="3"/>
  <c r="BM34" i="3"/>
  <c r="BM48" i="3"/>
  <c r="BM47" i="3"/>
  <c r="BM46" i="3"/>
  <c r="BM35" i="3"/>
  <c r="BM33" i="3"/>
  <c r="BM32" i="3"/>
  <c r="CK12" i="2"/>
  <c r="CI84" i="2"/>
  <c r="BM45" i="3"/>
  <c r="BM31" i="3"/>
  <c r="CI82" i="2"/>
  <c r="BM29" i="3"/>
  <c r="BM43" i="3"/>
  <c r="CI81" i="2"/>
  <c r="BM28" i="3"/>
  <c r="BM42" i="3"/>
  <c r="CK11" i="2"/>
  <c r="CJ64" i="2"/>
  <c r="CJ76" i="2"/>
  <c r="CJ52" i="2"/>
  <c r="CI83" i="2"/>
  <c r="BM44" i="3"/>
  <c r="BM30" i="3"/>
  <c r="CK8" i="2"/>
  <c r="CJ49" i="2"/>
  <c r="CJ61" i="2"/>
  <c r="CJ73" i="2"/>
  <c r="CI88" i="2"/>
  <c r="CK7" i="2"/>
  <c r="CJ60" i="2"/>
  <c r="CJ48" i="2"/>
  <c r="CJ72" i="2"/>
  <c r="CK5" i="2"/>
  <c r="CJ46" i="2"/>
  <c r="CJ70" i="2"/>
  <c r="CJ58" i="2"/>
  <c r="CK10" i="2"/>
  <c r="CJ51" i="2"/>
  <c r="CJ63" i="2"/>
  <c r="CJ75" i="2"/>
  <c r="CI86" i="2"/>
  <c r="CI87" i="2"/>
  <c r="CK9" i="2"/>
  <c r="CJ50" i="2"/>
  <c r="CJ74" i="2"/>
  <c r="CJ62" i="2"/>
  <c r="CK4" i="2"/>
  <c r="CJ45" i="2"/>
  <c r="CJ57" i="2"/>
  <c r="CJ69" i="2"/>
  <c r="CI85" i="2"/>
  <c r="CK6" i="2"/>
  <c r="CJ47" i="2"/>
  <c r="CJ71" i="2"/>
  <c r="CJ59" i="2"/>
  <c r="AJ35" i="4"/>
  <c r="AJ34" i="4"/>
  <c r="AJ36" i="4"/>
  <c r="AU22" i="4"/>
  <c r="AU24" i="4"/>
  <c r="AU23" i="4"/>
  <c r="AU11" i="4"/>
  <c r="AU10" i="4"/>
  <c r="AU12" i="4"/>
  <c r="AB9" i="4"/>
  <c r="AC19" i="4"/>
  <c r="AC33" i="4"/>
  <c r="AC18" i="4"/>
  <c r="AC32" i="4"/>
  <c r="AC37" i="4"/>
  <c r="AC7" i="4"/>
  <c r="AC31" i="4"/>
  <c r="AC6" i="4"/>
  <c r="AC8" i="4"/>
  <c r="AD20" i="4"/>
  <c r="AC21" i="4"/>
  <c r="AD25" i="4"/>
  <c r="AB13" i="4"/>
  <c r="AC30" i="4"/>
  <c r="S10" i="6"/>
  <c r="AL10" i="5"/>
  <c r="AJ13" i="5"/>
  <c r="AI16" i="5"/>
  <c r="AM7" i="6" s="1"/>
  <c r="AF21" i="5"/>
  <c r="AE24" i="5"/>
  <c r="AD3" i="6"/>
  <c r="AC4" i="6"/>
  <c r="AF11" i="5"/>
  <c r="AE15" i="5"/>
  <c r="AI8" i="6" s="1"/>
  <c r="CJ77" i="2" l="1"/>
  <c r="CJ53" i="2"/>
  <c r="CI89" i="2"/>
  <c r="BM50" i="3"/>
  <c r="BM51" i="3" s="1"/>
  <c r="BM36" i="3"/>
  <c r="BM37" i="3" s="1"/>
  <c r="CK36" i="2"/>
  <c r="CK53" i="2" s="1"/>
  <c r="BQ38" i="4"/>
  <c r="CM24" i="2"/>
  <c r="BS26" i="4"/>
  <c r="BR14" i="4"/>
  <c r="AB40" i="4"/>
  <c r="O9" i="6" s="1"/>
  <c r="BN49" i="3"/>
  <c r="BN48" i="3"/>
  <c r="BN47" i="3"/>
  <c r="BN35" i="3"/>
  <c r="BN46" i="3"/>
  <c r="BN34" i="3"/>
  <c r="BN33" i="3"/>
  <c r="BN32" i="3"/>
  <c r="CL12" i="2"/>
  <c r="CL6" i="2"/>
  <c r="CK47" i="2"/>
  <c r="CK71" i="2"/>
  <c r="CK59" i="2"/>
  <c r="CL4" i="2"/>
  <c r="CK45" i="2"/>
  <c r="CK57" i="2"/>
  <c r="CK69" i="2"/>
  <c r="CL7" i="2"/>
  <c r="CK48" i="2"/>
  <c r="CK60" i="2"/>
  <c r="CK72" i="2"/>
  <c r="CJ86" i="2"/>
  <c r="CJ82" i="2"/>
  <c r="BN43" i="3"/>
  <c r="BN29" i="3"/>
  <c r="CJ88" i="2"/>
  <c r="CL10" i="2"/>
  <c r="CK63" i="2"/>
  <c r="CK51" i="2"/>
  <c r="CK75" i="2"/>
  <c r="CJ84" i="2"/>
  <c r="BN45" i="3"/>
  <c r="BN31" i="3"/>
  <c r="CJ85" i="2"/>
  <c r="CL11" i="2"/>
  <c r="CK52" i="2"/>
  <c r="CK64" i="2"/>
  <c r="CK76" i="2"/>
  <c r="CL9" i="2"/>
  <c r="CK74" i="2"/>
  <c r="CK62" i="2"/>
  <c r="CK50" i="2"/>
  <c r="CL5" i="2"/>
  <c r="CK46" i="2"/>
  <c r="CK58" i="2"/>
  <c r="CK70" i="2"/>
  <c r="CJ83" i="2"/>
  <c r="BN30" i="3"/>
  <c r="BN44" i="3"/>
  <c r="CJ81" i="2"/>
  <c r="BN42" i="3"/>
  <c r="BN28" i="3"/>
  <c r="CJ87" i="2"/>
  <c r="CL8" i="2"/>
  <c r="CK49" i="2"/>
  <c r="CK61" i="2"/>
  <c r="CK73" i="2"/>
  <c r="AK34" i="4"/>
  <c r="AK35" i="4"/>
  <c r="AK36" i="4"/>
  <c r="AV24" i="4"/>
  <c r="AV23" i="4"/>
  <c r="AV22" i="4"/>
  <c r="AV12" i="4"/>
  <c r="AV10" i="4"/>
  <c r="AV11" i="4"/>
  <c r="AD31" i="4"/>
  <c r="AD7" i="4"/>
  <c r="AC13" i="4"/>
  <c r="AD8" i="4"/>
  <c r="AD37" i="4"/>
  <c r="AD19" i="4"/>
  <c r="AD18" i="4"/>
  <c r="AD6" i="4"/>
  <c r="AE20" i="4"/>
  <c r="AE25" i="4"/>
  <c r="AD32" i="4"/>
  <c r="AC9" i="4"/>
  <c r="AD21" i="4"/>
  <c r="AD33" i="4"/>
  <c r="AD30" i="4"/>
  <c r="T10" i="6"/>
  <c r="AK13" i="5"/>
  <c r="AJ16" i="5"/>
  <c r="AN7" i="6" s="1"/>
  <c r="AM10" i="5"/>
  <c r="AG21" i="5"/>
  <c r="AF24" i="5"/>
  <c r="AE3" i="6"/>
  <c r="AD4" i="6"/>
  <c r="AG11" i="5"/>
  <c r="AF15" i="5"/>
  <c r="AJ8" i="6" s="1"/>
  <c r="BN50" i="3" l="1"/>
  <c r="BN51" i="3" s="1"/>
  <c r="BN36" i="3"/>
  <c r="BN37" i="3" s="1"/>
  <c r="CJ89" i="2"/>
  <c r="CK77" i="2"/>
  <c r="CK65" i="2"/>
  <c r="AC40" i="4"/>
  <c r="P9" i="6" s="1"/>
  <c r="CL36" i="2"/>
  <c r="CL77" i="2" s="1"/>
  <c r="BR38" i="4"/>
  <c r="CN24" i="2"/>
  <c r="BT26" i="4"/>
  <c r="BS14" i="4"/>
  <c r="BO47" i="3"/>
  <c r="BO49" i="3"/>
  <c r="BO48" i="3"/>
  <c r="BO46" i="3"/>
  <c r="BO35" i="3"/>
  <c r="BO34" i="3"/>
  <c r="BO33" i="3"/>
  <c r="BO32" i="3"/>
  <c r="CM12" i="2"/>
  <c r="CK86" i="2"/>
  <c r="CK85" i="2"/>
  <c r="CM10" i="2"/>
  <c r="CL63" i="2"/>
  <c r="CL75" i="2"/>
  <c r="CL51" i="2"/>
  <c r="CK81" i="2"/>
  <c r="BO28" i="3"/>
  <c r="BO42" i="3"/>
  <c r="CM9" i="2"/>
  <c r="CL62" i="2"/>
  <c r="CL50" i="2"/>
  <c r="CL74" i="2"/>
  <c r="CM4" i="2"/>
  <c r="CL69" i="2"/>
  <c r="CL57" i="2"/>
  <c r="CL45" i="2"/>
  <c r="CK87" i="2"/>
  <c r="CM8" i="2"/>
  <c r="CL49" i="2"/>
  <c r="CL61" i="2"/>
  <c r="CL73" i="2"/>
  <c r="CK82" i="2"/>
  <c r="BO43" i="3"/>
  <c r="BO29" i="3"/>
  <c r="CK88" i="2"/>
  <c r="CK84" i="2"/>
  <c r="BO31" i="3"/>
  <c r="BO45" i="3"/>
  <c r="CK83" i="2"/>
  <c r="BO44" i="3"/>
  <c r="BO30" i="3"/>
  <c r="CM5" i="2"/>
  <c r="CL70" i="2"/>
  <c r="CL46" i="2"/>
  <c r="CL58" i="2"/>
  <c r="CM11" i="2"/>
  <c r="CL64" i="2"/>
  <c r="CL76" i="2"/>
  <c r="CL52" i="2"/>
  <c r="CM7" i="2"/>
  <c r="CL48" i="2"/>
  <c r="CL60" i="2"/>
  <c r="CL72" i="2"/>
  <c r="CM6" i="2"/>
  <c r="CL47" i="2"/>
  <c r="CL71" i="2"/>
  <c r="CL59" i="2"/>
  <c r="AL35" i="4"/>
  <c r="AL34" i="4"/>
  <c r="AL36" i="4"/>
  <c r="AW23" i="4"/>
  <c r="AW22" i="4"/>
  <c r="AW24" i="4"/>
  <c r="AW11" i="4"/>
  <c r="AW10" i="4"/>
  <c r="AW12" i="4"/>
  <c r="AE32" i="4"/>
  <c r="AE33" i="4"/>
  <c r="AF25" i="4"/>
  <c r="AE19" i="4"/>
  <c r="AE6" i="4"/>
  <c r="AE30" i="4"/>
  <c r="AF20" i="4"/>
  <c r="AE7" i="4"/>
  <c r="AD9" i="4"/>
  <c r="AD13" i="4"/>
  <c r="AE21" i="4"/>
  <c r="AE37" i="4"/>
  <c r="AE31" i="4"/>
  <c r="AE8" i="4"/>
  <c r="AE18" i="4"/>
  <c r="U10" i="6"/>
  <c r="AN10" i="5"/>
  <c r="AL13" i="5"/>
  <c r="AK16" i="5"/>
  <c r="AO7" i="6" s="1"/>
  <c r="AH21" i="5"/>
  <c r="AG24" i="5"/>
  <c r="AF3" i="6"/>
  <c r="AE4" i="6"/>
  <c r="AH11" i="5"/>
  <c r="AG15" i="5"/>
  <c r="AK8" i="6" s="1"/>
  <c r="CK89" i="2" l="1"/>
  <c r="BO50" i="3"/>
  <c r="BO51" i="3" s="1"/>
  <c r="BO36" i="3"/>
  <c r="BO37" i="3" s="1"/>
  <c r="CL65" i="2"/>
  <c r="CL53" i="2"/>
  <c r="CM36" i="2"/>
  <c r="CM65" i="2" s="1"/>
  <c r="BS38" i="4"/>
  <c r="CO24" i="2"/>
  <c r="BU26" i="4"/>
  <c r="BT14" i="4"/>
  <c r="AD40" i="4"/>
  <c r="Q9" i="6" s="1"/>
  <c r="BP48" i="3"/>
  <c r="BP35" i="3"/>
  <c r="BP49" i="3"/>
  <c r="BP47" i="3"/>
  <c r="BP46" i="3"/>
  <c r="BP34" i="3"/>
  <c r="BP32" i="3"/>
  <c r="BP33" i="3"/>
  <c r="CN12" i="2"/>
  <c r="CL86" i="2"/>
  <c r="CN9" i="2"/>
  <c r="CM50" i="2"/>
  <c r="CM62" i="2"/>
  <c r="CM74" i="2"/>
  <c r="CL82" i="2"/>
  <c r="BP29" i="3"/>
  <c r="BP43" i="3"/>
  <c r="CL81" i="2"/>
  <c r="BP28" i="3"/>
  <c r="BP42" i="3"/>
  <c r="CN11" i="2"/>
  <c r="CM64" i="2"/>
  <c r="CM52" i="2"/>
  <c r="CM76" i="2"/>
  <c r="CL84" i="2"/>
  <c r="BP31" i="3"/>
  <c r="BP45" i="3"/>
  <c r="CN7" i="2"/>
  <c r="CM48" i="2"/>
  <c r="CM72" i="2"/>
  <c r="CM60" i="2"/>
  <c r="CN5" i="2"/>
  <c r="CM46" i="2"/>
  <c r="CM58" i="2"/>
  <c r="CM70" i="2"/>
  <c r="CL83" i="2"/>
  <c r="BP30" i="3"/>
  <c r="BP44" i="3"/>
  <c r="CN10" i="2"/>
  <c r="CM51" i="2"/>
  <c r="CM63" i="2"/>
  <c r="CM75" i="2"/>
  <c r="CL88" i="2"/>
  <c r="CL85" i="2"/>
  <c r="CN4" i="2"/>
  <c r="CM57" i="2"/>
  <c r="CM69" i="2"/>
  <c r="CM45" i="2"/>
  <c r="CL87" i="2"/>
  <c r="CN6" i="2"/>
  <c r="CM59" i="2"/>
  <c r="CM71" i="2"/>
  <c r="CM47" i="2"/>
  <c r="CN8" i="2"/>
  <c r="CM49" i="2"/>
  <c r="CM61" i="2"/>
  <c r="CM73" i="2"/>
  <c r="AM34" i="4"/>
  <c r="AM36" i="4"/>
  <c r="AM35" i="4"/>
  <c r="AX23" i="4"/>
  <c r="AX24" i="4"/>
  <c r="AX22" i="4"/>
  <c r="AX12" i="4"/>
  <c r="AX10" i="4"/>
  <c r="AX11" i="4"/>
  <c r="AF19" i="4"/>
  <c r="AF21" i="4"/>
  <c r="AF8" i="4"/>
  <c r="AE13" i="4"/>
  <c r="AF33" i="4"/>
  <c r="AF7" i="4"/>
  <c r="AG20" i="4"/>
  <c r="AF30" i="4"/>
  <c r="AF31" i="4"/>
  <c r="AE9" i="4"/>
  <c r="AF37" i="4"/>
  <c r="AF18" i="4"/>
  <c r="AG25" i="4"/>
  <c r="AF6" i="4"/>
  <c r="AF32" i="4"/>
  <c r="V10" i="6"/>
  <c r="AM13" i="5"/>
  <c r="AL16" i="5"/>
  <c r="AP7" i="6" s="1"/>
  <c r="AO10" i="5"/>
  <c r="AI21" i="5"/>
  <c r="AH24" i="5"/>
  <c r="AG3" i="6"/>
  <c r="AF4" i="6"/>
  <c r="AI11" i="5"/>
  <c r="AH15" i="5"/>
  <c r="AL8" i="6" s="1"/>
  <c r="CM53" i="2" l="1"/>
  <c r="CL89" i="2"/>
  <c r="BP50" i="3"/>
  <c r="BP51" i="3" s="1"/>
  <c r="CM77" i="2"/>
  <c r="BP36" i="3"/>
  <c r="BP37" i="3" s="1"/>
  <c r="CN36" i="2"/>
  <c r="CN77" i="2" s="1"/>
  <c r="BT38" i="4"/>
  <c r="CP24" i="2"/>
  <c r="BV26" i="4"/>
  <c r="BU14" i="4"/>
  <c r="AE40" i="4"/>
  <c r="R9" i="6" s="1"/>
  <c r="BQ48" i="3"/>
  <c r="BQ49" i="3"/>
  <c r="BQ47" i="3"/>
  <c r="BQ46" i="3"/>
  <c r="BQ35" i="3"/>
  <c r="BQ34" i="3"/>
  <c r="BQ33" i="3"/>
  <c r="BQ32" i="3"/>
  <c r="CO12" i="2"/>
  <c r="CO11" i="2"/>
  <c r="CN52" i="2"/>
  <c r="CN64" i="2"/>
  <c r="CN76" i="2"/>
  <c r="CO7" i="2"/>
  <c r="CN60" i="2"/>
  <c r="CN72" i="2"/>
  <c r="CN48" i="2"/>
  <c r="CO4" i="2"/>
  <c r="CN45" i="2"/>
  <c r="CN57" i="2"/>
  <c r="CN69" i="2"/>
  <c r="CM86" i="2"/>
  <c r="CM87" i="2"/>
  <c r="CM82" i="2"/>
  <c r="BQ29" i="3"/>
  <c r="BQ43" i="3"/>
  <c r="CM81" i="2"/>
  <c r="BQ28" i="3"/>
  <c r="BQ42" i="3"/>
  <c r="CO10" i="2"/>
  <c r="CN51" i="2"/>
  <c r="CN75" i="2"/>
  <c r="CN63" i="2"/>
  <c r="CO5" i="2"/>
  <c r="CN46" i="2"/>
  <c r="CN70" i="2"/>
  <c r="CN58" i="2"/>
  <c r="CO8" i="2"/>
  <c r="CN49" i="2"/>
  <c r="CN61" i="2"/>
  <c r="CN73" i="2"/>
  <c r="CM83" i="2"/>
  <c r="BQ30" i="3"/>
  <c r="BQ44" i="3"/>
  <c r="CM84" i="2"/>
  <c r="BQ31" i="3"/>
  <c r="BQ45" i="3"/>
  <c r="CO6" i="2"/>
  <c r="CN47" i="2"/>
  <c r="CN59" i="2"/>
  <c r="CN71" i="2"/>
  <c r="CO9" i="2"/>
  <c r="CN62" i="2"/>
  <c r="CN50" i="2"/>
  <c r="CN74" i="2"/>
  <c r="CM85" i="2"/>
  <c r="CM88" i="2"/>
  <c r="AN34" i="4"/>
  <c r="AN35" i="4"/>
  <c r="AN36" i="4"/>
  <c r="AY24" i="4"/>
  <c r="AY22" i="4"/>
  <c r="AY23" i="4"/>
  <c r="AY11" i="4"/>
  <c r="AY10" i="4"/>
  <c r="AY12" i="4"/>
  <c r="AG37" i="4"/>
  <c r="AG8" i="4"/>
  <c r="AG6" i="4"/>
  <c r="AH25" i="4"/>
  <c r="AG31" i="4"/>
  <c r="AG7" i="4"/>
  <c r="AG21" i="4"/>
  <c r="AG32" i="4"/>
  <c r="AH20" i="4"/>
  <c r="AF9" i="4"/>
  <c r="AF13" i="4"/>
  <c r="AG18" i="4"/>
  <c r="AG30" i="4"/>
  <c r="AG33" i="4"/>
  <c r="AG19" i="4"/>
  <c r="W10" i="6"/>
  <c r="AP10" i="5"/>
  <c r="AN13" i="5"/>
  <c r="AM16" i="5"/>
  <c r="AQ7" i="6" s="1"/>
  <c r="AJ21" i="5"/>
  <c r="AI24" i="5"/>
  <c r="AH3" i="6"/>
  <c r="AG4" i="6"/>
  <c r="AJ11" i="5"/>
  <c r="AI15" i="5"/>
  <c r="AM8" i="6" s="1"/>
  <c r="BQ36" i="3" l="1"/>
  <c r="BQ37" i="3" s="1"/>
  <c r="CM89" i="2"/>
  <c r="BQ50" i="3"/>
  <c r="BQ51" i="3" s="1"/>
  <c r="CN65" i="2"/>
  <c r="CN53" i="2"/>
  <c r="CO36" i="2"/>
  <c r="CO65" i="2" s="1"/>
  <c r="BU38" i="4"/>
  <c r="CQ24" i="2"/>
  <c r="BW26" i="4"/>
  <c r="BV14" i="4"/>
  <c r="AF40" i="4"/>
  <c r="S9" i="6" s="1"/>
  <c r="BR48" i="3"/>
  <c r="BR49" i="3"/>
  <c r="BR47" i="3"/>
  <c r="BR46" i="3"/>
  <c r="BR35" i="3"/>
  <c r="BR34" i="3"/>
  <c r="BR33" i="3"/>
  <c r="BR32" i="3"/>
  <c r="CP12" i="2"/>
  <c r="CN83" i="2"/>
  <c r="BR30" i="3"/>
  <c r="BR44" i="3"/>
  <c r="CP5" i="2"/>
  <c r="CO58" i="2"/>
  <c r="CO70" i="2"/>
  <c r="CO46" i="2"/>
  <c r="CN84" i="2"/>
  <c r="BR45" i="3"/>
  <c r="BR31" i="3"/>
  <c r="CP6" i="2"/>
  <c r="CO47" i="2"/>
  <c r="CO59" i="2"/>
  <c r="CO71" i="2"/>
  <c r="CN85" i="2"/>
  <c r="CN86" i="2"/>
  <c r="CP10" i="2"/>
  <c r="CO51" i="2"/>
  <c r="CO75" i="2"/>
  <c r="CO63" i="2"/>
  <c r="CN87" i="2"/>
  <c r="CP9" i="2"/>
  <c r="CO62" i="2"/>
  <c r="CO74" i="2"/>
  <c r="CO50" i="2"/>
  <c r="CN81" i="2"/>
  <c r="BR28" i="3"/>
  <c r="BR42" i="3"/>
  <c r="CN88" i="2"/>
  <c r="CP7" i="2"/>
  <c r="CO48" i="2"/>
  <c r="CO72" i="2"/>
  <c r="CO60" i="2"/>
  <c r="CP8" i="2"/>
  <c r="CO61" i="2"/>
  <c r="CO73" i="2"/>
  <c r="CO49" i="2"/>
  <c r="CN82" i="2"/>
  <c r="BR43" i="3"/>
  <c r="BR29" i="3"/>
  <c r="CP4" i="2"/>
  <c r="CO45" i="2"/>
  <c r="CO57" i="2"/>
  <c r="CO69" i="2"/>
  <c r="CP11" i="2"/>
  <c r="CO52" i="2"/>
  <c r="CO64" i="2"/>
  <c r="CO76" i="2"/>
  <c r="AO35" i="4"/>
  <c r="AO34" i="4"/>
  <c r="AO36" i="4"/>
  <c r="AZ24" i="4"/>
  <c r="AZ22" i="4"/>
  <c r="AZ23" i="4"/>
  <c r="AZ10" i="4"/>
  <c r="AZ12" i="4"/>
  <c r="AZ11" i="4"/>
  <c r="AH18" i="4"/>
  <c r="AG13" i="4"/>
  <c r="AG9" i="4"/>
  <c r="AH7" i="4"/>
  <c r="AI25" i="4"/>
  <c r="AH21" i="4"/>
  <c r="AI20" i="4"/>
  <c r="AH31" i="4"/>
  <c r="AH8" i="4"/>
  <c r="AH32" i="4"/>
  <c r="AH19" i="4"/>
  <c r="AH33" i="4"/>
  <c r="AH30" i="4"/>
  <c r="AH6" i="4"/>
  <c r="AH37" i="4"/>
  <c r="X10" i="6"/>
  <c r="AO13" i="5"/>
  <c r="AN16" i="5"/>
  <c r="AR7" i="6" s="1"/>
  <c r="AQ10" i="5"/>
  <c r="AK21" i="5"/>
  <c r="AJ24" i="5"/>
  <c r="AH4" i="6"/>
  <c r="AI3" i="6"/>
  <c r="AK11" i="5"/>
  <c r="AJ15" i="5"/>
  <c r="AN8" i="6" s="1"/>
  <c r="BR36" i="3" l="1"/>
  <c r="BR37" i="3" s="1"/>
  <c r="CO53" i="2"/>
  <c r="CO77" i="2"/>
  <c r="BR50" i="3"/>
  <c r="BR51" i="3" s="1"/>
  <c r="CN89" i="2"/>
  <c r="AG40" i="4"/>
  <c r="T9" i="6" s="1"/>
  <c r="CP36" i="2"/>
  <c r="CP77" i="2" s="1"/>
  <c r="BV38" i="4"/>
  <c r="CR24" i="2"/>
  <c r="BX26" i="4"/>
  <c r="BW14" i="4"/>
  <c r="BS47" i="3"/>
  <c r="BS49" i="3"/>
  <c r="BS48" i="3"/>
  <c r="BS46" i="3"/>
  <c r="BS35" i="3"/>
  <c r="BS33" i="3"/>
  <c r="BS34" i="3"/>
  <c r="BS32" i="3"/>
  <c r="CQ12" i="2"/>
  <c r="CO86" i="2"/>
  <c r="CO85" i="2"/>
  <c r="CO82" i="2"/>
  <c r="BS29" i="3"/>
  <c r="BS43" i="3"/>
  <c r="CO83" i="2"/>
  <c r="BS44" i="3"/>
  <c r="BS30" i="3"/>
  <c r="CQ4" i="2"/>
  <c r="CP45" i="2"/>
  <c r="CP57" i="2"/>
  <c r="CP69" i="2"/>
  <c r="CQ8" i="2"/>
  <c r="CP49" i="2"/>
  <c r="CP61" i="2"/>
  <c r="CP73" i="2"/>
  <c r="CQ6" i="2"/>
  <c r="CP47" i="2"/>
  <c r="CP59" i="2"/>
  <c r="CP71" i="2"/>
  <c r="CQ5" i="2"/>
  <c r="CP58" i="2"/>
  <c r="CP70" i="2"/>
  <c r="CP46" i="2"/>
  <c r="CQ11" i="2"/>
  <c r="CP52" i="2"/>
  <c r="CP64" i="2"/>
  <c r="CP76" i="2"/>
  <c r="CQ10" i="2"/>
  <c r="CP51" i="2"/>
  <c r="CP63" i="2"/>
  <c r="CP75" i="2"/>
  <c r="CQ7" i="2"/>
  <c r="CP60" i="2"/>
  <c r="CP72" i="2"/>
  <c r="CP48" i="2"/>
  <c r="CO87" i="2"/>
  <c r="CO81" i="2"/>
  <c r="BS28" i="3"/>
  <c r="BS42" i="3"/>
  <c r="CQ9" i="2"/>
  <c r="CP62" i="2"/>
  <c r="CP74" i="2"/>
  <c r="CP50" i="2"/>
  <c r="CO88" i="2"/>
  <c r="CO84" i="2"/>
  <c r="BS31" i="3"/>
  <c r="BS45" i="3"/>
  <c r="AP34" i="4"/>
  <c r="AP36" i="4"/>
  <c r="AP35" i="4"/>
  <c r="BA23" i="4"/>
  <c r="BA24" i="4"/>
  <c r="BA22" i="4"/>
  <c r="BA12" i="4"/>
  <c r="BA11" i="4"/>
  <c r="BA10" i="4"/>
  <c r="AI37" i="4"/>
  <c r="AJ20" i="4"/>
  <c r="AI31" i="4"/>
  <c r="AI19" i="4"/>
  <c r="AI32" i="4"/>
  <c r="AI21" i="4"/>
  <c r="AH13" i="4"/>
  <c r="AI7" i="4"/>
  <c r="AI6" i="4"/>
  <c r="AH9" i="4"/>
  <c r="AI30" i="4"/>
  <c r="AI33" i="4"/>
  <c r="AI8" i="4"/>
  <c r="AJ25" i="4"/>
  <c r="AI18" i="4"/>
  <c r="Y10" i="6"/>
  <c r="AR10" i="5"/>
  <c r="AP13" i="5"/>
  <c r="AO16" i="5"/>
  <c r="AS7" i="6" s="1"/>
  <c r="AL21" i="5"/>
  <c r="AK24" i="5"/>
  <c r="AJ3" i="6"/>
  <c r="AI4" i="6"/>
  <c r="AL11" i="5"/>
  <c r="AK15" i="5"/>
  <c r="AO8" i="6" s="1"/>
  <c r="CO89" i="2" l="1"/>
  <c r="BS36" i="3"/>
  <c r="BS37" i="3" s="1"/>
  <c r="CP53" i="2"/>
  <c r="BS50" i="3"/>
  <c r="BS51" i="3" s="1"/>
  <c r="CP65" i="2"/>
  <c r="AH40" i="4"/>
  <c r="U9" i="6" s="1"/>
  <c r="CQ36" i="2"/>
  <c r="CQ77" i="2" s="1"/>
  <c r="BW38" i="4"/>
  <c r="CS24" i="2"/>
  <c r="BY26" i="4"/>
  <c r="BX14" i="4"/>
  <c r="BT48" i="3"/>
  <c r="BT49" i="3"/>
  <c r="BT47" i="3"/>
  <c r="BT46" i="3"/>
  <c r="BT35" i="3"/>
  <c r="BT33" i="3"/>
  <c r="BT34" i="3"/>
  <c r="BT32" i="3"/>
  <c r="CR12" i="2"/>
  <c r="CR7" i="2"/>
  <c r="CQ48" i="2"/>
  <c r="CQ60" i="2"/>
  <c r="CQ72" i="2"/>
  <c r="CP83" i="2"/>
  <c r="BT30" i="3"/>
  <c r="BT44" i="3"/>
  <c r="CR11" i="2"/>
  <c r="CQ64" i="2"/>
  <c r="CQ52" i="2"/>
  <c r="CQ76" i="2"/>
  <c r="CR6" i="2"/>
  <c r="CQ47" i="2"/>
  <c r="CQ59" i="2"/>
  <c r="CQ71" i="2"/>
  <c r="CP81" i="2"/>
  <c r="BT28" i="3"/>
  <c r="BT42" i="3"/>
  <c r="CP86" i="2"/>
  <c r="CP82" i="2"/>
  <c r="BT29" i="3"/>
  <c r="BT43" i="3"/>
  <c r="CR4" i="2"/>
  <c r="CQ57" i="2"/>
  <c r="CQ69" i="2"/>
  <c r="CQ45" i="2"/>
  <c r="CP88" i="2"/>
  <c r="CP87" i="2"/>
  <c r="CR9" i="2"/>
  <c r="CQ50" i="2"/>
  <c r="CQ62" i="2"/>
  <c r="CQ74" i="2"/>
  <c r="CP84" i="2"/>
  <c r="BT45" i="3"/>
  <c r="BT31" i="3"/>
  <c r="CR10" i="2"/>
  <c r="CQ63" i="2"/>
  <c r="CQ75" i="2"/>
  <c r="CQ51" i="2"/>
  <c r="CR5" i="2"/>
  <c r="CQ46" i="2"/>
  <c r="CQ58" i="2"/>
  <c r="CQ70" i="2"/>
  <c r="CP85" i="2"/>
  <c r="CR8" i="2"/>
  <c r="CQ49" i="2"/>
  <c r="CQ61" i="2"/>
  <c r="CQ73" i="2"/>
  <c r="AQ34" i="4"/>
  <c r="AQ35" i="4"/>
  <c r="AQ36" i="4"/>
  <c r="BB23" i="4"/>
  <c r="BB22" i="4"/>
  <c r="BB24" i="4"/>
  <c r="BB11" i="4"/>
  <c r="BB12" i="4"/>
  <c r="BB10" i="4"/>
  <c r="AJ7" i="4"/>
  <c r="AI13" i="4"/>
  <c r="AI9" i="4"/>
  <c r="AJ21" i="4"/>
  <c r="AK20" i="4"/>
  <c r="AJ19" i="4"/>
  <c r="AJ31" i="4"/>
  <c r="AK25" i="4"/>
  <c r="AJ8" i="4"/>
  <c r="AJ30" i="4"/>
  <c r="AJ18" i="4"/>
  <c r="AJ33" i="4"/>
  <c r="AJ6" i="4"/>
  <c r="AJ32" i="4"/>
  <c r="AJ37" i="4"/>
  <c r="Z10" i="6"/>
  <c r="AQ13" i="5"/>
  <c r="AP16" i="5"/>
  <c r="AT7" i="6" s="1"/>
  <c r="AS10" i="5"/>
  <c r="AM21" i="5"/>
  <c r="AL24" i="5"/>
  <c r="AK3" i="6"/>
  <c r="AJ4" i="6"/>
  <c r="AM11" i="5"/>
  <c r="AL15" i="5"/>
  <c r="AP8" i="6" s="1"/>
  <c r="BT50" i="3" l="1"/>
  <c r="BT51" i="3" s="1"/>
  <c r="BT36" i="3"/>
  <c r="BT37" i="3" s="1"/>
  <c r="CP89" i="2"/>
  <c r="CQ53" i="2"/>
  <c r="CQ65" i="2"/>
  <c r="AI40" i="4"/>
  <c r="CR36" i="2"/>
  <c r="CR65" i="2" s="1"/>
  <c r="BX38" i="4"/>
  <c r="CT24" i="2"/>
  <c r="BZ26" i="4"/>
  <c r="BY14" i="4"/>
  <c r="BU49" i="3"/>
  <c r="BU48" i="3"/>
  <c r="BU47" i="3"/>
  <c r="BU46" i="3"/>
  <c r="BU34" i="3"/>
  <c r="BU35" i="3"/>
  <c r="BU33" i="3"/>
  <c r="BU32" i="3"/>
  <c r="CS12" i="2"/>
  <c r="CS8" i="2"/>
  <c r="CR49" i="2"/>
  <c r="CR61" i="2"/>
  <c r="CR73" i="2"/>
  <c r="CQ83" i="2"/>
  <c r="BU30" i="3"/>
  <c r="BU44" i="3"/>
  <c r="CQ86" i="2"/>
  <c r="CQ81" i="2"/>
  <c r="BU42" i="3"/>
  <c r="BU28" i="3"/>
  <c r="CS6" i="2"/>
  <c r="CR47" i="2"/>
  <c r="CR71" i="2"/>
  <c r="CR59" i="2"/>
  <c r="CQ82" i="2"/>
  <c r="BU43" i="3"/>
  <c r="BU29" i="3"/>
  <c r="CQ87" i="2"/>
  <c r="CS9" i="2"/>
  <c r="CR50" i="2"/>
  <c r="CR62" i="2"/>
  <c r="CR74" i="2"/>
  <c r="CS10" i="2"/>
  <c r="CR51" i="2"/>
  <c r="CR63" i="2"/>
  <c r="CR75" i="2"/>
  <c r="CQ88" i="2"/>
  <c r="CQ85" i="2"/>
  <c r="CS5" i="2"/>
  <c r="CR46" i="2"/>
  <c r="CR58" i="2"/>
  <c r="CR70" i="2"/>
  <c r="CS4" i="2"/>
  <c r="CR45" i="2"/>
  <c r="CR57" i="2"/>
  <c r="CR69" i="2"/>
  <c r="CQ84" i="2"/>
  <c r="BU31" i="3"/>
  <c r="BU45" i="3"/>
  <c r="CS11" i="2"/>
  <c r="CR52" i="2"/>
  <c r="CR64" i="2"/>
  <c r="CR76" i="2"/>
  <c r="CS7" i="2"/>
  <c r="CR48" i="2"/>
  <c r="CR60" i="2"/>
  <c r="CR72" i="2"/>
  <c r="AR35" i="4"/>
  <c r="AR34" i="4"/>
  <c r="AR36" i="4"/>
  <c r="BC24" i="4"/>
  <c r="BC22" i="4"/>
  <c r="BC23" i="4"/>
  <c r="BC10" i="4"/>
  <c r="BC12" i="4"/>
  <c r="BC11" i="4"/>
  <c r="AL25" i="4"/>
  <c r="AK31" i="4"/>
  <c r="AJ9" i="4"/>
  <c r="AK32" i="4"/>
  <c r="AK19" i="4"/>
  <c r="AJ13" i="4"/>
  <c r="AK33" i="4"/>
  <c r="AK21" i="4"/>
  <c r="AK18" i="4"/>
  <c r="AK30" i="4"/>
  <c r="AK6" i="4"/>
  <c r="AK8" i="4"/>
  <c r="AL20" i="4"/>
  <c r="AK37" i="4"/>
  <c r="AK7" i="4"/>
  <c r="AA10" i="6"/>
  <c r="AT10" i="5"/>
  <c r="AR13" i="5"/>
  <c r="AQ16" i="5"/>
  <c r="AU7" i="6" s="1"/>
  <c r="AN21" i="5"/>
  <c r="AM24" i="5"/>
  <c r="AL3" i="6"/>
  <c r="AK4" i="6"/>
  <c r="AN11" i="5"/>
  <c r="AM15" i="5"/>
  <c r="AQ8" i="6" s="1"/>
  <c r="V9" i="6" l="1"/>
  <c r="CQ89" i="2"/>
  <c r="BU50" i="3"/>
  <c r="BU51" i="3" s="1"/>
  <c r="BU36" i="3"/>
  <c r="BU37" i="3" s="1"/>
  <c r="CR53" i="2"/>
  <c r="CR77" i="2"/>
  <c r="CS36" i="2"/>
  <c r="CS77" i="2" s="1"/>
  <c r="BY38" i="4"/>
  <c r="AJ40" i="4"/>
  <c r="W9" i="6" s="1"/>
  <c r="CU24" i="2"/>
  <c r="CA26" i="4"/>
  <c r="BZ14" i="4"/>
  <c r="BV49" i="3"/>
  <c r="BV48" i="3"/>
  <c r="BV47" i="3"/>
  <c r="BV46" i="3"/>
  <c r="BV35" i="3"/>
  <c r="BV34" i="3"/>
  <c r="BV33" i="3"/>
  <c r="BV32" i="3"/>
  <c r="CT12" i="2"/>
  <c r="CT6" i="2"/>
  <c r="CS47" i="2"/>
  <c r="CS71" i="2"/>
  <c r="CS59" i="2"/>
  <c r="CR88" i="2"/>
  <c r="CR87" i="2"/>
  <c r="CT7" i="2"/>
  <c r="CS48" i="2"/>
  <c r="CS60" i="2"/>
  <c r="CS72" i="2"/>
  <c r="CT4" i="2"/>
  <c r="CS45" i="2"/>
  <c r="CS57" i="2"/>
  <c r="CS69" i="2"/>
  <c r="CR82" i="2"/>
  <c r="BV29" i="3"/>
  <c r="BV43" i="3"/>
  <c r="CT9" i="2"/>
  <c r="CS50" i="2"/>
  <c r="CS62" i="2"/>
  <c r="CS74" i="2"/>
  <c r="CT5" i="2"/>
  <c r="CS46" i="2"/>
  <c r="CS58" i="2"/>
  <c r="CS70" i="2"/>
  <c r="CR83" i="2"/>
  <c r="BV44" i="3"/>
  <c r="BV30" i="3"/>
  <c r="CR81" i="2"/>
  <c r="BV42" i="3"/>
  <c r="BV28" i="3"/>
  <c r="CT10" i="2"/>
  <c r="CS63" i="2"/>
  <c r="CS51" i="2"/>
  <c r="CS75" i="2"/>
  <c r="CR85" i="2"/>
  <c r="CT11" i="2"/>
  <c r="CS52" i="2"/>
  <c r="CS76" i="2"/>
  <c r="CS64" i="2"/>
  <c r="CR84" i="2"/>
  <c r="BV31" i="3"/>
  <c r="BV45" i="3"/>
  <c r="CR86" i="2"/>
  <c r="CT8" i="2"/>
  <c r="CS61" i="2"/>
  <c r="CS73" i="2"/>
  <c r="CS49" i="2"/>
  <c r="AS34" i="4"/>
  <c r="AS36" i="4"/>
  <c r="AS35" i="4"/>
  <c r="BD23" i="4"/>
  <c r="BD22" i="4"/>
  <c r="BD24" i="4"/>
  <c r="BD11" i="4"/>
  <c r="BD12" i="4"/>
  <c r="BD10" i="4"/>
  <c r="AL21" i="4"/>
  <c r="AL33" i="4"/>
  <c r="AL37" i="4"/>
  <c r="AL32" i="4"/>
  <c r="AL7" i="4"/>
  <c r="AK9" i="4"/>
  <c r="AM20" i="4"/>
  <c r="AK13" i="4"/>
  <c r="AL31" i="4"/>
  <c r="AL18" i="4"/>
  <c r="AL8" i="4"/>
  <c r="AL6" i="4"/>
  <c r="AL30" i="4"/>
  <c r="AL19" i="4"/>
  <c r="AM25" i="4"/>
  <c r="AB10" i="6"/>
  <c r="AS13" i="5"/>
  <c r="AR16" i="5"/>
  <c r="AV7" i="6" s="1"/>
  <c r="AU10" i="5"/>
  <c r="AO21" i="5"/>
  <c r="AN24" i="5"/>
  <c r="AM3" i="6"/>
  <c r="AL4" i="6"/>
  <c r="AO11" i="5"/>
  <c r="AN15" i="5"/>
  <c r="AR8" i="6" s="1"/>
  <c r="BV36" i="3" l="1"/>
  <c r="BV37" i="3" s="1"/>
  <c r="CR89" i="2"/>
  <c r="BV50" i="3"/>
  <c r="BV51" i="3" s="1"/>
  <c r="CS65" i="2"/>
  <c r="CS53" i="2"/>
  <c r="CT36" i="2"/>
  <c r="CT65" i="2" s="1"/>
  <c r="BZ38" i="4"/>
  <c r="CV24" i="2"/>
  <c r="CC26" i="4" s="1"/>
  <c r="CB26" i="4"/>
  <c r="CA14" i="4"/>
  <c r="AK40" i="4"/>
  <c r="X9" i="6" s="1"/>
  <c r="BW49" i="3"/>
  <c r="BW48" i="3"/>
  <c r="BW47" i="3"/>
  <c r="BW32" i="3"/>
  <c r="BW46" i="3"/>
  <c r="BW35" i="3"/>
  <c r="BW34" i="3"/>
  <c r="BW33" i="3"/>
  <c r="CU12" i="2"/>
  <c r="CU10" i="2"/>
  <c r="CT63" i="2"/>
  <c r="CT51" i="2"/>
  <c r="CT75" i="2"/>
  <c r="CS84" i="2"/>
  <c r="BW31" i="3"/>
  <c r="BW45" i="3"/>
  <c r="CU8" i="2"/>
  <c r="CT49" i="2"/>
  <c r="CT73" i="2"/>
  <c r="CT61" i="2"/>
  <c r="CS87" i="2"/>
  <c r="CU9" i="2"/>
  <c r="CT62" i="2"/>
  <c r="CT50" i="2"/>
  <c r="CT74" i="2"/>
  <c r="CU4" i="2"/>
  <c r="CT45" i="2"/>
  <c r="CT57" i="2"/>
  <c r="CT69" i="2"/>
  <c r="CS88" i="2"/>
  <c r="CS82" i="2"/>
  <c r="BW43" i="3"/>
  <c r="BW29" i="3"/>
  <c r="CS85" i="2"/>
  <c r="CS83" i="2"/>
  <c r="BW30" i="3"/>
  <c r="BW44" i="3"/>
  <c r="CU11" i="2"/>
  <c r="CT76" i="2"/>
  <c r="CT52" i="2"/>
  <c r="CT64" i="2"/>
  <c r="CU5" i="2"/>
  <c r="CT58" i="2"/>
  <c r="CT70" i="2"/>
  <c r="CT46" i="2"/>
  <c r="CU7" i="2"/>
  <c r="CT48" i="2"/>
  <c r="CT60" i="2"/>
  <c r="CT72" i="2"/>
  <c r="CS86" i="2"/>
  <c r="CS81" i="2"/>
  <c r="BW42" i="3"/>
  <c r="BW28" i="3"/>
  <c r="CU6" i="2"/>
  <c r="CT47" i="2"/>
  <c r="CT71" i="2"/>
  <c r="CT59" i="2"/>
  <c r="AT34" i="4"/>
  <c r="AT35" i="4"/>
  <c r="AT36" i="4"/>
  <c r="BE23" i="4"/>
  <c r="BE24" i="4"/>
  <c r="BE22" i="4"/>
  <c r="BE12" i="4"/>
  <c r="BE10" i="4"/>
  <c r="BE11" i="4"/>
  <c r="AM19" i="4"/>
  <c r="AM30" i="4"/>
  <c r="AM31" i="4"/>
  <c r="AM33" i="4"/>
  <c r="AN20" i="4"/>
  <c r="AM7" i="4"/>
  <c r="AN25" i="4"/>
  <c r="AM37" i="4"/>
  <c r="AM18" i="4"/>
  <c r="AM21" i="4"/>
  <c r="AM8" i="4"/>
  <c r="AL9" i="4"/>
  <c r="AM6" i="4"/>
  <c r="AL13" i="4"/>
  <c r="AM32" i="4"/>
  <c r="AC10" i="6"/>
  <c r="AV10" i="5"/>
  <c r="AT13" i="5"/>
  <c r="AS16" i="5"/>
  <c r="AW7" i="6" s="1"/>
  <c r="AP21" i="5"/>
  <c r="AO24" i="5"/>
  <c r="AN3" i="6"/>
  <c r="AM4" i="6"/>
  <c r="AP11" i="5"/>
  <c r="AO15" i="5"/>
  <c r="AS8" i="6" s="1"/>
  <c r="CS89" i="2" l="1"/>
  <c r="CT77" i="2"/>
  <c r="CT53" i="2"/>
  <c r="BW50" i="3"/>
  <c r="BW51" i="3" s="1"/>
  <c r="BW36" i="3"/>
  <c r="BW37" i="3" s="1"/>
  <c r="CU36" i="2"/>
  <c r="CU77" i="2" s="1"/>
  <c r="CA38" i="4"/>
  <c r="CB14" i="4"/>
  <c r="AL40" i="4"/>
  <c r="Y9" i="6" s="1"/>
  <c r="BX49" i="3"/>
  <c r="BX48" i="3"/>
  <c r="BX47" i="3"/>
  <c r="BX46" i="3"/>
  <c r="BX35" i="3"/>
  <c r="BX33" i="3"/>
  <c r="BX34" i="3"/>
  <c r="BX32" i="3"/>
  <c r="CV12" i="2"/>
  <c r="CT88" i="2"/>
  <c r="CV9" i="2"/>
  <c r="CU50" i="2"/>
  <c r="CU62" i="2"/>
  <c r="CU74" i="2"/>
  <c r="CT81" i="2"/>
  <c r="BX28" i="3"/>
  <c r="BX42" i="3"/>
  <c r="CV4" i="2"/>
  <c r="CU69" i="2"/>
  <c r="CU45" i="2"/>
  <c r="CU57" i="2"/>
  <c r="CV6" i="2"/>
  <c r="CU59" i="2"/>
  <c r="CU71" i="2"/>
  <c r="CU47" i="2"/>
  <c r="CT84" i="2"/>
  <c r="BX31" i="3"/>
  <c r="BX45" i="3"/>
  <c r="CV7" i="2"/>
  <c r="CU48" i="2"/>
  <c r="CU60" i="2"/>
  <c r="CU72" i="2"/>
  <c r="CT82" i="2"/>
  <c r="BX29" i="3"/>
  <c r="BX43" i="3"/>
  <c r="CT87" i="2"/>
  <c r="CV11" i="2"/>
  <c r="CU52" i="2"/>
  <c r="CU64" i="2"/>
  <c r="CU76" i="2"/>
  <c r="CV5" i="2"/>
  <c r="CU46" i="2"/>
  <c r="CU58" i="2"/>
  <c r="CU70" i="2"/>
  <c r="CT86" i="2"/>
  <c r="CT85" i="2"/>
  <c r="CT83" i="2"/>
  <c r="BX30" i="3"/>
  <c r="BX44" i="3"/>
  <c r="CV8" i="2"/>
  <c r="CU73" i="2"/>
  <c r="CU49" i="2"/>
  <c r="CU61" i="2"/>
  <c r="CV10" i="2"/>
  <c r="CU63" i="2"/>
  <c r="CU51" i="2"/>
  <c r="CU75" i="2"/>
  <c r="AU35" i="4"/>
  <c r="AU34" i="4"/>
  <c r="AU36" i="4"/>
  <c r="BF24" i="4"/>
  <c r="BF22" i="4"/>
  <c r="BF23" i="4"/>
  <c r="BF11" i="4"/>
  <c r="BF10" i="4"/>
  <c r="BF12" i="4"/>
  <c r="AN32" i="4"/>
  <c r="AO25" i="4"/>
  <c r="AM13" i="4"/>
  <c r="AN21" i="4"/>
  <c r="AN7" i="4"/>
  <c r="AN37" i="4"/>
  <c r="AN31" i="4"/>
  <c r="AN30" i="4"/>
  <c r="AM9" i="4"/>
  <c r="AN8" i="4"/>
  <c r="AN6" i="4"/>
  <c r="AN18" i="4"/>
  <c r="AO20" i="4"/>
  <c r="AN33" i="4"/>
  <c r="AN19" i="4"/>
  <c r="AD10" i="6"/>
  <c r="AU13" i="5"/>
  <c r="AT16" i="5"/>
  <c r="AX7" i="6" s="1"/>
  <c r="AW10" i="5"/>
  <c r="AQ21" i="5"/>
  <c r="AP24" i="5"/>
  <c r="AO3" i="6"/>
  <c r="AN4" i="6"/>
  <c r="AQ11" i="5"/>
  <c r="AP15" i="5"/>
  <c r="AT8" i="6" s="1"/>
  <c r="BX36" i="3" l="1"/>
  <c r="BX37" i="3" s="1"/>
  <c r="BX50" i="3"/>
  <c r="BX51" i="3" s="1"/>
  <c r="CT89" i="2"/>
  <c r="CU65" i="2"/>
  <c r="CU53" i="2"/>
  <c r="CV36" i="2"/>
  <c r="CC38" i="4" s="1"/>
  <c r="CB38" i="4"/>
  <c r="CC14" i="4"/>
  <c r="AM40" i="4"/>
  <c r="Z9" i="6" s="1"/>
  <c r="BY49" i="3"/>
  <c r="BY48" i="3"/>
  <c r="BY47" i="3"/>
  <c r="BY46" i="3"/>
  <c r="BY35" i="3"/>
  <c r="BY34" i="3"/>
  <c r="BY33" i="3"/>
  <c r="BY32" i="3"/>
  <c r="CV46" i="2"/>
  <c r="CV58" i="2"/>
  <c r="CV70" i="2"/>
  <c r="CU85" i="2"/>
  <c r="CU86" i="2"/>
  <c r="CV45" i="2"/>
  <c r="CV57" i="2"/>
  <c r="CV69" i="2"/>
  <c r="CV62" i="2"/>
  <c r="CV74" i="2"/>
  <c r="CV50" i="2"/>
  <c r="CV47" i="2"/>
  <c r="CV59" i="2"/>
  <c r="CV71" i="2"/>
  <c r="CV51" i="2"/>
  <c r="CV75" i="2"/>
  <c r="CV63" i="2"/>
  <c r="CV73" i="2"/>
  <c r="CV49" i="2"/>
  <c r="CV61" i="2"/>
  <c r="CU83" i="2"/>
  <c r="BY30" i="3"/>
  <c r="BY44" i="3"/>
  <c r="CU84" i="2"/>
  <c r="BY31" i="3"/>
  <c r="BY45" i="3"/>
  <c r="CU82" i="2"/>
  <c r="BY43" i="3"/>
  <c r="BY29" i="3"/>
  <c r="CV48" i="2"/>
  <c r="CV60" i="2"/>
  <c r="CV72" i="2"/>
  <c r="CU81" i="2"/>
  <c r="BY28" i="3"/>
  <c r="BY42" i="3"/>
  <c r="CU88" i="2"/>
  <c r="CU87" i="2"/>
  <c r="CV64" i="2"/>
  <c r="CV52" i="2"/>
  <c r="CV76" i="2"/>
  <c r="AV34" i="4"/>
  <c r="AV36" i="4"/>
  <c r="AV35" i="4"/>
  <c r="BG24" i="4"/>
  <c r="BG23" i="4"/>
  <c r="BG22" i="4"/>
  <c r="BG12" i="4"/>
  <c r="BG10" i="4"/>
  <c r="BG11" i="4"/>
  <c r="AO18" i="4"/>
  <c r="AO6" i="4"/>
  <c r="AO8" i="4"/>
  <c r="AO37" i="4"/>
  <c r="AO21" i="4"/>
  <c r="AO31" i="4"/>
  <c r="AO33" i="4"/>
  <c r="AP20" i="4"/>
  <c r="AP25" i="4"/>
  <c r="AN9" i="4"/>
  <c r="AO7" i="4"/>
  <c r="AO19" i="4"/>
  <c r="AN13" i="4"/>
  <c r="AO30" i="4"/>
  <c r="AO32" i="4"/>
  <c r="AE10" i="6"/>
  <c r="AX10" i="5"/>
  <c r="AV13" i="5"/>
  <c r="AU16" i="5"/>
  <c r="AY7" i="6" s="1"/>
  <c r="AR21" i="5"/>
  <c r="AQ24" i="5"/>
  <c r="AP3" i="6"/>
  <c r="AO4" i="6"/>
  <c r="AR11" i="5"/>
  <c r="AQ15" i="5"/>
  <c r="AU8" i="6" s="1"/>
  <c r="CU89" i="2" l="1"/>
  <c r="BY50" i="3"/>
  <c r="BY51" i="3" s="1"/>
  <c r="BY36" i="3"/>
  <c r="BY37" i="3" s="1"/>
  <c r="CV65" i="2"/>
  <c r="CV53" i="2"/>
  <c r="CV77" i="2"/>
  <c r="AN40" i="4"/>
  <c r="AA9" i="6" s="1"/>
  <c r="BZ49" i="3"/>
  <c r="BZ47" i="3"/>
  <c r="BZ48" i="3"/>
  <c r="BZ46" i="3"/>
  <c r="BZ35" i="3"/>
  <c r="BZ33" i="3"/>
  <c r="BZ34" i="3"/>
  <c r="BZ32" i="3"/>
  <c r="CV86" i="2"/>
  <c r="CV84" i="2"/>
  <c r="BZ31" i="3"/>
  <c r="BZ45" i="3"/>
  <c r="CV87" i="2"/>
  <c r="CV83" i="2"/>
  <c r="BZ30" i="3"/>
  <c r="BZ44" i="3"/>
  <c r="CV85" i="2"/>
  <c r="CV81" i="2"/>
  <c r="BZ28" i="3"/>
  <c r="BZ42" i="3"/>
  <c r="CV88" i="2"/>
  <c r="CV82" i="2"/>
  <c r="BZ29" i="3"/>
  <c r="BZ43" i="3"/>
  <c r="AW34" i="4"/>
  <c r="AW35" i="4"/>
  <c r="AW36" i="4"/>
  <c r="BH22" i="4"/>
  <c r="BH24" i="4"/>
  <c r="BH23" i="4"/>
  <c r="BH10" i="4"/>
  <c r="BH12" i="4"/>
  <c r="BH11" i="4"/>
  <c r="AP7" i="4"/>
  <c r="AP31" i="4"/>
  <c r="AO13" i="4"/>
  <c r="AQ25" i="4"/>
  <c r="AP6" i="4"/>
  <c r="AP37" i="4"/>
  <c r="AP32" i="4"/>
  <c r="AP30" i="4"/>
  <c r="AQ20" i="4"/>
  <c r="AP21" i="4"/>
  <c r="AP33" i="4"/>
  <c r="AP8" i="4"/>
  <c r="AO9" i="4"/>
  <c r="AP19" i="4"/>
  <c r="AP18" i="4"/>
  <c r="AF10" i="6"/>
  <c r="AW13" i="5"/>
  <c r="AV16" i="5"/>
  <c r="AZ7" i="6" s="1"/>
  <c r="AY10" i="5"/>
  <c r="AS21" i="5"/>
  <c r="AR24" i="5"/>
  <c r="AQ3" i="6"/>
  <c r="AP4" i="6"/>
  <c r="AS11" i="5"/>
  <c r="AR15" i="5"/>
  <c r="AV8" i="6" s="1"/>
  <c r="CV89" i="2" l="1"/>
  <c r="AO40" i="4"/>
  <c r="AB9" i="6" s="1"/>
  <c r="BZ36" i="3"/>
  <c r="BZ37" i="3" s="1"/>
  <c r="BZ50" i="3"/>
  <c r="BZ51" i="3" s="1"/>
  <c r="AX35" i="4"/>
  <c r="AX36" i="4"/>
  <c r="AX34" i="4"/>
  <c r="BI24" i="4"/>
  <c r="BI23" i="4"/>
  <c r="BI22" i="4"/>
  <c r="BI12" i="4"/>
  <c r="BI11" i="4"/>
  <c r="BI10" i="4"/>
  <c r="AQ18" i="4"/>
  <c r="AQ21" i="4"/>
  <c r="AQ37" i="4"/>
  <c r="AR25" i="4"/>
  <c r="AQ33" i="4"/>
  <c r="AP9" i="4"/>
  <c r="AR20" i="4"/>
  <c r="AQ6" i="4"/>
  <c r="AQ31" i="4"/>
  <c r="AQ32" i="4"/>
  <c r="AP13" i="4"/>
  <c r="AQ19" i="4"/>
  <c r="AQ8" i="4"/>
  <c r="AQ30" i="4"/>
  <c r="AQ7" i="4"/>
  <c r="AG10" i="6"/>
  <c r="AZ10" i="5"/>
  <c r="AX13" i="5"/>
  <c r="AW16" i="5"/>
  <c r="BA7" i="6" s="1"/>
  <c r="AT21" i="5"/>
  <c r="AS24" i="5"/>
  <c r="AR3" i="6"/>
  <c r="AQ4" i="6"/>
  <c r="AT11" i="5"/>
  <c r="AS15" i="5"/>
  <c r="AW8" i="6" s="1"/>
  <c r="AP40" i="4" l="1"/>
  <c r="AC9" i="6" s="1"/>
  <c r="AY35" i="4"/>
  <c r="AY34" i="4"/>
  <c r="AY36" i="4"/>
  <c r="BJ23" i="4"/>
  <c r="BJ22" i="4"/>
  <c r="BJ24" i="4"/>
  <c r="BJ10" i="4"/>
  <c r="BJ11" i="4"/>
  <c r="BJ12" i="4"/>
  <c r="AS20" i="4"/>
  <c r="AR32" i="4"/>
  <c r="AQ9" i="4"/>
  <c r="AQ13" i="4"/>
  <c r="AR8" i="4"/>
  <c r="AR31" i="4"/>
  <c r="AR33" i="4"/>
  <c r="AR21" i="4"/>
  <c r="AR7" i="4"/>
  <c r="AS25" i="4"/>
  <c r="AR30" i="4"/>
  <c r="AR37" i="4"/>
  <c r="AR19" i="4"/>
  <c r="AR6" i="4"/>
  <c r="AR18" i="4"/>
  <c r="AH10" i="6"/>
  <c r="AY13" i="5"/>
  <c r="AX16" i="5"/>
  <c r="BB7" i="6" s="1"/>
  <c r="BA10" i="5"/>
  <c r="AU21" i="5"/>
  <c r="AT24" i="5"/>
  <c r="AS3" i="6"/>
  <c r="AR4" i="6"/>
  <c r="AU11" i="5"/>
  <c r="AT15" i="5"/>
  <c r="AX8" i="6" s="1"/>
  <c r="AQ40" i="4" l="1"/>
  <c r="AD9" i="6" s="1"/>
  <c r="AZ34" i="4"/>
  <c r="AZ36" i="4"/>
  <c r="AZ35" i="4"/>
  <c r="BK24" i="4"/>
  <c r="BK23" i="4"/>
  <c r="BK22" i="4"/>
  <c r="BK12" i="4"/>
  <c r="BK11" i="4"/>
  <c r="BK10" i="4"/>
  <c r="AS18" i="4"/>
  <c r="AS33" i="4"/>
  <c r="AT25" i="4"/>
  <c r="AS31" i="4"/>
  <c r="AS32" i="4"/>
  <c r="AS19" i="4"/>
  <c r="AS21" i="4"/>
  <c r="AS30" i="4"/>
  <c r="AS7" i="4"/>
  <c r="AS8" i="4"/>
  <c r="AT20" i="4"/>
  <c r="AR13" i="4"/>
  <c r="AS6" i="4"/>
  <c r="AR9" i="4"/>
  <c r="AS37" i="4"/>
  <c r="AI10" i="6"/>
  <c r="BB10" i="5"/>
  <c r="AZ13" i="5"/>
  <c r="AY16" i="5"/>
  <c r="BC7" i="6" s="1"/>
  <c r="AV21" i="5"/>
  <c r="AV24" i="5" s="1"/>
  <c r="AU24" i="5"/>
  <c r="AT3" i="6"/>
  <c r="AS4" i="6"/>
  <c r="AV11" i="5"/>
  <c r="AU15" i="5"/>
  <c r="AY8" i="6" s="1"/>
  <c r="AR40" i="4" l="1"/>
  <c r="AE9" i="6" s="1"/>
  <c r="BA35" i="4"/>
  <c r="BA36" i="4"/>
  <c r="BA34" i="4"/>
  <c r="BL23" i="4"/>
  <c r="BL22" i="4"/>
  <c r="BL24" i="4"/>
  <c r="BL12" i="4"/>
  <c r="BL10" i="4"/>
  <c r="BL11" i="4"/>
  <c r="AS13" i="4"/>
  <c r="AT31" i="4"/>
  <c r="AT21" i="4"/>
  <c r="AU25" i="4"/>
  <c r="AS9" i="4"/>
  <c r="AT8" i="4"/>
  <c r="AT19" i="4"/>
  <c r="AT33" i="4"/>
  <c r="AT37" i="4"/>
  <c r="AU20" i="4"/>
  <c r="AT6" i="4"/>
  <c r="AT7" i="4"/>
  <c r="AT30" i="4"/>
  <c r="AT32" i="4"/>
  <c r="AT18" i="4"/>
  <c r="AJ10" i="6"/>
  <c r="BA13" i="5"/>
  <c r="AZ16" i="5"/>
  <c r="BD7" i="6" s="1"/>
  <c r="BC10" i="5"/>
  <c r="AW21" i="5"/>
  <c r="AW24" i="5" s="1"/>
  <c r="AX21" i="5"/>
  <c r="AU3" i="6"/>
  <c r="AT4" i="6"/>
  <c r="AW11" i="5"/>
  <c r="AV15" i="5"/>
  <c r="AZ8" i="6" s="1"/>
  <c r="AS40" i="4" l="1"/>
  <c r="AF9" i="6" s="1"/>
  <c r="BB35" i="4"/>
  <c r="BB34" i="4"/>
  <c r="BB36" i="4"/>
  <c r="BM23" i="4"/>
  <c r="BM24" i="4"/>
  <c r="BM22" i="4"/>
  <c r="BM11" i="4"/>
  <c r="BM10" i="4"/>
  <c r="BM12" i="4"/>
  <c r="AU33" i="4"/>
  <c r="AU18" i="4"/>
  <c r="AU6" i="4"/>
  <c r="AU31" i="4"/>
  <c r="AV20" i="4"/>
  <c r="AU8" i="4"/>
  <c r="AV25" i="4"/>
  <c r="AU21" i="4"/>
  <c r="AU30" i="4"/>
  <c r="AU32" i="4"/>
  <c r="AU37" i="4"/>
  <c r="AT9" i="4"/>
  <c r="AT13" i="4"/>
  <c r="AU7" i="4"/>
  <c r="AU19" i="4"/>
  <c r="AK10" i="6"/>
  <c r="BD10" i="5"/>
  <c r="BB13" i="5"/>
  <c r="BA16" i="5"/>
  <c r="BE7" i="6" s="1"/>
  <c r="AY21" i="5"/>
  <c r="AX24" i="5"/>
  <c r="AV3" i="6"/>
  <c r="AU4" i="6"/>
  <c r="AX11" i="5"/>
  <c r="AW15" i="5"/>
  <c r="BA8" i="6" s="1"/>
  <c r="AT40" i="4" l="1"/>
  <c r="AG9" i="6" s="1"/>
  <c r="BC34" i="4"/>
  <c r="BC36" i="4"/>
  <c r="BC35" i="4"/>
  <c r="BN23" i="4"/>
  <c r="BN22" i="4"/>
  <c r="BN24" i="4"/>
  <c r="BN10" i="4"/>
  <c r="BN12" i="4"/>
  <c r="BN11" i="4"/>
  <c r="AV37" i="4"/>
  <c r="AV6" i="4"/>
  <c r="AV7" i="4"/>
  <c r="AV32" i="4"/>
  <c r="AU9" i="4"/>
  <c r="AV30" i="4"/>
  <c r="AV8" i="4"/>
  <c r="AV18" i="4"/>
  <c r="AV21" i="4"/>
  <c r="AU13" i="4"/>
  <c r="AV31" i="4"/>
  <c r="AV19" i="4"/>
  <c r="AW25" i="4"/>
  <c r="AW20" i="4"/>
  <c r="AV33" i="4"/>
  <c r="AL10" i="6"/>
  <c r="BC13" i="5"/>
  <c r="BB16" i="5"/>
  <c r="BF7" i="6" s="1"/>
  <c r="BE10" i="5"/>
  <c r="AZ21" i="5"/>
  <c r="AY24" i="5"/>
  <c r="AW3" i="6"/>
  <c r="AV4" i="6"/>
  <c r="AY11" i="5"/>
  <c r="AX15" i="5"/>
  <c r="BB8" i="6" s="1"/>
  <c r="AU40" i="4" l="1"/>
  <c r="AH9" i="6" s="1"/>
  <c r="BD34" i="4"/>
  <c r="BD35" i="4"/>
  <c r="BD36" i="4"/>
  <c r="BO23" i="4"/>
  <c r="BO22" i="4"/>
  <c r="BO24" i="4"/>
  <c r="BO11" i="4"/>
  <c r="BO12" i="4"/>
  <c r="BO10" i="4"/>
  <c r="AW8" i="4"/>
  <c r="AV13" i="4"/>
  <c r="AW31" i="4"/>
  <c r="AW30" i="4"/>
  <c r="AX25" i="4"/>
  <c r="AW21" i="4"/>
  <c r="AW32" i="4"/>
  <c r="AW33" i="4"/>
  <c r="AW7" i="4"/>
  <c r="AW6" i="4"/>
  <c r="AV9" i="4"/>
  <c r="AW37" i="4"/>
  <c r="AX20" i="4"/>
  <c r="AW19" i="4"/>
  <c r="AW18" i="4"/>
  <c r="AM10" i="6"/>
  <c r="BF10" i="5"/>
  <c r="BD13" i="5"/>
  <c r="BC16" i="5"/>
  <c r="BG7" i="6" s="1"/>
  <c r="BA21" i="5"/>
  <c r="AZ24" i="5"/>
  <c r="AX3" i="6"/>
  <c r="AW4" i="6"/>
  <c r="AZ11" i="5"/>
  <c r="AY15" i="5"/>
  <c r="BC8" i="6" s="1"/>
  <c r="AV40" i="4" l="1"/>
  <c r="AI9" i="6" s="1"/>
  <c r="BE35" i="4"/>
  <c r="BE34" i="4"/>
  <c r="BE36" i="4"/>
  <c r="BP22" i="4"/>
  <c r="BP23" i="4"/>
  <c r="BP24" i="4"/>
  <c r="BP12" i="4"/>
  <c r="BP10" i="4"/>
  <c r="BP11" i="4"/>
  <c r="AX18" i="4"/>
  <c r="AX21" i="4"/>
  <c r="AX32" i="4"/>
  <c r="AX19" i="4"/>
  <c r="AY20" i="4"/>
  <c r="AX7" i="4"/>
  <c r="AY25" i="4"/>
  <c r="AW13" i="4"/>
  <c r="AX31" i="4"/>
  <c r="AW9" i="4"/>
  <c r="AX6" i="4"/>
  <c r="AX37" i="4"/>
  <c r="AX33" i="4"/>
  <c r="AX30" i="4"/>
  <c r="AX8" i="4"/>
  <c r="AN10" i="6"/>
  <c r="BE13" i="5"/>
  <c r="BD16" i="5"/>
  <c r="BH7" i="6" s="1"/>
  <c r="BG10" i="5"/>
  <c r="BB21" i="5"/>
  <c r="BA24" i="5"/>
  <c r="AY3" i="6"/>
  <c r="AX4" i="6"/>
  <c r="BA11" i="5"/>
  <c r="AZ15" i="5"/>
  <c r="BD8" i="6" s="1"/>
  <c r="AW40" i="4" l="1"/>
  <c r="AJ9" i="6" s="1"/>
  <c r="BF34" i="4"/>
  <c r="BF35" i="4"/>
  <c r="BF36" i="4"/>
  <c r="BQ23" i="4"/>
  <c r="BQ24" i="4"/>
  <c r="BQ22" i="4"/>
  <c r="BQ10" i="4"/>
  <c r="BQ12" i="4"/>
  <c r="BQ11" i="4"/>
  <c r="AY32" i="4"/>
  <c r="AY7" i="4"/>
  <c r="AY19" i="4"/>
  <c r="AY8" i="4"/>
  <c r="AY30" i="4"/>
  <c r="AY33" i="4"/>
  <c r="AY31" i="4"/>
  <c r="AZ20" i="4"/>
  <c r="AY21" i="4"/>
  <c r="AZ25" i="4"/>
  <c r="AX9" i="4"/>
  <c r="AX13" i="4"/>
  <c r="AY6" i="4"/>
  <c r="AY37" i="4"/>
  <c r="AY18" i="4"/>
  <c r="AO10" i="6"/>
  <c r="BH10" i="5"/>
  <c r="BF13" i="5"/>
  <c r="BE16" i="5"/>
  <c r="BI7" i="6" s="1"/>
  <c r="BC21" i="5"/>
  <c r="BB24" i="5"/>
  <c r="AZ3" i="6"/>
  <c r="AY4" i="6"/>
  <c r="BB11" i="5"/>
  <c r="BA15" i="5"/>
  <c r="BE8" i="6" s="1"/>
  <c r="AX40" i="4" l="1"/>
  <c r="AK9" i="6" s="1"/>
  <c r="BG35" i="4"/>
  <c r="BG36" i="4"/>
  <c r="BG34" i="4"/>
  <c r="BR22" i="4"/>
  <c r="BR24" i="4"/>
  <c r="BR23" i="4"/>
  <c r="BR12" i="4"/>
  <c r="BR11" i="4"/>
  <c r="BR10" i="4"/>
  <c r="AY9" i="4"/>
  <c r="BA25" i="4"/>
  <c r="AZ33" i="4"/>
  <c r="AZ7" i="4"/>
  <c r="AZ18" i="4"/>
  <c r="AZ19" i="4"/>
  <c r="AZ37" i="4"/>
  <c r="AZ6" i="4"/>
  <c r="AZ8" i="4"/>
  <c r="AZ21" i="4"/>
  <c r="AZ30" i="4"/>
  <c r="AZ31" i="4"/>
  <c r="AY13" i="4"/>
  <c r="BA20" i="4"/>
  <c r="AZ32" i="4"/>
  <c r="AP10" i="6"/>
  <c r="BG13" i="5"/>
  <c r="BF16" i="5"/>
  <c r="BJ7" i="6" s="1"/>
  <c r="BI10" i="5"/>
  <c r="BD21" i="5"/>
  <c r="BC24" i="5"/>
  <c r="BA3" i="6"/>
  <c r="AZ4" i="6"/>
  <c r="BC11" i="5"/>
  <c r="BB15" i="5"/>
  <c r="BF8" i="6" s="1"/>
  <c r="AY40" i="4" l="1"/>
  <c r="AL9" i="6" s="1"/>
  <c r="BH35" i="4"/>
  <c r="BH34" i="4"/>
  <c r="BH36" i="4"/>
  <c r="BS22" i="4"/>
  <c r="BS23" i="4"/>
  <c r="BS24" i="4"/>
  <c r="BS11" i="4"/>
  <c r="BS10" i="4"/>
  <c r="BS12" i="4"/>
  <c r="BA32" i="4"/>
  <c r="BB20" i="4"/>
  <c r="BA33" i="4"/>
  <c r="BA21" i="4"/>
  <c r="BA19" i="4"/>
  <c r="BB25" i="4"/>
  <c r="BA6" i="4"/>
  <c r="BA7" i="4"/>
  <c r="BA30" i="4"/>
  <c r="AZ13" i="4"/>
  <c r="BA37" i="4"/>
  <c r="BA31" i="4"/>
  <c r="BA8" i="4"/>
  <c r="BA18" i="4"/>
  <c r="AZ9" i="4"/>
  <c r="AQ10" i="6"/>
  <c r="BJ10" i="5"/>
  <c r="BH13" i="5"/>
  <c r="BG16" i="5"/>
  <c r="BK7" i="6" s="1"/>
  <c r="BE21" i="5"/>
  <c r="BD24" i="5"/>
  <c r="BB3" i="6"/>
  <c r="BA4" i="6"/>
  <c r="BD11" i="5"/>
  <c r="BC15" i="5"/>
  <c r="BG8" i="6" s="1"/>
  <c r="AZ40" i="4" l="1"/>
  <c r="AM9" i="6" s="1"/>
  <c r="BI34" i="4"/>
  <c r="BI35" i="4"/>
  <c r="BI36" i="4"/>
  <c r="BT24" i="4"/>
  <c r="BT23" i="4"/>
  <c r="BT22" i="4"/>
  <c r="BT10" i="4"/>
  <c r="BT12" i="4"/>
  <c r="BT11" i="4"/>
  <c r="BB7" i="4"/>
  <c r="BB37" i="4"/>
  <c r="BB18" i="4"/>
  <c r="BA13" i="4"/>
  <c r="BC25" i="4"/>
  <c r="BB6" i="4"/>
  <c r="BC20" i="4"/>
  <c r="BB8" i="4"/>
  <c r="BB21" i="4"/>
  <c r="BB33" i="4"/>
  <c r="BB31" i="4"/>
  <c r="BB30" i="4"/>
  <c r="BB19" i="4"/>
  <c r="BB32" i="4"/>
  <c r="BA9" i="4"/>
  <c r="AR10" i="6"/>
  <c r="BI13" i="5"/>
  <c r="BH16" i="5"/>
  <c r="BL7" i="6" s="1"/>
  <c r="BK10" i="5"/>
  <c r="BF21" i="5"/>
  <c r="BE24" i="5"/>
  <c r="BC3" i="6"/>
  <c r="BB4" i="6"/>
  <c r="BE11" i="5"/>
  <c r="BD15" i="5"/>
  <c r="BH8" i="6" s="1"/>
  <c r="BA40" i="4" l="1"/>
  <c r="AN9" i="6" s="1"/>
  <c r="BJ35" i="4"/>
  <c r="BJ36" i="4"/>
  <c r="BJ34" i="4"/>
  <c r="BU22" i="4"/>
  <c r="BU23" i="4"/>
  <c r="BU24" i="4"/>
  <c r="BU12" i="4"/>
  <c r="BU11" i="4"/>
  <c r="BU10" i="4"/>
  <c r="BB13" i="4"/>
  <c r="BC31" i="4"/>
  <c r="BC33" i="4"/>
  <c r="BC30" i="4"/>
  <c r="BC8" i="4"/>
  <c r="BB9" i="4"/>
  <c r="BC32" i="4"/>
  <c r="BC6" i="4"/>
  <c r="BC37" i="4"/>
  <c r="BD20" i="4"/>
  <c r="BC18" i="4"/>
  <c r="BC19" i="4"/>
  <c r="BC21" i="4"/>
  <c r="BD25" i="4"/>
  <c r="BC7" i="4"/>
  <c r="AS10" i="6"/>
  <c r="BL10" i="5"/>
  <c r="BJ13" i="5"/>
  <c r="BI16" i="5"/>
  <c r="BM7" i="6" s="1"/>
  <c r="BG21" i="5"/>
  <c r="BF24" i="5"/>
  <c r="BD3" i="6"/>
  <c r="BC4" i="6"/>
  <c r="BF11" i="5"/>
  <c r="BE15" i="5"/>
  <c r="BI8" i="6" s="1"/>
  <c r="BB40" i="4" l="1"/>
  <c r="AO9" i="6" s="1"/>
  <c r="BK34" i="4"/>
  <c r="BK36" i="4"/>
  <c r="BK35" i="4"/>
  <c r="BV22" i="4"/>
  <c r="BV24" i="4"/>
  <c r="BV23" i="4"/>
  <c r="BV11" i="4"/>
  <c r="BV10" i="4"/>
  <c r="BV12" i="4"/>
  <c r="BD33" i="4"/>
  <c r="BD31" i="4"/>
  <c r="BE25" i="4"/>
  <c r="BD21" i="4"/>
  <c r="BE20" i="4"/>
  <c r="BC9" i="4"/>
  <c r="BD6" i="4"/>
  <c r="BD18" i="4"/>
  <c r="BD30" i="4"/>
  <c r="BD7" i="4"/>
  <c r="BD32" i="4"/>
  <c r="BD19" i="4"/>
  <c r="BD37" i="4"/>
  <c r="BD8" i="4"/>
  <c r="BC13" i="4"/>
  <c r="AT10" i="6"/>
  <c r="BK13" i="5"/>
  <c r="BJ16" i="5"/>
  <c r="BN7" i="6" s="1"/>
  <c r="BH21" i="5"/>
  <c r="BG24" i="5"/>
  <c r="BE3" i="6"/>
  <c r="BD4" i="6"/>
  <c r="BG11" i="5"/>
  <c r="BF15" i="5"/>
  <c r="BJ8" i="6" s="1"/>
  <c r="BC40" i="4" l="1"/>
  <c r="AP9" i="6" s="1"/>
  <c r="BL34" i="4"/>
  <c r="BL35" i="4"/>
  <c r="BL36" i="4"/>
  <c r="BW22" i="4"/>
  <c r="BW23" i="4"/>
  <c r="BW24" i="4"/>
  <c r="BW12" i="4"/>
  <c r="BW10" i="4"/>
  <c r="BW11" i="4"/>
  <c r="BE6" i="4"/>
  <c r="BE8" i="4"/>
  <c r="BE30" i="4"/>
  <c r="BD9" i="4"/>
  <c r="BE31" i="4"/>
  <c r="BD13" i="4"/>
  <c r="BE7" i="4"/>
  <c r="BE37" i="4"/>
  <c r="BE21" i="4"/>
  <c r="BE32" i="4"/>
  <c r="BF20" i="4"/>
  <c r="BF25" i="4"/>
  <c r="BE19" i="4"/>
  <c r="BE18" i="4"/>
  <c r="BE33" i="4"/>
  <c r="AU10" i="6"/>
  <c r="BL13" i="5"/>
  <c r="BL16" i="5" s="1"/>
  <c r="BK16" i="5"/>
  <c r="BO7" i="6" s="1"/>
  <c r="G7" i="6" s="1"/>
  <c r="BI21" i="5"/>
  <c r="BH24" i="5"/>
  <c r="BF3" i="6"/>
  <c r="BE4" i="6"/>
  <c r="BH11" i="5"/>
  <c r="BG15" i="5"/>
  <c r="BK8" i="6" s="1"/>
  <c r="BD40" i="4" l="1"/>
  <c r="AQ9" i="6" s="1"/>
  <c r="BM35" i="4"/>
  <c r="BM34" i="4"/>
  <c r="BM36" i="4"/>
  <c r="BX22" i="4"/>
  <c r="BX23" i="4"/>
  <c r="BX24" i="4"/>
  <c r="BX11" i="4"/>
  <c r="BX10" i="4"/>
  <c r="BX12" i="4"/>
  <c r="BG25" i="4"/>
  <c r="BF37" i="4"/>
  <c r="BG20" i="4"/>
  <c r="BF18" i="4"/>
  <c r="BF32" i="4"/>
  <c r="BF30" i="4"/>
  <c r="BF7" i="4"/>
  <c r="BE13" i="4"/>
  <c r="BF8" i="4"/>
  <c r="BF33" i="4"/>
  <c r="BF19" i="4"/>
  <c r="BF21" i="4"/>
  <c r="BF31" i="4"/>
  <c r="BE9" i="4"/>
  <c r="BF6" i="4"/>
  <c r="AV10" i="6"/>
  <c r="BJ21" i="5"/>
  <c r="BI24" i="5"/>
  <c r="BG3" i="6"/>
  <c r="BF4" i="6"/>
  <c r="BI11" i="5"/>
  <c r="BH15" i="5"/>
  <c r="BL8" i="6" s="1"/>
  <c r="BE40" i="4" l="1"/>
  <c r="AR9" i="6" s="1"/>
  <c r="BN34" i="4"/>
  <c r="BN36" i="4"/>
  <c r="BN35" i="4"/>
  <c r="BY23" i="4"/>
  <c r="BY24" i="4"/>
  <c r="BY22" i="4"/>
  <c r="BY10" i="4"/>
  <c r="BY12" i="4"/>
  <c r="BY11" i="4"/>
  <c r="BF13" i="4"/>
  <c r="BF9" i="4"/>
  <c r="BG30" i="4"/>
  <c r="BG21" i="4"/>
  <c r="BG18" i="4"/>
  <c r="BG37" i="4"/>
  <c r="BG6" i="4"/>
  <c r="BG19" i="4"/>
  <c r="BG33" i="4"/>
  <c r="BG31" i="4"/>
  <c r="BG8" i="4"/>
  <c r="BH20" i="4"/>
  <c r="BG7" i="4"/>
  <c r="BG32" i="4"/>
  <c r="BH25" i="4"/>
  <c r="AW10" i="6"/>
  <c r="BK21" i="5"/>
  <c r="BJ24" i="5"/>
  <c r="BH3" i="6"/>
  <c r="BG4" i="6"/>
  <c r="BJ11" i="5"/>
  <c r="BI15" i="5"/>
  <c r="BM8" i="6" s="1"/>
  <c r="BF40" i="4" l="1"/>
  <c r="AS9" i="6" s="1"/>
  <c r="BO35" i="4"/>
  <c r="BO36" i="4"/>
  <c r="BO34" i="4"/>
  <c r="BZ24" i="4"/>
  <c r="BZ23" i="4"/>
  <c r="BZ22" i="4"/>
  <c r="BZ12" i="4"/>
  <c r="BZ11" i="4"/>
  <c r="BZ10" i="4"/>
  <c r="BI25" i="4"/>
  <c r="BH31" i="4"/>
  <c r="BH30" i="4"/>
  <c r="BH32" i="4"/>
  <c r="BH37" i="4"/>
  <c r="BH19" i="4"/>
  <c r="BH6" i="4"/>
  <c r="BH33" i="4"/>
  <c r="BG9" i="4"/>
  <c r="BH7" i="4"/>
  <c r="BI20" i="4"/>
  <c r="BH21" i="4"/>
  <c r="BH8" i="4"/>
  <c r="BH18" i="4"/>
  <c r="BG13" i="4"/>
  <c r="AX10" i="6"/>
  <c r="BL21" i="5"/>
  <c r="BL24" i="5" s="1"/>
  <c r="BK24" i="5"/>
  <c r="BI3" i="6"/>
  <c r="BH4" i="6"/>
  <c r="BK11" i="5"/>
  <c r="BJ15" i="5"/>
  <c r="BN8" i="6" s="1"/>
  <c r="BG40" i="4" l="1"/>
  <c r="AT9" i="6" s="1"/>
  <c r="BP34" i="4"/>
  <c r="BP36" i="4"/>
  <c r="BP35" i="4"/>
  <c r="CA24" i="4"/>
  <c r="CA23" i="4"/>
  <c r="CA22" i="4"/>
  <c r="CA12" i="4"/>
  <c r="CA10" i="4"/>
  <c r="CA11" i="4"/>
  <c r="BI32" i="4"/>
  <c r="BI6" i="4"/>
  <c r="BI18" i="4"/>
  <c r="BI19" i="4"/>
  <c r="BI8" i="4"/>
  <c r="BI31" i="4"/>
  <c r="BJ20" i="4"/>
  <c r="BI30" i="4"/>
  <c r="BH9" i="4"/>
  <c r="BI37" i="4"/>
  <c r="BH13" i="4"/>
  <c r="BI7" i="4"/>
  <c r="BI21" i="4"/>
  <c r="BI33" i="4"/>
  <c r="BJ25" i="4"/>
  <c r="AY10" i="6"/>
  <c r="BJ3" i="6"/>
  <c r="BI4" i="6"/>
  <c r="G11" i="6" s="1"/>
  <c r="BL11" i="5"/>
  <c r="BK15" i="5"/>
  <c r="BO8" i="6" s="1"/>
  <c r="G8" i="6" s="1"/>
  <c r="BH40" i="4" l="1"/>
  <c r="AU9" i="6" s="1"/>
  <c r="BQ35" i="4"/>
  <c r="BQ36" i="4"/>
  <c r="BQ34" i="4"/>
  <c r="CC24" i="4"/>
  <c r="CB24" i="4"/>
  <c r="CC22" i="4"/>
  <c r="CB22" i="4"/>
  <c r="CC23" i="4"/>
  <c r="CB23" i="4"/>
  <c r="CC11" i="4"/>
  <c r="CB11" i="4"/>
  <c r="CC10" i="4"/>
  <c r="CB10" i="4"/>
  <c r="CC12" i="4"/>
  <c r="CB12" i="4"/>
  <c r="BJ30" i="4"/>
  <c r="BK25" i="4"/>
  <c r="BK20" i="4"/>
  <c r="BJ18" i="4"/>
  <c r="BJ37" i="4"/>
  <c r="BJ31" i="4"/>
  <c r="BJ19" i="4"/>
  <c r="BJ33" i="4"/>
  <c r="BJ21" i="4"/>
  <c r="BJ6" i="4"/>
  <c r="BJ7" i="4"/>
  <c r="BI9" i="4"/>
  <c r="BJ8" i="4"/>
  <c r="BI13" i="4"/>
  <c r="BJ32" i="4"/>
  <c r="AZ10" i="6"/>
  <c r="BL15" i="5"/>
  <c r="BK3" i="6"/>
  <c r="BJ4" i="6"/>
  <c r="BI40" i="4" l="1"/>
  <c r="AV9" i="6" s="1"/>
  <c r="BR34" i="4"/>
  <c r="BR36" i="4"/>
  <c r="BR35" i="4"/>
  <c r="BL20" i="4"/>
  <c r="BK31" i="4"/>
  <c r="BK18" i="4"/>
  <c r="BK7" i="4"/>
  <c r="BK8" i="4"/>
  <c r="BK21" i="4"/>
  <c r="BL25" i="4"/>
  <c r="BK19" i="4"/>
  <c r="BJ13" i="4"/>
  <c r="BK37" i="4"/>
  <c r="BK33" i="4"/>
  <c r="BK32" i="4"/>
  <c r="BK6" i="4"/>
  <c r="BJ9" i="4"/>
  <c r="BK30" i="4"/>
  <c r="BA10" i="6"/>
  <c r="BL3" i="6"/>
  <c r="BK4" i="6"/>
  <c r="BJ40" i="4" l="1"/>
  <c r="AW9" i="6" s="1"/>
  <c r="BS35" i="4"/>
  <c r="BS36" i="4"/>
  <c r="BS34" i="4"/>
  <c r="BL19" i="4"/>
  <c r="BL18" i="4"/>
  <c r="BK9" i="4"/>
  <c r="BL37" i="4"/>
  <c r="BL21" i="4"/>
  <c r="BL31" i="4"/>
  <c r="BL7" i="4"/>
  <c r="BL30" i="4"/>
  <c r="BM25" i="4"/>
  <c r="BL6" i="4"/>
  <c r="BK13" i="4"/>
  <c r="BL8" i="4"/>
  <c r="BM20" i="4"/>
  <c r="BL32" i="4"/>
  <c r="BL33" i="4"/>
  <c r="BB10" i="6"/>
  <c r="BM3" i="6"/>
  <c r="BL4" i="6"/>
  <c r="BK40" i="4" l="1"/>
  <c r="AX9" i="6" s="1"/>
  <c r="BT34" i="4"/>
  <c r="BT36" i="4"/>
  <c r="BT35" i="4"/>
  <c r="BL9" i="4"/>
  <c r="BM32" i="4"/>
  <c r="BM31" i="4"/>
  <c r="BM8" i="4"/>
  <c r="BM37" i="4"/>
  <c r="BL13" i="4"/>
  <c r="BN20" i="4"/>
  <c r="BM18" i="4"/>
  <c r="BM6" i="4"/>
  <c r="BN25" i="4"/>
  <c r="BM33" i="4"/>
  <c r="BM7" i="4"/>
  <c r="BM30" i="4"/>
  <c r="BM21" i="4"/>
  <c r="BM19" i="4"/>
  <c r="BC10" i="6"/>
  <c r="BN3" i="6"/>
  <c r="BM4" i="6"/>
  <c r="BL40" i="4" l="1"/>
  <c r="AY9" i="6" s="1"/>
  <c r="BU35" i="4"/>
  <c r="BU36" i="4"/>
  <c r="BU34" i="4"/>
  <c r="BN8" i="4"/>
  <c r="BN31" i="4"/>
  <c r="BN21" i="4"/>
  <c r="BM13" i="4"/>
  <c r="BN32" i="4"/>
  <c r="BO20" i="4"/>
  <c r="BO25" i="4"/>
  <c r="BN30" i="4"/>
  <c r="BN6" i="4"/>
  <c r="BN19" i="4"/>
  <c r="BN37" i="4"/>
  <c r="BM9" i="4"/>
  <c r="BN33" i="4"/>
  <c r="BN7" i="4"/>
  <c r="BN18" i="4"/>
  <c r="BD10" i="6"/>
  <c r="BO3" i="6"/>
  <c r="BO4" i="6" s="1"/>
  <c r="G12" i="6" s="1"/>
  <c r="G13" i="6" s="1"/>
  <c r="BN4" i="6"/>
  <c r="BM40" i="4" l="1"/>
  <c r="AZ9" i="6" s="1"/>
  <c r="BV34" i="4"/>
  <c r="BV36" i="4"/>
  <c r="BV35" i="4"/>
  <c r="BO21" i="4"/>
  <c r="BO33" i="4"/>
  <c r="BO31" i="4"/>
  <c r="BO18" i="4"/>
  <c r="BN13" i="4"/>
  <c r="BO7" i="4"/>
  <c r="BO19" i="4"/>
  <c r="BP20" i="4"/>
  <c r="BO6" i="4"/>
  <c r="BO30" i="4"/>
  <c r="BO37" i="4"/>
  <c r="BP25" i="4"/>
  <c r="BN9" i="4"/>
  <c r="BO32" i="4"/>
  <c r="BO8" i="4"/>
  <c r="BE10" i="6"/>
  <c r="BN40" i="4" l="1"/>
  <c r="BA9" i="6" s="1"/>
  <c r="BW35" i="4"/>
  <c r="BW36" i="4"/>
  <c r="BW34" i="4"/>
  <c r="BQ25" i="4"/>
  <c r="BQ20" i="4"/>
  <c r="BP32" i="4"/>
  <c r="BP30" i="4"/>
  <c r="BP33" i="4"/>
  <c r="BP18" i="4"/>
  <c r="BP31" i="4"/>
  <c r="BP19" i="4"/>
  <c r="BP6" i="4"/>
  <c r="BP7" i="4"/>
  <c r="BP8" i="4"/>
  <c r="BO9" i="4"/>
  <c r="BP37" i="4"/>
  <c r="BO13" i="4"/>
  <c r="BP21" i="4"/>
  <c r="BF10" i="6"/>
  <c r="BO40" i="4" l="1"/>
  <c r="BB9" i="6" s="1"/>
  <c r="BX34" i="4"/>
  <c r="BX36" i="4"/>
  <c r="BX35" i="4"/>
  <c r="BQ8" i="4"/>
  <c r="BQ32" i="4"/>
  <c r="BP13" i="4"/>
  <c r="BQ6" i="4"/>
  <c r="BQ31" i="4"/>
  <c r="BQ37" i="4"/>
  <c r="BR20" i="4"/>
  <c r="BQ21" i="4"/>
  <c r="BQ18" i="4"/>
  <c r="BQ33" i="4"/>
  <c r="BQ30" i="4"/>
  <c r="BQ7" i="4"/>
  <c r="BP9" i="4"/>
  <c r="BQ19" i="4"/>
  <c r="BR25" i="4"/>
  <c r="BG10" i="6"/>
  <c r="BP40" i="4" l="1"/>
  <c r="BC9" i="6" s="1"/>
  <c r="BY35" i="4"/>
  <c r="BY36" i="4"/>
  <c r="BY34" i="4"/>
  <c r="BS25" i="4"/>
  <c r="BQ13" i="4"/>
  <c r="BR37" i="4"/>
  <c r="BR32" i="4"/>
  <c r="BR30" i="4"/>
  <c r="BR33" i="4"/>
  <c r="BR19" i="4"/>
  <c r="BQ9" i="4"/>
  <c r="BR18" i="4"/>
  <c r="BR6" i="4"/>
  <c r="BR31" i="4"/>
  <c r="BR8" i="4"/>
  <c r="BS20" i="4"/>
  <c r="BR7" i="4"/>
  <c r="BR21" i="4"/>
  <c r="BH10" i="6"/>
  <c r="BQ40" i="4" l="1"/>
  <c r="BD9" i="6" s="1"/>
  <c r="BZ34" i="4"/>
  <c r="BZ36" i="4"/>
  <c r="BZ35" i="4"/>
  <c r="BS7" i="4"/>
  <c r="BS6" i="4"/>
  <c r="BS33" i="4"/>
  <c r="BS21" i="4"/>
  <c r="BS32" i="4"/>
  <c r="BS19" i="4"/>
  <c r="BT20" i="4"/>
  <c r="BR13" i="4"/>
  <c r="BS31" i="4"/>
  <c r="BS37" i="4"/>
  <c r="BS30" i="4"/>
  <c r="BR9" i="4"/>
  <c r="BS8" i="4"/>
  <c r="BS18" i="4"/>
  <c r="BT25" i="4"/>
  <c r="BI10" i="6"/>
  <c r="BR40" i="4" l="1"/>
  <c r="BE9" i="6" s="1"/>
  <c r="CA35" i="4"/>
  <c r="CA36" i="4"/>
  <c r="CA34" i="4"/>
  <c r="BT30" i="4"/>
  <c r="BT18" i="4"/>
  <c r="BT6" i="4"/>
  <c r="BT19" i="4"/>
  <c r="BT21" i="4"/>
  <c r="BU25" i="4"/>
  <c r="BU20" i="4"/>
  <c r="BT8" i="4"/>
  <c r="BT31" i="4"/>
  <c r="BS13" i="4"/>
  <c r="BT33" i="4"/>
  <c r="BT37" i="4"/>
  <c r="BT32" i="4"/>
  <c r="BS9" i="4"/>
  <c r="BT7" i="4"/>
  <c r="BJ10" i="6"/>
  <c r="BS40" i="4" l="1"/>
  <c r="BF9" i="6" s="1"/>
  <c r="CC34" i="4"/>
  <c r="CB34" i="4"/>
  <c r="CC36" i="4"/>
  <c r="CB36" i="4"/>
  <c r="CC35" i="4"/>
  <c r="CB35" i="4"/>
  <c r="BU37" i="4"/>
  <c r="BU8" i="4"/>
  <c r="BU6" i="4"/>
  <c r="BT13" i="4"/>
  <c r="BU33" i="4"/>
  <c r="BU32" i="4"/>
  <c r="BV25" i="4"/>
  <c r="BU18" i="4"/>
  <c r="BU7" i="4"/>
  <c r="BV20" i="4"/>
  <c r="BU31" i="4"/>
  <c r="BU19" i="4"/>
  <c r="BT9" i="4"/>
  <c r="BU21" i="4"/>
  <c r="BU30" i="4"/>
  <c r="BK10" i="6"/>
  <c r="BT40" i="4" l="1"/>
  <c r="BG9" i="6" s="1"/>
  <c r="BU13" i="4"/>
  <c r="BV30" i="4"/>
  <c r="BU9" i="4"/>
  <c r="BW20" i="4"/>
  <c r="BV32" i="4"/>
  <c r="BV8" i="4"/>
  <c r="BV18" i="4"/>
  <c r="BV6" i="4"/>
  <c r="BV33" i="4"/>
  <c r="BW25" i="4"/>
  <c r="BV19" i="4"/>
  <c r="BV7" i="4"/>
  <c r="BV37" i="4"/>
  <c r="BV31" i="4"/>
  <c r="BV21" i="4"/>
  <c r="BL10" i="6"/>
  <c r="BU40" i="4" l="1"/>
  <c r="BH9" i="6" s="1"/>
  <c r="BV9" i="4"/>
  <c r="BW18" i="4"/>
  <c r="BW31" i="4"/>
  <c r="BW33" i="4"/>
  <c r="BW7" i="4"/>
  <c r="BW6" i="4"/>
  <c r="BW32" i="4"/>
  <c r="BW8" i="4"/>
  <c r="BX25" i="4"/>
  <c r="BW30" i="4"/>
  <c r="BW37" i="4"/>
  <c r="BW21" i="4"/>
  <c r="BW19" i="4"/>
  <c r="BX20" i="4"/>
  <c r="BV13" i="4"/>
  <c r="BM10" i="6"/>
  <c r="BV40" i="4" l="1"/>
  <c r="BI9" i="6" s="1"/>
  <c r="BW13" i="4"/>
  <c r="BX32" i="4"/>
  <c r="BY20" i="4"/>
  <c r="BX8" i="4"/>
  <c r="BX33" i="4"/>
  <c r="BX19" i="4"/>
  <c r="BY25" i="4"/>
  <c r="BX31" i="4"/>
  <c r="BX30" i="4"/>
  <c r="BX6" i="4"/>
  <c r="BX7" i="4"/>
  <c r="BX37" i="4"/>
  <c r="BX18" i="4"/>
  <c r="BX21" i="4"/>
  <c r="BW9" i="4"/>
  <c r="BN10" i="6"/>
  <c r="BW40" i="4" l="1"/>
  <c r="BJ9" i="6" s="1"/>
  <c r="BZ20" i="4"/>
  <c r="BY21" i="4"/>
  <c r="BY6" i="4"/>
  <c r="BY31" i="4"/>
  <c r="BY8" i="4"/>
  <c r="BX9" i="4"/>
  <c r="BY30" i="4"/>
  <c r="BY19" i="4"/>
  <c r="BY32" i="4"/>
  <c r="BY7" i="4"/>
  <c r="BZ25" i="4"/>
  <c r="BY18" i="4"/>
  <c r="BY37" i="4"/>
  <c r="BY33" i="4"/>
  <c r="BX13" i="4"/>
  <c r="BO10" i="6"/>
  <c r="G10" i="6" s="1"/>
  <c r="BX40" i="4" l="1"/>
  <c r="BK9" i="6" s="1"/>
  <c r="BZ6" i="4"/>
  <c r="BZ31" i="4"/>
  <c r="CA25" i="4"/>
  <c r="BZ33" i="4"/>
  <c r="BZ7" i="4"/>
  <c r="BY9" i="4"/>
  <c r="BZ21" i="4"/>
  <c r="BZ19" i="4"/>
  <c r="CA20" i="4"/>
  <c r="BZ18" i="4"/>
  <c r="BY13" i="4"/>
  <c r="BZ30" i="4"/>
  <c r="BZ37" i="4"/>
  <c r="BZ32" i="4"/>
  <c r="BZ8" i="4"/>
  <c r="BY40" i="4" l="1"/>
  <c r="BL9" i="6" s="1"/>
  <c r="CA19" i="4"/>
  <c r="BZ13" i="4"/>
  <c r="CA31" i="4"/>
  <c r="CA8" i="4"/>
  <c r="CC25" i="4"/>
  <c r="CB25" i="4"/>
  <c r="CA32" i="4"/>
  <c r="BZ9" i="4"/>
  <c r="CA37" i="4"/>
  <c r="CB20" i="4"/>
  <c r="CC20" i="4"/>
  <c r="CA7" i="4"/>
  <c r="CA21" i="4"/>
  <c r="CA18" i="4"/>
  <c r="CA30" i="4"/>
  <c r="CA33" i="4"/>
  <c r="CA6" i="4"/>
  <c r="BZ40" i="4" l="1"/>
  <c r="BM9" i="6" s="1"/>
  <c r="CC18" i="4"/>
  <c r="CB18" i="4"/>
  <c r="CC37" i="4"/>
  <c r="CB37" i="4"/>
  <c r="CC8" i="4"/>
  <c r="CB8" i="4"/>
  <c r="CC21" i="4"/>
  <c r="CB21" i="4"/>
  <c r="CC7" i="4"/>
  <c r="CB7" i="4"/>
  <c r="CA13" i="4"/>
  <c r="CA9" i="4"/>
  <c r="CC32" i="4"/>
  <c r="CB32" i="4"/>
  <c r="CB6" i="4"/>
  <c r="CC6" i="4"/>
  <c r="CC31" i="4"/>
  <c r="CB31" i="4"/>
  <c r="CB33" i="4"/>
  <c r="CC33" i="4"/>
  <c r="CB30" i="4"/>
  <c r="CC30" i="4"/>
  <c r="CC19" i="4"/>
  <c r="CB19" i="4"/>
  <c r="CA40" i="4" l="1"/>
  <c r="BN9" i="6" s="1"/>
  <c r="CC13" i="4"/>
  <c r="CB13" i="4"/>
  <c r="CC9" i="4"/>
  <c r="CB9" i="4"/>
  <c r="CB40" i="4" l="1"/>
  <c r="BO9" i="6" s="1"/>
  <c r="CC40" i="4"/>
  <c r="G9" i="6" l="1"/>
  <c r="G15" i="6" s="1"/>
  <c r="G17" i="6" s="1"/>
</calcChain>
</file>

<file path=xl/sharedStrings.xml><?xml version="1.0" encoding="utf-8"?>
<sst xmlns="http://schemas.openxmlformats.org/spreadsheetml/2006/main" count="732" uniqueCount="269">
  <si>
    <t>Anytime Day Single</t>
  </si>
  <si>
    <t>First Anytime Day Single</t>
  </si>
  <si>
    <t>Cheapest Standard Single</t>
  </si>
  <si>
    <t>Cheapest First Class Single</t>
  </si>
  <si>
    <t>Super Off-Peak Day Single</t>
  </si>
  <si>
    <t>Season Standard Class</t>
  </si>
  <si>
    <t>Season First Class</t>
  </si>
  <si>
    <t>Demand Proportion by year</t>
  </si>
  <si>
    <t>Financial year</t>
  </si>
  <si>
    <t>Franchised ordinary fares Advanced</t>
  </si>
  <si>
    <t>Franchised ordinary fares Anytime/Peak</t>
  </si>
  <si>
    <t>Franchised ordinary fares Off-Peak</t>
  </si>
  <si>
    <t>Franchised ordinary fares Other</t>
  </si>
  <si>
    <t>Franchised ordinary fares Total</t>
  </si>
  <si>
    <t>Franchised season tickets</t>
  </si>
  <si>
    <t>Total franchised passenger journeys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</si>
  <si>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</si>
  <si>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</si>
  <si>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</si>
  <si>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</si>
  <si>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</si>
  <si>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</si>
  <si>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</si>
  <si>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</si>
  <si>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</si>
  <si>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</si>
  <si>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</si>
  <si>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</si>
  <si>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Seats Typical 9 carriage train</t>
  </si>
  <si>
    <t>First Class</t>
  </si>
  <si>
    <t>Standard Class</t>
  </si>
  <si>
    <t>Proportion Used</t>
  </si>
  <si>
    <t>Total proportion (1)</t>
  </si>
  <si>
    <t>Ticket category</t>
  </si>
  <si>
    <t>Real terms change in average price year on year</t>
  </si>
  <si>
    <t>Real terms change in average price year on 2004</t>
  </si>
  <si>
    <t>London and South East (2)</t>
  </si>
  <si>
    <t>Advance</t>
  </si>
  <si>
    <t>Anytime</t>
  </si>
  <si>
    <t>Off Peak</t>
  </si>
  <si>
    <t>Season</t>
  </si>
  <si>
    <t>Super Off Peak</t>
  </si>
  <si>
    <t>Other</t>
  </si>
  <si>
    <t>All tickets</t>
  </si>
  <si>
    <t>Revenue per journey</t>
  </si>
  <si>
    <t>January
2004</t>
  </si>
  <si>
    <t>January
2005</t>
  </si>
  <si>
    <t>January
2006</t>
  </si>
  <si>
    <t>January
2007</t>
  </si>
  <si>
    <t>January
2008</t>
  </si>
  <si>
    <t>January
2009</t>
  </si>
  <si>
    <t>January
2010</t>
  </si>
  <si>
    <t>January
2011</t>
  </si>
  <si>
    <t>January
2012</t>
  </si>
  <si>
    <t>January
2013</t>
  </si>
  <si>
    <t>January
2014</t>
  </si>
  <si>
    <t>Average
change in
   price (%) 2014 on 2013</t>
  </si>
  <si>
    <t>Expenditure
weights (%)
total (6)</t>
  </si>
  <si>
    <t>Real terms
change in
average price
2014 on 2013</t>
  </si>
  <si>
    <t>Real terms
change in
average price
2014 on 2004</t>
  </si>
  <si>
    <t>Regional (4)</t>
  </si>
  <si>
    <t>For evolution of Prices</t>
  </si>
  <si>
    <t>Entries
Full</t>
  </si>
  <si>
    <t>Entries
Reduced</t>
  </si>
  <si>
    <t>Entries
Season</t>
  </si>
  <si>
    <t>Entries
Total</t>
  </si>
  <si>
    <t>Exits
Full</t>
  </si>
  <si>
    <t>Exits
Reduced</t>
  </si>
  <si>
    <t>Exits
Season</t>
  </si>
  <si>
    <t>Exits
Total</t>
  </si>
  <si>
    <t>0910
Entries &amp; Exits</t>
  </si>
  <si>
    <t>0809
Entries &amp; Exits</t>
  </si>
  <si>
    <t>0910 interchanges</t>
  </si>
  <si>
    <t>Station Usage</t>
  </si>
  <si>
    <t xml:space="preserve">According to ORR in 2009  </t>
  </si>
  <si>
    <t>of passengers journeys in the South East were done to/from London</t>
  </si>
  <si>
    <t>For the year 2015, we assume the increase give by National Rail Enquiries</t>
  </si>
  <si>
    <t>Divided by 480 (Exactly as ORR does)</t>
  </si>
  <si>
    <t>Expected Travel Time</t>
  </si>
  <si>
    <t>Minutes</t>
  </si>
  <si>
    <t>1011
Entries &amp; Exits</t>
  </si>
  <si>
    <t>1011 interchanges</t>
  </si>
  <si>
    <t>Values for Reliability</t>
  </si>
  <si>
    <t>Values for Ride Quality/Comfort</t>
  </si>
  <si>
    <t>Value for quality per passenger</t>
  </si>
  <si>
    <t>On time (Delay &lt; 5 minutes)</t>
  </si>
  <si>
    <t>value in minutes per minute of average lateness for commuters</t>
  </si>
  <si>
    <t>value in minutes per minute of average lateness for non commuters</t>
  </si>
  <si>
    <t xml:space="preserve">value in minutes per minute of average lateness </t>
  </si>
  <si>
    <t>Commuters</t>
  </si>
  <si>
    <t>Delay between 6 and 30 minutes (20 minutes for calculation)</t>
  </si>
  <si>
    <t>Cancelation and significant lateness (&gt;30 minutes) (For calculation 50 minutes)</t>
  </si>
  <si>
    <t xml:space="preserve">From link:  http://orr.gov.uk/statistics/published-stats/station-usage-estimates </t>
  </si>
  <si>
    <t>Total Travel Time</t>
  </si>
  <si>
    <t>In hours</t>
  </si>
  <si>
    <t>For Woking</t>
  </si>
  <si>
    <t>Trips to/from London. Commuters (Season)</t>
  </si>
  <si>
    <t>Commuters. Season.</t>
  </si>
  <si>
    <t>Full. Any time</t>
  </si>
  <si>
    <t>Season Standard</t>
  </si>
  <si>
    <t>Season First Tickets</t>
  </si>
  <si>
    <t>Reduced. Off Peak and Cheapest</t>
  </si>
  <si>
    <t>Parameters to be introduced in sheet RideQuality</t>
  </si>
  <si>
    <t>We could also diffenciate between value perquality per type of users (i.e. standard or first)</t>
  </si>
  <si>
    <t>Proportion of people travelling with some kind of card</t>
  </si>
  <si>
    <t>Average discount for each card</t>
  </si>
  <si>
    <t>Total</t>
  </si>
  <si>
    <t>Households</t>
  </si>
  <si>
    <t>Noise valuation</t>
  </si>
  <si>
    <t>% growth of houses (Nellthorp et al)</t>
  </si>
  <si>
    <t>% growth of the value (Nellthorp et al)</t>
  </si>
  <si>
    <t>Hours</t>
  </si>
  <si>
    <t>Demand constant as year 2009</t>
  </si>
  <si>
    <t>Discount rate</t>
  </si>
  <si>
    <t xml:space="preserve">Period </t>
  </si>
  <si>
    <t>60 years</t>
  </si>
  <si>
    <t>LCC from VITSM</t>
  </si>
  <si>
    <t>Installation cost of USP</t>
  </si>
  <si>
    <t>RideQuality/Comfort</t>
  </si>
  <si>
    <t>Reliability</t>
  </si>
  <si>
    <t>Efect on Rolling Stock</t>
  </si>
  <si>
    <t>Year</t>
  </si>
  <si>
    <t>Base Year</t>
  </si>
  <si>
    <t>Number of USP</t>
  </si>
  <si>
    <t>Cost per USP</t>
  </si>
  <si>
    <t xml:space="preserve">Distance considered between Southampton and London Waterloo </t>
  </si>
  <si>
    <t>km</t>
  </si>
  <si>
    <t>miles</t>
  </si>
  <si>
    <t>From the excelsheet "Total Aggregate cost per mile"</t>
  </si>
  <si>
    <t>PRICES TICKETS TO BE USED IN THE TAB CBA:</t>
  </si>
  <si>
    <t>Demand GDP deflator to be used in the tab CBA:</t>
  </si>
  <si>
    <t>GDP Deflator annual growth %</t>
  </si>
  <si>
    <t>RPI converted through GDP deflator</t>
  </si>
  <si>
    <t>i.e. Real Terms</t>
  </si>
  <si>
    <t>For Rolling Stock:</t>
  </si>
  <si>
    <t>With USP</t>
  </si>
  <si>
    <t>No USP</t>
  </si>
  <si>
    <t>Leisure</t>
  </si>
  <si>
    <t>Commuting</t>
  </si>
  <si>
    <t>Business</t>
  </si>
  <si>
    <t>(Full)</t>
  </si>
  <si>
    <t>(Reduced)</t>
  </si>
  <si>
    <t>(Season)</t>
  </si>
  <si>
    <t>Proportion to be used in Demand</t>
  </si>
  <si>
    <t>Full</t>
  </si>
  <si>
    <t>Reduced</t>
  </si>
  <si>
    <t>Demand after applying proportion of commuters, business and leisure</t>
  </si>
  <si>
    <t>Demand To be used in the CBA. Divided by Season, Full and Reduced</t>
  </si>
  <si>
    <t>Option Nellthorp et al</t>
  </si>
  <si>
    <t>Households multiplied by 1 db Reduction</t>
  </si>
  <si>
    <t>Option Web TAG</t>
  </si>
  <si>
    <t>% growth of houses (Table A 1.3 Households Growth)</t>
  </si>
  <si>
    <t>% growth of the value (Table A 1.3 Average GDP per household)</t>
  </si>
  <si>
    <t>I have move forward the years 2034 to 2030. I cap the demand on 2030!</t>
  </si>
  <si>
    <t>£ Valuation of reduction of 1 db Noise</t>
  </si>
  <si>
    <t>Result to £2009</t>
  </si>
  <si>
    <t xml:space="preserve">Average GDP per person (from web TAG table A 1.3) </t>
  </si>
  <si>
    <t>Average value according to Abrantes and Wardman</t>
  </si>
  <si>
    <t xml:space="preserve">For calculation porpuses we assume </t>
  </si>
  <si>
    <t>Interventions are reduced around 20%</t>
  </si>
  <si>
    <t>Approximately 30% of delays are due to track defects</t>
  </si>
  <si>
    <t>Total value for Reliability</t>
  </si>
  <si>
    <t>Market Prices Rail Passenger (table A 1.3 from Web TAG)</t>
  </si>
  <si>
    <t>Working</t>
  </si>
  <si>
    <t>According to VTISM interventions are reduced around 20% and approximately 30% of delays are due to  track defects and networks management (Network Rail, Annual Return 2010)</t>
  </si>
  <si>
    <t>Reliability improvement</t>
  </si>
  <si>
    <t>Improvement of Comfort/Ride Quality</t>
  </si>
  <si>
    <t>Total Tickets paid in the period of 60 Yeas</t>
  </si>
  <si>
    <t xml:space="preserve">Year </t>
  </si>
  <si>
    <t>Total tickets paid</t>
  </si>
  <si>
    <t>Annual (i.e. result divided by 60)</t>
  </si>
  <si>
    <t>Non - Working (other)</t>
  </si>
  <si>
    <t>Considering values for different types of users (communting and business on the one hand and on the other hand leisure)</t>
  </si>
  <si>
    <t>Considering values for different types of users (communting as non- working commuting, business as working, and finally leisure as non working other)</t>
  </si>
  <si>
    <t>Non - Working (commuting)</t>
  </si>
  <si>
    <t>Demand Growth</t>
  </si>
  <si>
    <t>RPI</t>
  </si>
  <si>
    <t>Noise value</t>
  </si>
  <si>
    <t>Min</t>
  </si>
  <si>
    <t>Max</t>
  </si>
  <si>
    <t>Calculation</t>
  </si>
  <si>
    <t>Variation</t>
  </si>
  <si>
    <t>VTISM</t>
  </si>
  <si>
    <t>Rolling Stock</t>
  </si>
  <si>
    <t>Value of time</t>
  </si>
  <si>
    <t>Installation Cost per USP</t>
  </si>
  <si>
    <t>Therefore, an improve of 6% in Reliability is expected. I finally reduce this number to 3%.</t>
  </si>
  <si>
    <t>Do not change, but include it in the sensitivity analysis with 3%</t>
  </si>
  <si>
    <t xml:space="preserve">RPI IN WEB TAG 5.3.1 </t>
  </si>
  <si>
    <t>This is just for Rolling Stock. With the RPI expectation after 20 years in variables sheet.</t>
  </si>
  <si>
    <t>Therefore, reliability si improved by the half of 6%, plus the random model</t>
  </si>
  <si>
    <t>Growth of Households</t>
  </si>
  <si>
    <t>Growth of value of noise</t>
  </si>
  <si>
    <t>Comfort/Ride Quality</t>
  </si>
  <si>
    <t>Do not change, I only change the growth. Just to be conservative</t>
  </si>
  <si>
    <t>Trains on Time</t>
  </si>
  <si>
    <t>Trains Delay</t>
  </si>
  <si>
    <t>Growth of Value of Time for Working</t>
  </si>
  <si>
    <t>Growth of value of time for non Working</t>
  </si>
  <si>
    <t>Proportion of Working Users</t>
  </si>
  <si>
    <t>Value of Reliability for commuters (Working and non working commuters)</t>
  </si>
  <si>
    <t>Value of Reliability for non commuters (Leisure)</t>
  </si>
  <si>
    <t>Proportion of Leisure Users</t>
  </si>
  <si>
    <t>Proportion o Full ticket</t>
  </si>
  <si>
    <t>Proportion of Season Ticket</t>
  </si>
  <si>
    <t xml:space="preserve"> </t>
  </si>
  <si>
    <t xml:space="preserve">We assume a low scenario with an improvement of 1% of ticket price (The maximum valuation would be 10% of ticket price) </t>
  </si>
  <si>
    <t>Households (300m)</t>
  </si>
  <si>
    <t>Households (80m)</t>
  </si>
  <si>
    <t xml:space="preserve">Air borne Noise </t>
  </si>
  <si>
    <t>Households 80m multiplied by 1 db Reduction</t>
  </si>
  <si>
    <t>£ Valuation of reduction of 1 db AirNoise</t>
  </si>
  <si>
    <t>£ Valuation of reduction of 1 db GroundBorneNoise</t>
  </si>
  <si>
    <t>£ Valuation of reduction of 1 db AirNoise/2009</t>
  </si>
  <si>
    <t>£ Valuation of reduction of 1 db Ground Borne Noise/2009</t>
  </si>
  <si>
    <t>Air Noise reduction</t>
  </si>
  <si>
    <t>Ground Borne Noise reduction</t>
  </si>
  <si>
    <t>Ground borne Noise</t>
  </si>
  <si>
    <t xml:space="preserve"> Air Noise reduction</t>
  </si>
  <si>
    <t>Our assumption is that we increase Air nosie  1 db and reduce ground borne nosie 5 dB. I use estimations by Nelltorhp because they are more conservatives than Web TAG</t>
  </si>
  <si>
    <t>Ground borne noise reduction</t>
  </si>
  <si>
    <t>Households (80m - 300m)</t>
  </si>
  <si>
    <t>Households (80m - 300m) multiplied by 1 db Reduction</t>
  </si>
  <si>
    <t>1h 27 minutes</t>
  </si>
  <si>
    <t>Table 15.8</t>
  </si>
  <si>
    <t>Tickets price in 2016</t>
  </si>
  <si>
    <t>Passengers journeys by ticket type. Table 12.7 ORR.</t>
  </si>
  <si>
    <t>January 2015</t>
  </si>
  <si>
    <t>Average
change in
   price (%) 2015 on 2014</t>
  </si>
  <si>
    <t>2014 - 2015</t>
  </si>
  <si>
    <t>From Newcastle</t>
  </si>
  <si>
    <t>From Morpeth</t>
  </si>
  <si>
    <t>From Alnmouth</t>
  </si>
  <si>
    <t xml:space="preserve">From Berwick-Upon-Tweed </t>
  </si>
  <si>
    <t>From Dunbar</t>
  </si>
  <si>
    <t>Trips to/from Newcastle</t>
  </si>
  <si>
    <t>January 2016</t>
  </si>
  <si>
    <t>Average
change in
   price (%) 2016 on 2015</t>
  </si>
  <si>
    <t>Real terms
change in
average price
2016 on 2015</t>
  </si>
  <si>
    <t>Real terms
change in
average price
2016 on 2004</t>
  </si>
  <si>
    <t>Long Distance</t>
  </si>
  <si>
    <t>Tikects Price for ECML (£) in 2015</t>
  </si>
  <si>
    <t>Tikects Price for ECML (£) in 2014</t>
  </si>
  <si>
    <t>Tikects Price for ECML (£) in 2013</t>
  </si>
  <si>
    <t>Tikects Price for ECML (£) in 2012</t>
  </si>
  <si>
    <t>Tikects Price for ECML (£) in 2011</t>
  </si>
  <si>
    <t>Tikects Price for ECML (£) in 2010</t>
  </si>
  <si>
    <t>Tikects Price for ECML (£) in 2009</t>
  </si>
  <si>
    <t>Edinburgh Waverley</t>
  </si>
  <si>
    <t>To/From Scotland from/to the North East, % of trips of the total trips out Scotland</t>
  </si>
  <si>
    <t>Scotland within scotland</t>
  </si>
  <si>
    <t>To Newcastle</t>
  </si>
  <si>
    <t>To Edinburgh</t>
  </si>
  <si>
    <t>Government Office Region (GOR)</t>
  </si>
  <si>
    <t>1h 43 minutes</t>
  </si>
  <si>
    <t>North East</t>
  </si>
  <si>
    <t>1h 10 minutes</t>
  </si>
  <si>
    <t>47 minutes</t>
  </si>
  <si>
    <t>22 minutes</t>
  </si>
  <si>
    <t>Scotland</t>
  </si>
  <si>
    <t>To/from North East from to Scotland, % of trips of the total trips out of North East</t>
  </si>
  <si>
    <t>North East within North East</t>
  </si>
  <si>
    <t>From Newcastle to Edinburgh roughly 20% of 60%, so 12%</t>
  </si>
  <si>
    <t>Table B.07 from PDFH 5</t>
  </si>
  <si>
    <t>Trips to/from Edinburgh</t>
  </si>
  <si>
    <t>From/To Newcastle</t>
  </si>
  <si>
    <t>Trips to/fromEdinburgh. Non commuters</t>
  </si>
  <si>
    <t>Trips to/from Edinburgh. Full. Any Time.</t>
  </si>
  <si>
    <t>Trips to/from Edinburgh. Reduced. Off Peak and cheapest.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</si>
</sst>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8" formatCode="&quot;£&quot;#,##0.00;[Red]\-&quot;£&quot;#,##0.00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#,##0;\-#,##0;"/>
    <numFmt numFmtId="165" formatCode="&quot;£&quot;* #,##0"/>
    <numFmt numFmtId="166" formatCode="#,##0.00%;[Red]\(#,##0.00%\);&quot;-&quot;"/>
    <numFmt numFmtId="167" formatCode="#,##0;[Red]\(#,##0\);&quot;-&quot;"/>
    <numFmt numFmtId="168" formatCode="#,##0.00;[Red]\(#,##0.00\);&quot;-&quot;"/>
    <numFmt numFmtId="169" formatCode="_(* #,##0_);_(* \(#,##0\)"/>
    <numFmt numFmtId="170" formatCode="mmm\-yyyy"/>
    <numFmt numFmtId="171" formatCode="dd\ mmm\ yy"/>
    <numFmt numFmtId="172" formatCode="#,##0;\(#,##0\)"/>
    <numFmt numFmtId="173" formatCode="#,##0;\-#,##0;\-"/>
    <numFmt numFmtId="174" formatCode="#,##0_ ;[Red]\(#,##0\);\-\ "/>
    <numFmt numFmtId="175" formatCode="#,##0;\(#,##0\);\-"/>
    <numFmt numFmtId="176" formatCode="&quot;þ&quot;;&quot;ý&quot;;&quot;¨&quot;"/>
    <numFmt numFmtId="177" formatCode="&quot;þ&quot;;;&quot;o&quot;;"/>
    <numFmt numFmtId="178" formatCode="#,##0.00\ ;[Red]\(#,##0.00\)"/>
    <numFmt numFmtId="179" formatCode="#,##0_);\(#,##0\);&quot;- &quot;;&quot;  &quot;@"/>
    <numFmt numFmtId="180" formatCode="[Green]&quot;é&quot;;[Red]&quot;ê&quot;;&quot;ù&quot;;"/>
    <numFmt numFmtId="181" formatCode="_([$€-2]* #,##0.00_);_([$€-2]* \(#,##0.00\);_([$€-2]* &quot;-&quot;??_)"/>
    <numFmt numFmtId="182" formatCode="#,##0;\(#,##0\);0"/>
    <numFmt numFmtId="183" formatCode="_(* #,##0.0_%_);_(* \(#,##0.0_%\);_(* &quot; - &quot;_%_);_(@_)"/>
    <numFmt numFmtId="184" formatCode="_(* #,##0.0%_);_(* \(#,##0.0%\);_(* &quot; - &quot;\%_);_(@_)"/>
    <numFmt numFmtId="185" formatCode="_(* #,##0.0_);_(* \(#,##0.0\);_(* &quot; - &quot;_);_(@_)"/>
    <numFmt numFmtId="186" formatCode="_(* #,##0.00_);_(* \(#,##0.00\);_(* &quot; - &quot;_);_(@_)"/>
    <numFmt numFmtId="187" formatCode="_(* #,##0.000_);_(* \(#,##0.000\);_(* &quot; - &quot;_);_(@_)"/>
    <numFmt numFmtId="188" formatCode="#,##0;\(#,##0\);&quot;-&quot;"/>
    <numFmt numFmtId="189" formatCode="#,##0.0000_);\(#,##0.0000\);&quot;- &quot;;&quot;  &quot;@"/>
    <numFmt numFmtId="190" formatCode="#,##0\ ;[Red]\(#,##0\);\-\ "/>
    <numFmt numFmtId="191" formatCode="&quot;Lookup&quot;\ 0"/>
    <numFmt numFmtId="192" formatCode="###0_);\(###0\);&quot;- &quot;;&quot;  &quot;@"/>
    <numFmt numFmtId="193" formatCode="&quot;£&quot;#,##0.00"/>
  </numFmts>
  <fonts count="70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name val="Book Antiqua"/>
      <family val="1"/>
    </font>
    <font>
      <b/>
      <sz val="9"/>
      <name val="Helv"/>
    </font>
    <font>
      <sz val="10"/>
      <color indexed="12"/>
      <name val="Arial"/>
      <family val="2"/>
    </font>
    <font>
      <sz val="10"/>
      <name val="MS Sans Serif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sz val="10"/>
      <name val="ZapfDingbats"/>
      <family val="2"/>
    </font>
    <font>
      <sz val="10"/>
      <color indexed="9"/>
      <name val="Arial"/>
      <family val="2"/>
    </font>
    <font>
      <sz val="10"/>
      <color indexed="40"/>
      <name val="Arial"/>
      <family val="2"/>
    </font>
    <font>
      <sz val="14"/>
      <name val="Wingdings"/>
      <charset val="2"/>
    </font>
    <font>
      <sz val="22"/>
      <color indexed="12"/>
      <name val="Wingdings"/>
      <charset val="2"/>
    </font>
    <font>
      <sz val="22"/>
      <name val="Wingdings"/>
      <charset val="2"/>
    </font>
    <font>
      <b/>
      <u val="singleAccounting"/>
      <sz val="11"/>
      <name val="Arial"/>
      <family val="2"/>
    </font>
    <font>
      <b/>
      <sz val="8"/>
      <color indexed="10"/>
      <name val="Arial"/>
      <family val="2"/>
    </font>
    <font>
      <b/>
      <sz val="16"/>
      <color indexed="9"/>
      <name val="Arial"/>
      <family val="2"/>
    </font>
    <font>
      <b/>
      <sz val="16"/>
      <name val="Arial"/>
      <family val="2"/>
    </font>
    <font>
      <sz val="10"/>
      <name val="BERNHARD"/>
    </font>
    <font>
      <sz val="10"/>
      <color indexed="50"/>
      <name val="Arial"/>
      <family val="2"/>
    </font>
    <font>
      <sz val="16"/>
      <name val="Wingdings"/>
      <charset val="2"/>
    </font>
    <font>
      <b/>
      <sz val="32"/>
      <name val="Helvetica"/>
      <family val="2"/>
    </font>
    <font>
      <sz val="12"/>
      <name val="Times New Roman"/>
      <family val="1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0"/>
      <name val="Arial"/>
      <family val="2"/>
    </font>
    <font>
      <sz val="10"/>
      <name val="Helvetica"/>
      <family val="2"/>
    </font>
    <font>
      <sz val="10"/>
      <color indexed="18"/>
      <name val="Arial"/>
      <family val="2"/>
    </font>
    <font>
      <sz val="10"/>
      <color indexed="23"/>
      <name val="Arial"/>
      <family val="2"/>
    </font>
    <font>
      <b/>
      <sz val="12"/>
      <name val="Arial"/>
      <family val="2"/>
    </font>
    <font>
      <b/>
      <u/>
      <sz val="16"/>
      <color indexed="10"/>
      <name val="Palatino"/>
      <family val="1"/>
    </font>
    <font>
      <sz val="8"/>
      <color indexed="12"/>
      <name val="Helv"/>
    </font>
    <font>
      <b/>
      <sz val="8"/>
      <color indexed="12"/>
      <name val="Arial"/>
      <family val="2"/>
    </font>
    <font>
      <sz val="10"/>
      <color indexed="12"/>
      <name val="Times New Roman"/>
      <family val="1"/>
    </font>
    <font>
      <sz val="10"/>
      <color indexed="24"/>
      <name val="Arial"/>
      <family val="2"/>
    </font>
    <font>
      <sz val="8"/>
      <color indexed="17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10"/>
      <color indexed="18"/>
      <name val="Arial"/>
      <family val="2"/>
    </font>
    <font>
      <b/>
      <sz val="18"/>
      <name val="Helvetica"/>
      <family val="2"/>
    </font>
    <font>
      <sz val="8"/>
      <color indexed="47"/>
      <name val="Arial"/>
      <family val="2"/>
    </font>
    <font>
      <sz val="14"/>
      <name val="Helvetica"/>
      <family val="2"/>
    </font>
    <font>
      <sz val="8"/>
      <color indexed="40"/>
      <name val="Arial"/>
      <family val="2"/>
    </font>
    <font>
      <sz val="8"/>
      <color indexed="10"/>
      <name val="Arial"/>
      <family val="2"/>
    </font>
    <font>
      <sz val="10"/>
      <color indexed="54"/>
      <name val="Arial"/>
      <family val="2"/>
    </font>
    <font>
      <sz val="9"/>
      <color indexed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Helvetica"/>
      <family val="2"/>
    </font>
    <font>
      <sz val="10"/>
      <color indexed="19"/>
      <name val="Arial"/>
      <family val="2"/>
    </font>
    <font>
      <b/>
      <sz val="16"/>
      <color indexed="24"/>
      <name val="Univers 45 Light"/>
      <family val="2"/>
    </font>
    <font>
      <b/>
      <sz val="14"/>
      <name val="Arial"/>
      <family val="2"/>
    </font>
    <font>
      <b/>
      <sz val="10"/>
      <name val="Helv"/>
    </font>
    <font>
      <sz val="10"/>
      <color indexed="10"/>
      <name val="Arial"/>
      <family val="2"/>
    </font>
    <font>
      <b/>
      <sz val="10"/>
      <color indexed="57"/>
      <name val="Arial"/>
      <family val="2"/>
    </font>
    <font>
      <b/>
      <sz val="24"/>
      <name val="Helvetica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fgColor indexed="23"/>
        <bgColor indexed="9"/>
      </patternFill>
    </fill>
    <fill>
      <patternFill patternType="solid">
        <fgColor indexed="30"/>
        <bgColor indexed="64"/>
      </patternFill>
    </fill>
    <fill>
      <patternFill patternType="mediumGray">
        <fgColor indexed="11"/>
      </patternFill>
    </fill>
    <fill>
      <patternFill patternType="solid">
        <fgColor indexed="6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4"/>
        <bgColor indexed="64"/>
      </patternFill>
    </fill>
    <fill>
      <patternFill patternType="darkUp">
        <fgColor indexed="8"/>
        <bgColor indexed="13"/>
      </patternFill>
    </fill>
    <fill>
      <patternFill patternType="solid">
        <fgColor indexed="1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3"/>
      </left>
      <right style="dashed">
        <color indexed="63"/>
      </right>
      <top style="dashed">
        <color indexed="63"/>
      </top>
      <bottom style="dashed">
        <color indexed="63"/>
      </bottom>
      <diagonal/>
    </border>
    <border>
      <left style="dashed">
        <color indexed="28"/>
      </left>
      <right style="dashed">
        <color indexed="28"/>
      </right>
      <top style="dashed">
        <color indexed="28"/>
      </top>
      <bottom style="dashed">
        <color indexed="2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28"/>
      </left>
      <right style="dotted">
        <color indexed="28"/>
      </right>
      <top style="dotted">
        <color indexed="28"/>
      </top>
      <bottom style="dotted">
        <color indexed="2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ashed">
        <color indexed="55"/>
      </left>
      <right style="dashed">
        <color indexed="55"/>
      </right>
      <top style="dashed">
        <color indexed="55"/>
      </top>
      <bottom style="dashed">
        <color indexed="55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dotted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9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9"/>
      </top>
      <bottom style="double">
        <color indexed="19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3">
    <xf numFmtId="0" fontId="0" fillId="0" borderId="0"/>
    <xf numFmtId="0" fontId="1" fillId="0" borderId="0"/>
    <xf numFmtId="0" fontId="4" fillId="0" borderId="0"/>
    <xf numFmtId="166" fontId="7" fillId="5" borderId="0" applyBorder="0">
      <alignment horizontal="center"/>
      <protection locked="0"/>
    </xf>
    <xf numFmtId="166" fontId="7" fillId="0" borderId="0" applyFill="0" applyBorder="0">
      <alignment horizontal="center"/>
    </xf>
    <xf numFmtId="0" fontId="6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67" fontId="7" fillId="5" borderId="0" applyBorder="0">
      <alignment horizontal="center"/>
      <protection locked="0"/>
    </xf>
    <xf numFmtId="167" fontId="7" fillId="0" borderId="0" applyFill="0" applyBorder="0">
      <alignment horizontal="center"/>
    </xf>
    <xf numFmtId="168" fontId="7" fillId="5" borderId="0" applyBorder="0">
      <alignment horizontal="center"/>
      <protection locked="0"/>
    </xf>
    <xf numFmtId="168" fontId="7" fillId="0" borderId="0" applyFill="0" applyBorder="0">
      <alignment horizontal="center"/>
    </xf>
    <xf numFmtId="0" fontId="6" fillId="0" borderId="0"/>
    <xf numFmtId="0" fontId="9" fillId="0" borderId="3">
      <alignment horizontal="center" vertical="center"/>
    </xf>
    <xf numFmtId="0" fontId="10" fillId="6" borderId="3"/>
    <xf numFmtId="0" fontId="11" fillId="0" borderId="0" applyFont="0" applyFill="0" applyBorder="0" applyAlignment="0" applyProtection="0"/>
    <xf numFmtId="169" fontId="12" fillId="6" borderId="3" applyBorder="0"/>
    <xf numFmtId="0" fontId="10" fillId="6" borderId="3">
      <alignment horizontal="center"/>
      <protection locked="0"/>
    </xf>
    <xf numFmtId="170" fontId="13" fillId="0" borderId="0" applyNumberFormat="0" applyFont="0" applyAlignment="0">
      <alignment vertical="top"/>
    </xf>
    <xf numFmtId="0" fontId="14" fillId="0" borderId="0"/>
    <xf numFmtId="171" fontId="15" fillId="7" borderId="2">
      <alignment horizontal="center"/>
    </xf>
    <xf numFmtId="172" fontId="6" fillId="8" borderId="4" applyNumberFormat="0">
      <alignment vertical="center"/>
    </xf>
    <xf numFmtId="173" fontId="6" fillId="9" borderId="4" applyNumberFormat="0">
      <alignment vertical="center"/>
    </xf>
    <xf numFmtId="1" fontId="6" fillId="10" borderId="4" applyNumberFormat="0">
      <alignment vertical="center"/>
    </xf>
    <xf numFmtId="172" fontId="6" fillId="10" borderId="4" applyNumberFormat="0">
      <alignment vertical="center"/>
    </xf>
    <xf numFmtId="172" fontId="6" fillId="4" borderId="4" applyNumberFormat="0">
      <alignment vertical="center"/>
    </xf>
    <xf numFmtId="174" fontId="16" fillId="0" borderId="0"/>
    <xf numFmtId="3" fontId="6" fillId="0" borderId="4" applyNumberFormat="0">
      <alignment vertical="center"/>
    </xf>
    <xf numFmtId="175" fontId="5" fillId="11" borderId="4" applyNumberFormat="0" applyFont="0" applyAlignment="0">
      <alignment vertical="center"/>
    </xf>
    <xf numFmtId="172" fontId="5" fillId="12" borderId="4" applyNumberFormat="0">
      <alignment vertical="center"/>
    </xf>
    <xf numFmtId="176" fontId="17" fillId="0" borderId="0" applyFill="0" applyBorder="0" applyProtection="0">
      <alignment horizontal="center" vertical="center"/>
    </xf>
    <xf numFmtId="177" fontId="18" fillId="5" borderId="5">
      <alignment horizontal="center" vertical="center"/>
      <protection locked="0"/>
    </xf>
    <xf numFmtId="177" fontId="19" fillId="0" borderId="0" applyFill="0" applyBorder="0">
      <alignment horizontal="center" vertical="center"/>
    </xf>
    <xf numFmtId="0" fontId="20" fillId="0" borderId="0" applyNumberFormat="0">
      <alignment horizontal="center" wrapText="1"/>
    </xf>
    <xf numFmtId="43" fontId="4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6" fillId="0" borderId="6" applyFont="0" applyFill="0" applyBorder="0" applyAlignment="0" applyProtection="0">
      <alignment horizontal="right"/>
    </xf>
    <xf numFmtId="0" fontId="21" fillId="0" borderId="0" applyFill="0" applyBorder="0"/>
    <xf numFmtId="172" fontId="22" fillId="13" borderId="0" applyFont="0" applyAlignment="0">
      <alignment vertical="center" wrapText="1"/>
    </xf>
    <xf numFmtId="172" fontId="23" fillId="13" borderId="2" applyNumberFormat="0" applyBorder="0" applyAlignment="0">
      <alignment vertical="center" wrapText="1"/>
    </xf>
    <xf numFmtId="0" fontId="24" fillId="0" borderId="0"/>
    <xf numFmtId="0" fontId="24" fillId="0" borderId="0"/>
    <xf numFmtId="38" fontId="25" fillId="6" borderId="7"/>
    <xf numFmtId="0" fontId="6" fillId="0" borderId="0" applyFont="0" applyFill="0" applyBorder="0" applyAlignment="0" applyProtection="0"/>
    <xf numFmtId="179" fontId="6" fillId="14" borderId="0" applyNumberFormat="0" applyFont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26" fillId="0" borderId="0" applyFill="0" applyBorder="0">
      <alignment horizontal="center" vertical="center"/>
    </xf>
    <xf numFmtId="181" fontId="6" fillId="0" borderId="0" applyFont="0" applyFill="0" applyBorder="0" applyAlignment="0" applyProtection="0"/>
    <xf numFmtId="0" fontId="6" fillId="15" borderId="8" applyNumberFormat="0">
      <alignment vertical="center"/>
    </xf>
    <xf numFmtId="182" fontId="6" fillId="3" borderId="0" applyNumberFormat="0" applyFon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83" fontId="29" fillId="0" borderId="0">
      <alignment horizontal="right" vertical="top"/>
    </xf>
    <xf numFmtId="184" fontId="30" fillId="0" borderId="0">
      <alignment horizontal="right" vertical="top"/>
    </xf>
    <xf numFmtId="0" fontId="29" fillId="0" borderId="0">
      <alignment horizontal="right" vertical="top"/>
    </xf>
    <xf numFmtId="0" fontId="30" fillId="0" borderId="0" applyFill="0" applyBorder="0">
      <alignment horizontal="right" vertical="top"/>
    </xf>
    <xf numFmtId="185" fontId="30" fillId="0" borderId="0" applyFill="0" applyBorder="0">
      <alignment horizontal="right" vertical="top"/>
    </xf>
    <xf numFmtId="186" fontId="30" fillId="0" borderId="0" applyFill="0" applyBorder="0">
      <alignment horizontal="right" vertical="top"/>
    </xf>
    <xf numFmtId="187" fontId="30" fillId="0" borderId="0" applyFill="0" applyBorder="0">
      <alignment horizontal="right" vertical="top"/>
    </xf>
    <xf numFmtId="0" fontId="31" fillId="0" borderId="0">
      <alignment horizontal="center" wrapText="1"/>
    </xf>
    <xf numFmtId="188" fontId="32" fillId="0" borderId="0" applyFill="0" applyBorder="0">
      <alignment vertical="top"/>
    </xf>
    <xf numFmtId="188" fontId="33" fillId="0" borderId="0" applyFill="0" applyBorder="0" applyProtection="0">
      <alignment vertical="top"/>
    </xf>
    <xf numFmtId="188" fontId="34" fillId="0" borderId="0">
      <alignment vertical="top"/>
    </xf>
    <xf numFmtId="41" fontId="30" fillId="0" borderId="0" applyFill="0" applyBorder="0" applyAlignment="0" applyProtection="0">
      <alignment horizontal="right" vertical="top"/>
    </xf>
    <xf numFmtId="188" fontId="23" fillId="0" borderId="0"/>
    <xf numFmtId="0" fontId="30" fillId="0" borderId="0" applyFill="0" applyBorder="0">
      <alignment horizontal="left" vertical="top"/>
    </xf>
    <xf numFmtId="189" fontId="6" fillId="0" borderId="0" applyFont="0" applyFill="0" applyBorder="0" applyAlignment="0" applyProtection="0"/>
    <xf numFmtId="175" fontId="35" fillId="0" borderId="0">
      <alignment vertical="top"/>
    </xf>
    <xf numFmtId="0" fontId="6" fillId="4" borderId="9" applyNumberFormat="0">
      <alignment vertical="center"/>
    </xf>
    <xf numFmtId="0" fontId="36" fillId="0" borderId="0" applyNumberFormat="0" applyFill="0" applyBorder="0" applyAlignment="0" applyProtection="0"/>
    <xf numFmtId="0" fontId="24" fillId="0" borderId="0"/>
    <xf numFmtId="179" fontId="37" fillId="0" borderId="0" applyNumberFormat="0" applyFill="0" applyBorder="0" applyAlignment="0" applyProtection="0"/>
    <xf numFmtId="0" fontId="5" fillId="0" borderId="0"/>
    <xf numFmtId="174" fontId="5" fillId="0" borderId="0"/>
    <xf numFmtId="0" fontId="38" fillId="4" borderId="10" applyNumberFormat="0">
      <alignment vertical="center"/>
    </xf>
    <xf numFmtId="182" fontId="39" fillId="0" borderId="0" applyNumberFormat="0" applyFill="0" applyBorder="0" applyAlignment="0" applyProtection="0"/>
    <xf numFmtId="0" fontId="40" fillId="16" borderId="0"/>
    <xf numFmtId="0" fontId="41" fillId="0" borderId="0" applyFill="0" applyBorder="0" applyProtection="0">
      <alignment horizontal="right"/>
    </xf>
    <xf numFmtId="190" fontId="28" fillId="0" borderId="0" applyFont="0" applyBorder="0" applyAlignment="0"/>
    <xf numFmtId="175" fontId="42" fillId="0" borderId="0">
      <alignment vertical="top"/>
    </xf>
    <xf numFmtId="0" fontId="43" fillId="6" borderId="11"/>
    <xf numFmtId="172" fontId="44" fillId="6" borderId="5" applyNumberFormat="0">
      <alignment vertical="center"/>
      <protection locked="0"/>
    </xf>
    <xf numFmtId="0" fontId="44" fillId="17" borderId="5" applyNumberFormat="0">
      <alignment vertical="center"/>
      <protection locked="0"/>
    </xf>
    <xf numFmtId="0" fontId="6" fillId="6" borderId="12" applyNumberFormat="0" applyAlignment="0">
      <protection locked="0"/>
    </xf>
    <xf numFmtId="0" fontId="45" fillId="0" borderId="0" applyNumberFormat="0" applyFill="0" applyBorder="0" applyProtection="0">
      <alignment horizontal="centerContinuous" wrapText="1"/>
    </xf>
    <xf numFmtId="38" fontId="46" fillId="0" borderId="0"/>
    <xf numFmtId="38" fontId="47" fillId="0" borderId="0"/>
    <xf numFmtId="38" fontId="48" fillId="0" borderId="0"/>
    <xf numFmtId="38" fontId="49" fillId="0" borderId="0"/>
    <xf numFmtId="0" fontId="7" fillId="0" borderId="0"/>
    <xf numFmtId="0" fontId="7" fillId="0" borderId="0"/>
    <xf numFmtId="175" fontId="50" fillId="0" borderId="0" applyFont="0">
      <alignment vertical="top"/>
    </xf>
    <xf numFmtId="0" fontId="51" fillId="0" borderId="0" applyNumberFormat="0" applyFill="0" applyBorder="0" applyAlignment="0" applyProtection="0"/>
    <xf numFmtId="191" fontId="52" fillId="0" borderId="0" applyFill="0">
      <alignment horizontal="center"/>
    </xf>
    <xf numFmtId="0" fontId="53" fillId="0" borderId="0" applyNumberForma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4" fillId="0" borderId="0" applyNumberFormat="0" applyFill="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8" borderId="13" applyNumberFormat="0" applyFont="0" applyFill="0" applyAlignment="0" applyProtection="0">
      <alignment vertical="center"/>
      <protection locked="0"/>
    </xf>
    <xf numFmtId="0" fontId="55" fillId="0" borderId="0" applyNumberFormat="0" applyBorder="0">
      <alignment horizontal="left" vertical="top"/>
    </xf>
    <xf numFmtId="0" fontId="44" fillId="8" borderId="13" applyNumberFormat="0" applyFont="0" applyFill="0" applyAlignment="0" applyProtection="0">
      <alignment vertical="center"/>
      <protection locked="0"/>
    </xf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182" fontId="56" fillId="0" borderId="0" applyNumberFormat="0" applyFill="0" applyBorder="0" applyAlignment="0" applyProtection="0"/>
    <xf numFmtId="192" fontId="6" fillId="0" borderId="0" applyFont="0" applyFill="0" applyBorder="0" applyAlignment="0" applyProtection="0"/>
    <xf numFmtId="0" fontId="6" fillId="0" borderId="3"/>
    <xf numFmtId="0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57" fillId="0" borderId="3" applyBorder="0"/>
    <xf numFmtId="1" fontId="6" fillId="0" borderId="0" applyFont="0" applyFill="0" applyBorder="0" applyAlignment="0" applyProtection="0"/>
    <xf numFmtId="0" fontId="24" fillId="0" borderId="0"/>
    <xf numFmtId="9" fontId="4" fillId="0" borderId="0" applyFont="0" applyFill="0" applyBorder="0" applyAlignment="0" applyProtection="0"/>
    <xf numFmtId="9" fontId="58" fillId="0" borderId="0" applyFont="0" applyFill="0" applyBorder="0" applyAlignment="0" applyProtection="0"/>
    <xf numFmtId="10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59" fillId="18" borderId="14" applyNumberFormat="0" applyFont="0" applyBorder="0" applyAlignment="0" applyProtection="0"/>
    <xf numFmtId="0" fontId="6" fillId="0" borderId="0" applyFill="0" applyBorder="0" applyProtection="0">
      <alignment vertical="center"/>
    </xf>
    <xf numFmtId="172" fontId="22" fillId="13" borderId="0">
      <alignment vertical="center"/>
    </xf>
    <xf numFmtId="172" fontId="13" fillId="19" borderId="0"/>
    <xf numFmtId="0" fontId="60" fillId="0" borderId="0" applyNumberFormat="0" applyFill="0" applyBorder="0" applyAlignment="0" applyProtection="0"/>
    <xf numFmtId="0" fontId="5" fillId="20" borderId="4" applyNumberFormat="0">
      <alignment horizontal="center" vertical="center"/>
      <protection locked="0"/>
    </xf>
    <xf numFmtId="0" fontId="6" fillId="21" borderId="0"/>
    <xf numFmtId="0" fontId="6" fillId="0" borderId="0" applyNumberFormat="0" applyFill="0" applyBorder="0" applyAlignment="0" applyProtection="0"/>
    <xf numFmtId="0" fontId="28" fillId="0" borderId="15" applyFont="0" applyFill="0" applyAlignment="0" applyProtection="0"/>
    <xf numFmtId="182" fontId="61" fillId="0" borderId="16" applyNumberFormat="0" applyFont="0" applyFill="0" applyAlignment="0" applyProtection="0"/>
    <xf numFmtId="0" fontId="59" fillId="0" borderId="17" applyNumberFormat="0" applyFont="0" applyFill="0" applyAlignment="0" applyProtection="0">
      <alignment horizontal="right"/>
    </xf>
    <xf numFmtId="0" fontId="28" fillId="0" borderId="0" applyFont="0" applyFill="0" applyBorder="0" applyAlignment="0" applyProtection="0"/>
    <xf numFmtId="172" fontId="22" fillId="22" borderId="0" applyNumberFormat="0">
      <alignment vertical="center"/>
    </xf>
    <xf numFmtId="172" fontId="62" fillId="8" borderId="0" applyNumberFormat="0">
      <alignment vertical="center"/>
    </xf>
    <xf numFmtId="172" fontId="63" fillId="0" borderId="0" applyNumberFormat="0">
      <alignment vertical="center"/>
    </xf>
    <xf numFmtId="172" fontId="13" fillId="0" borderId="0" applyNumberFormat="0">
      <alignment vertical="center"/>
    </xf>
    <xf numFmtId="0" fontId="64" fillId="0" borderId="0">
      <alignment vertical="center"/>
    </xf>
    <xf numFmtId="179" fontId="65" fillId="0" borderId="0" applyNumberFormat="0" applyFill="0" applyBorder="0" applyAlignment="0" applyProtection="0"/>
    <xf numFmtId="182" fontId="61" fillId="0" borderId="18" applyNumberFormat="0" applyFont="0" applyFill="0" applyAlignment="0" applyProtection="0"/>
    <xf numFmtId="0" fontId="28" fillId="0" borderId="19" applyFont="0" applyFill="0" applyAlignment="0" applyProtection="0"/>
    <xf numFmtId="172" fontId="5" fillId="23" borderId="0" applyNumberFormat="0" applyFont="0" applyBorder="0" applyAlignment="0" applyProtection="0"/>
    <xf numFmtId="0" fontId="66" fillId="0" borderId="0">
      <alignment vertical="center"/>
    </xf>
    <xf numFmtId="0" fontId="67" fillId="0" borderId="0" applyNumberForma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6" fillId="24" borderId="0" applyNumberFormat="0" applyFon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3" fontId="0" fillId="0" borderId="0" xfId="0" applyNumberFormat="1"/>
    <xf numFmtId="9" fontId="0" fillId="0" borderId="0" xfId="0" applyNumberFormat="1"/>
    <xf numFmtId="0" fontId="0" fillId="0" borderId="0" xfId="0" applyAlignment="1">
      <alignment wrapText="1"/>
    </xf>
    <xf numFmtId="17" fontId="0" fillId="0" borderId="0" xfId="0" applyNumberFormat="1"/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0" fontId="0" fillId="0" borderId="0" xfId="0" applyNumberFormat="1"/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/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2" fontId="0" fillId="0" borderId="0" xfId="0" applyNumberFormat="1"/>
    <xf numFmtId="0" fontId="0" fillId="0" borderId="0" xfId="0" applyNumberFormat="1"/>
    <xf numFmtId="193" fontId="0" fillId="0" borderId="0" xfId="0" applyNumberFormat="1"/>
    <xf numFmtId="8" fontId="0" fillId="0" borderId="0" xfId="0" applyNumberFormat="1"/>
    <xf numFmtId="0" fontId="0" fillId="25" borderId="0" xfId="0" applyFill="1"/>
    <xf numFmtId="0" fontId="0" fillId="0" borderId="0" xfId="0" applyFill="1" applyBorder="1"/>
    <xf numFmtId="0" fontId="0" fillId="0" borderId="0" xfId="0" applyFill="1"/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ill="1"/>
    <xf numFmtId="193" fontId="0" fillId="0" borderId="7" xfId="0" applyNumberFormat="1" applyBorder="1"/>
    <xf numFmtId="0" fontId="69" fillId="0" borderId="0" xfId="0" applyFont="1"/>
    <xf numFmtId="49" fontId="0" fillId="0" borderId="0" xfId="0" applyNumberFormat="1" applyAlignment="1">
      <alignment wrapText="1"/>
    </xf>
    <xf numFmtId="3" fontId="0" fillId="0" borderId="0" xfId="0" applyNumberFormat="1" applyFill="1"/>
  </cellXfs>
  <cellStyles count="173">
    <cellStyle name="%_2DP_in" xfId="3"/>
    <cellStyle name="%_2DP_out" xfId="4"/>
    <cellStyle name="_example template 14" xfId="5"/>
    <cellStyle name="£'000" xfId="6"/>
    <cellStyle name="£k" xfId="7"/>
    <cellStyle name="0_DP_in" xfId="8"/>
    <cellStyle name="0_DP_out" xfId="9"/>
    <cellStyle name="2_DP_in" xfId="10"/>
    <cellStyle name="2_DP_out" xfId="11"/>
    <cellStyle name="AA Nombre" xfId="12"/>
    <cellStyle name="Anos" xfId="13"/>
    <cellStyle name="assumption 1" xfId="14"/>
    <cellStyle name="assumption 2" xfId="15"/>
    <cellStyle name="assumption 4" xfId="16"/>
    <cellStyle name="Assumption Date" xfId="17"/>
    <cellStyle name="BlankRow" xfId="18"/>
    <cellStyle name="bullet" xfId="19"/>
    <cellStyle name="Calander_heading" xfId="20"/>
    <cellStyle name="Calc" xfId="21"/>
    <cellStyle name="Calc - Blue" xfId="22"/>
    <cellStyle name="Calc - Feed" xfId="23"/>
    <cellStyle name="Calc - Green" xfId="24"/>
    <cellStyle name="Calc - Grey" xfId="25"/>
    <cellStyle name="Calc - Index" xfId="26"/>
    <cellStyle name="Calc - White" xfId="27"/>
    <cellStyle name="Calc - yellow" xfId="28"/>
    <cellStyle name="Calc_BizMo" xfId="29"/>
    <cellStyle name="Check Box" xfId="30"/>
    <cellStyle name="Check Box Input" xfId="31"/>
    <cellStyle name="Check Box_First Capital Connect Financial Model" xfId="32"/>
    <cellStyle name="Column Title" xfId="33"/>
    <cellStyle name="comma (2)" xfId="35"/>
    <cellStyle name="Comma 10" xfId="169"/>
    <cellStyle name="Comma 11" xfId="152"/>
    <cellStyle name="Comma 12" xfId="165"/>
    <cellStyle name="Comma 13" xfId="157"/>
    <cellStyle name="Comma 14" xfId="164"/>
    <cellStyle name="Comma 15" xfId="158"/>
    <cellStyle name="Comma 16" xfId="163"/>
    <cellStyle name="Comma 17" xfId="159"/>
    <cellStyle name="Comma 18" xfId="162"/>
    <cellStyle name="Comma 19" xfId="160"/>
    <cellStyle name="Comma 2" xfId="34"/>
    <cellStyle name="Comma 3" xfId="153"/>
    <cellStyle name="Comma 4" xfId="168"/>
    <cellStyle name="Comma 5" xfId="154"/>
    <cellStyle name="Comma 6" xfId="167"/>
    <cellStyle name="Comma 7" xfId="155"/>
    <cellStyle name="Comma 8" xfId="166"/>
    <cellStyle name="Comma 9" xfId="156"/>
    <cellStyle name="Comma(2)" xfId="36"/>
    <cellStyle name="Control Check" xfId="37"/>
    <cellStyle name="control table footer 1" xfId="38"/>
    <cellStyle name="control table header 1" xfId="39"/>
    <cellStyle name="Curren - Style1" xfId="40"/>
    <cellStyle name="Curren - Style4" xfId="41"/>
    <cellStyle name="Data" xfId="42"/>
    <cellStyle name="Date" xfId="43"/>
    <cellStyle name="Deviant" xfId="44"/>
    <cellStyle name="Dezimal [0]_Compiling Utility Macros" xfId="45"/>
    <cellStyle name="Dezimal_Compiling Utility Macros" xfId="46"/>
    <cellStyle name="Effect Symbol" xfId="47"/>
    <cellStyle name="Euro" xfId="48"/>
    <cellStyle name="Exception" xfId="49"/>
    <cellStyle name="External Links" xfId="50"/>
    <cellStyle name="Extra Large" xfId="51"/>
    <cellStyle name="EY House" xfId="52"/>
    <cellStyle name="EY%colcalc" xfId="53"/>
    <cellStyle name="EY%input" xfId="54"/>
    <cellStyle name="EY%rowcalc" xfId="55"/>
    <cellStyle name="EY0dp" xfId="56"/>
    <cellStyle name="EY1dp" xfId="57"/>
    <cellStyle name="EY2dp" xfId="58"/>
    <cellStyle name="EY3dp" xfId="59"/>
    <cellStyle name="EYColumnHeading" xfId="60"/>
    <cellStyle name="EYHeading1" xfId="61"/>
    <cellStyle name="EYheading2" xfId="62"/>
    <cellStyle name="EYheading3" xfId="63"/>
    <cellStyle name="EYnumber" xfId="64"/>
    <cellStyle name="EYSheetHeader1" xfId="65"/>
    <cellStyle name="EYtext" xfId="66"/>
    <cellStyle name="Factor" xfId="67"/>
    <cellStyle name="Feed Label" xfId="68"/>
    <cellStyle name="Feeder Field" xfId="69"/>
    <cellStyle name="Fine" xfId="70"/>
    <cellStyle name="Fixed3 - Style3" xfId="71"/>
    <cellStyle name="From" xfId="72"/>
    <cellStyle name="FS_reporting" xfId="73"/>
    <cellStyle name="Gap" xfId="74"/>
    <cellStyle name="Greyed out" xfId="75"/>
    <cellStyle name="Header" xfId="76"/>
    <cellStyle name="Heading" xfId="77"/>
    <cellStyle name="HELV8BLUE" xfId="78"/>
    <cellStyle name="hvb mjhgvhgv" xfId="79"/>
    <cellStyle name="Index FITT" xfId="80"/>
    <cellStyle name="Input (StyleA)" xfId="81"/>
    <cellStyle name="Input 1" xfId="82"/>
    <cellStyle name="Input 2" xfId="83"/>
    <cellStyle name="Input Cell" xfId="84"/>
    <cellStyle name="Instructions" xfId="85"/>
    <cellStyle name="KPMG Heading 1" xfId="86"/>
    <cellStyle name="KPMG Heading 2" xfId="87"/>
    <cellStyle name="KPMG Heading 3" xfId="88"/>
    <cellStyle name="KPMG Heading 4" xfId="89"/>
    <cellStyle name="KPMG Normal" xfId="90"/>
    <cellStyle name="KPMG Normal Text" xfId="91"/>
    <cellStyle name="Lable_1" xfId="92"/>
    <cellStyle name="Large" xfId="93"/>
    <cellStyle name="Lookup References" xfId="94"/>
    <cellStyle name="Medium" xfId="95"/>
    <cellStyle name="Milliers [0]_FNMA tasse2" xfId="96"/>
    <cellStyle name="Milliers_FNMA tasse2" xfId="97"/>
    <cellStyle name="Modelling References" xfId="98"/>
    <cellStyle name="Monétaire [0]_FNMA tasse2" xfId="99"/>
    <cellStyle name="Monétaire_FNMA tasse2" xfId="100"/>
    <cellStyle name="Named Range" xfId="101"/>
    <cellStyle name="Named Range Tag" xfId="102"/>
    <cellStyle name="Named Range_Book2" xfId="103"/>
    <cellStyle name="Normal" xfId="0" builtinId="0"/>
    <cellStyle name="Normal 2" xfId="1"/>
    <cellStyle name="Normal 2 2" xfId="105"/>
    <cellStyle name="Normal 2 3" xfId="104"/>
    <cellStyle name="Normal 3" xfId="106"/>
    <cellStyle name="Normal 4" xfId="107"/>
    <cellStyle name="Normal 4 2" xfId="161"/>
    <cellStyle name="Normal 5" xfId="2"/>
    <cellStyle name="Normale_Foglio1" xfId="108"/>
    <cellStyle name="Notes" xfId="109"/>
    <cellStyle name="Number" xfId="110"/>
    <cellStyle name="Number 1" xfId="111"/>
    <cellStyle name="Number Date" xfId="112"/>
    <cellStyle name="Number Date (short)" xfId="113"/>
    <cellStyle name="Number Date_Green" xfId="114"/>
    <cellStyle name="Number II" xfId="115"/>
    <cellStyle name="Number Integer" xfId="116"/>
    <cellStyle name="Percen - Style2" xfId="117"/>
    <cellStyle name="Percent [0%]" xfId="119"/>
    <cellStyle name="Percent [0.00%]" xfId="120"/>
    <cellStyle name="Percent 2" xfId="118"/>
    <cellStyle name="Percent 3" xfId="170"/>
    <cellStyle name="Percent 4" xfId="151"/>
    <cellStyle name="Percent 5" xfId="171"/>
    <cellStyle name="Percent 6" xfId="150"/>
    <cellStyle name="Percent 7" xfId="172"/>
    <cellStyle name="Percent 8" xfId="149"/>
    <cellStyle name="Pourcentage_tocmodel_final" xfId="121"/>
    <cellStyle name="Profile" xfId="122"/>
    <cellStyle name="ROA Ref" xfId="123"/>
    <cellStyle name="Section_End" xfId="124"/>
    <cellStyle name="Sheet Done" xfId="125"/>
    <cellStyle name="Small" xfId="126"/>
    <cellStyle name="Source Field - Green" xfId="127"/>
    <cellStyle name="Standard_Anpassen der Amortisation" xfId="128"/>
    <cellStyle name="Style 1" xfId="129"/>
    <cellStyle name="Sub totals" xfId="130"/>
    <cellStyle name="Subtotal (line)" xfId="131"/>
    <cellStyle name="TableBorder" xfId="132"/>
    <cellStyle name="Thousands" xfId="133"/>
    <cellStyle name="Title 1" xfId="134"/>
    <cellStyle name="Title 2" xfId="135"/>
    <cellStyle name="Title 3" xfId="136"/>
    <cellStyle name="Title 4" xfId="137"/>
    <cellStyle name="Titulo" xfId="138"/>
    <cellStyle name="To" xfId="139"/>
    <cellStyle name="Total (line)" xfId="140"/>
    <cellStyle name="Totals" xfId="141"/>
    <cellStyle name="Under Construction Flag" xfId="142"/>
    <cellStyle name="UserInstructions" xfId="143"/>
    <cellStyle name="Very Large" xfId="144"/>
    <cellStyle name="Währung [0]_Compiling Utility Macros" xfId="145"/>
    <cellStyle name="Währung_Compiling Utility Macros" xfId="146"/>
    <cellStyle name="WingDings" xfId="147"/>
    <cellStyle name="WIP" xfId="148"/>
  </cellStyles>
  <dxfs count="10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36"/>
  <sheetViews>
    <sheetView tabSelected="1" workbookViewId="0">
      <selection activeCell="I28" sqref="I28"/>
    </sheetView>
  </sheetViews>
  <sheetFormatPr defaultRowHeight="15"/>
  <cols>
    <col min="2" max="2" width="57.85546875" customWidth="1"/>
  </cols>
  <sheetData>
    <row r="1" spans="1:27">
      <c r="C1" t="s">
        <v>178</v>
      </c>
      <c r="D1" t="s">
        <v>179</v>
      </c>
      <c r="E1" t="s">
        <v>180</v>
      </c>
      <c r="F1" t="s">
        <v>181</v>
      </c>
    </row>
    <row r="2" spans="1:27">
      <c r="A2" t="s">
        <v>175</v>
      </c>
      <c r="C2" s="2">
        <v>-0.5</v>
      </c>
      <c r="D2" s="2">
        <v>0.5</v>
      </c>
      <c r="E2" s="12">
        <v>1</v>
      </c>
      <c r="F2" s="8">
        <v>0.125</v>
      </c>
      <c r="J2" s="2"/>
      <c r="T2" s="12"/>
      <c r="U2" s="8"/>
      <c r="Z2" s="12"/>
      <c r="AA2" s="8"/>
    </row>
    <row r="3" spans="1:27">
      <c r="A3" t="s">
        <v>176</v>
      </c>
      <c r="C3" s="2">
        <v>-0.6</v>
      </c>
      <c r="D3" s="2">
        <v>0.6</v>
      </c>
      <c r="E3" s="12">
        <v>1</v>
      </c>
      <c r="F3" s="2">
        <v>0.15</v>
      </c>
      <c r="T3" s="12"/>
      <c r="U3" s="2"/>
      <c r="Z3" s="12"/>
      <c r="AA3" s="2"/>
    </row>
    <row r="4" spans="1:27">
      <c r="A4" t="s">
        <v>113</v>
      </c>
      <c r="C4" t="s">
        <v>187</v>
      </c>
      <c r="E4" s="12"/>
      <c r="T4" s="12"/>
      <c r="U4" s="12"/>
      <c r="Z4" s="12"/>
      <c r="AA4" s="12"/>
    </row>
    <row r="5" spans="1:27">
      <c r="A5" t="s">
        <v>182</v>
      </c>
      <c r="C5" s="2">
        <v>-0.55000000000000004</v>
      </c>
      <c r="D5" s="2">
        <v>0.55000000000000004</v>
      </c>
      <c r="E5" s="12">
        <v>1</v>
      </c>
      <c r="F5" s="8">
        <v>0.13750000000000001</v>
      </c>
      <c r="T5" s="12"/>
      <c r="U5" s="2"/>
      <c r="Z5" s="12"/>
      <c r="AA5" s="2"/>
    </row>
    <row r="6" spans="1:27">
      <c r="A6" t="s">
        <v>183</v>
      </c>
      <c r="C6" s="2"/>
      <c r="D6" s="2"/>
      <c r="E6" s="12"/>
      <c r="F6" s="8"/>
      <c r="J6" s="12"/>
      <c r="T6" s="12"/>
      <c r="U6" s="8"/>
      <c r="Z6" s="12"/>
      <c r="AA6" s="8"/>
    </row>
    <row r="7" spans="1:27">
      <c r="A7" t="s">
        <v>184</v>
      </c>
      <c r="C7" s="12" t="s">
        <v>194</v>
      </c>
      <c r="E7" s="12"/>
      <c r="T7" s="12"/>
      <c r="U7" s="12"/>
      <c r="Z7" s="12"/>
      <c r="AA7" s="12"/>
    </row>
    <row r="8" spans="1:27">
      <c r="A8" t="s">
        <v>185</v>
      </c>
      <c r="C8" s="2">
        <v>-0.33</v>
      </c>
      <c r="D8" s="2">
        <v>0.33</v>
      </c>
      <c r="E8" s="12">
        <v>1</v>
      </c>
      <c r="F8" s="2">
        <v>8.2500000000000004E-2</v>
      </c>
      <c r="T8" s="12"/>
      <c r="U8" s="2"/>
      <c r="Z8" s="12"/>
      <c r="AA8" s="2"/>
    </row>
    <row r="9" spans="1:27">
      <c r="A9" t="s">
        <v>177</v>
      </c>
      <c r="C9" t="s">
        <v>194</v>
      </c>
      <c r="E9" s="12"/>
      <c r="F9" s="2"/>
      <c r="T9" s="12"/>
      <c r="U9" s="2"/>
      <c r="Z9" s="12"/>
      <c r="AA9" s="2"/>
    </row>
    <row r="10" spans="1:27">
      <c r="A10" t="s">
        <v>191</v>
      </c>
      <c r="C10" s="2">
        <v>-0.1</v>
      </c>
      <c r="D10" s="2">
        <v>0.1</v>
      </c>
      <c r="E10" s="12">
        <v>1.1000000000000001</v>
      </c>
      <c r="F10" s="8">
        <v>2.5000000000000001E-2</v>
      </c>
      <c r="T10" s="12"/>
      <c r="U10" s="8"/>
      <c r="Z10" s="12"/>
      <c r="AA10" s="8"/>
    </row>
    <row r="11" spans="1:27">
      <c r="A11" t="s">
        <v>215</v>
      </c>
      <c r="C11" s="2">
        <v>-1</v>
      </c>
      <c r="D11" s="2">
        <v>1</v>
      </c>
      <c r="E11" s="12">
        <v>1</v>
      </c>
      <c r="F11" s="2">
        <v>0.25</v>
      </c>
      <c r="T11" s="12"/>
      <c r="U11" s="2"/>
      <c r="Z11" s="12"/>
      <c r="AA11" s="2"/>
    </row>
    <row r="12" spans="1:27" s="12" customFormat="1">
      <c r="A12" s="12" t="s">
        <v>216</v>
      </c>
      <c r="C12" s="2">
        <v>-0.2</v>
      </c>
      <c r="D12" s="2">
        <v>0.2</v>
      </c>
      <c r="E12" s="12">
        <v>1</v>
      </c>
      <c r="F12" s="2">
        <v>0.05</v>
      </c>
      <c r="U12" s="2"/>
      <c r="AA12" s="2"/>
    </row>
    <row r="13" spans="1:27" s="12" customFormat="1">
      <c r="C13" s="2"/>
      <c r="D13" s="2"/>
      <c r="F13" s="8"/>
      <c r="G13" s="25"/>
      <c r="U13" s="2"/>
      <c r="AA13" s="2"/>
    </row>
    <row r="14" spans="1:27">
      <c r="A14" t="s">
        <v>165</v>
      </c>
      <c r="C14" s="2">
        <v>-0.5</v>
      </c>
      <c r="D14" s="2">
        <v>0.5</v>
      </c>
      <c r="E14" s="12">
        <v>0.5</v>
      </c>
      <c r="F14" s="8">
        <v>0.125</v>
      </c>
      <c r="H14" t="s">
        <v>205</v>
      </c>
      <c r="T14" s="12"/>
      <c r="U14" s="8"/>
      <c r="Z14" s="12"/>
      <c r="AA14" s="8"/>
    </row>
    <row r="15" spans="1:27">
      <c r="A15" t="s">
        <v>192</v>
      </c>
      <c r="C15" s="2">
        <v>-0.1</v>
      </c>
      <c r="D15" s="2">
        <v>0.1</v>
      </c>
      <c r="E15" s="12">
        <v>1.1000000000000001</v>
      </c>
      <c r="F15" s="8">
        <v>2.5000000000000001E-2</v>
      </c>
      <c r="J15" s="12"/>
      <c r="T15" s="12"/>
      <c r="U15" s="8"/>
      <c r="Z15" s="12"/>
      <c r="AA15" s="8"/>
    </row>
    <row r="16" spans="1:27">
      <c r="A16" t="s">
        <v>193</v>
      </c>
      <c r="C16" s="2">
        <v>-1</v>
      </c>
      <c r="D16" s="2">
        <v>1</v>
      </c>
      <c r="E16" s="12">
        <v>1</v>
      </c>
      <c r="F16" s="8">
        <v>0.25</v>
      </c>
      <c r="T16" s="12"/>
      <c r="U16" s="8"/>
      <c r="Z16" s="12"/>
      <c r="AA16" s="8"/>
    </row>
    <row r="17" spans="1:27">
      <c r="A17" t="s">
        <v>195</v>
      </c>
      <c r="C17" s="2">
        <v>-0.05</v>
      </c>
      <c r="D17" s="2">
        <v>0.05</v>
      </c>
      <c r="E17" s="12">
        <v>1</v>
      </c>
      <c r="F17" s="8">
        <v>1.2500000000000001E-2</v>
      </c>
      <c r="T17" s="12"/>
      <c r="U17" s="8"/>
      <c r="Z17" s="12"/>
      <c r="AA17" s="8"/>
    </row>
    <row r="18" spans="1:27">
      <c r="A18" t="s">
        <v>196</v>
      </c>
      <c r="C18" s="2">
        <v>-0.1</v>
      </c>
      <c r="D18" s="2">
        <v>0.1</v>
      </c>
      <c r="E18" s="12">
        <v>1</v>
      </c>
      <c r="F18" s="8">
        <v>2.5000000000000001E-2</v>
      </c>
      <c r="T18" s="12"/>
      <c r="U18" s="8"/>
      <c r="Z18" s="12"/>
      <c r="AA18" s="8"/>
    </row>
    <row r="19" spans="1:27">
      <c r="A19" t="s">
        <v>197</v>
      </c>
      <c r="C19" s="2">
        <v>-0.2</v>
      </c>
      <c r="D19" s="2">
        <v>0.2</v>
      </c>
      <c r="E19" s="12">
        <v>1</v>
      </c>
      <c r="F19" s="2">
        <v>0.05</v>
      </c>
      <c r="J19" s="12"/>
      <c r="T19" s="12"/>
      <c r="U19" s="2"/>
      <c r="Z19" s="12"/>
      <c r="AA19" s="2"/>
    </row>
    <row r="20" spans="1:27">
      <c r="A20" t="s">
        <v>198</v>
      </c>
      <c r="C20" s="2">
        <v>-0.2</v>
      </c>
      <c r="D20" s="2">
        <v>0.2</v>
      </c>
      <c r="E20" s="12">
        <v>1</v>
      </c>
      <c r="F20" s="2">
        <v>0.05</v>
      </c>
      <c r="G20" s="12"/>
      <c r="J20" s="12"/>
      <c r="T20" s="12"/>
      <c r="U20" s="2"/>
      <c r="Z20" s="12"/>
      <c r="AA20" s="2"/>
    </row>
    <row r="21" spans="1:27">
      <c r="A21" t="s">
        <v>200</v>
      </c>
      <c r="C21" s="2">
        <v>-0.1</v>
      </c>
      <c r="D21" s="2">
        <v>0.1</v>
      </c>
      <c r="E21" s="12">
        <v>1.1000000000000001</v>
      </c>
      <c r="F21" s="8">
        <v>2.5000000000000001E-2</v>
      </c>
      <c r="J21" s="12"/>
      <c r="T21" s="12"/>
      <c r="U21" s="8"/>
      <c r="Z21" s="12"/>
      <c r="AA21" s="8"/>
    </row>
    <row r="22" spans="1:27">
      <c r="A22" s="12" t="s">
        <v>201</v>
      </c>
      <c r="C22" s="2">
        <v>-0.1</v>
      </c>
      <c r="D22" s="2">
        <v>0.1</v>
      </c>
      <c r="E22" s="12">
        <v>0.9</v>
      </c>
      <c r="F22" s="8">
        <v>2.5000000000000001E-2</v>
      </c>
      <c r="J22" s="12"/>
      <c r="T22" s="12"/>
      <c r="U22" s="8"/>
      <c r="Z22" s="12"/>
      <c r="AA22" s="8"/>
    </row>
    <row r="23" spans="1:27">
      <c r="A23" t="s">
        <v>199</v>
      </c>
      <c r="C23" s="2">
        <v>-0.1</v>
      </c>
      <c r="D23" s="2">
        <v>0.1</v>
      </c>
      <c r="E23" s="12">
        <v>1</v>
      </c>
      <c r="F23" s="8">
        <v>2.5000000000000001E-2</v>
      </c>
      <c r="T23" s="12"/>
      <c r="U23" s="8"/>
      <c r="Z23" s="12"/>
      <c r="AA23" s="8"/>
    </row>
    <row r="24" spans="1:27">
      <c r="A24" t="s">
        <v>202</v>
      </c>
      <c r="C24" s="2">
        <v>-0.1</v>
      </c>
      <c r="D24" s="2">
        <v>0.1</v>
      </c>
      <c r="E24" s="12">
        <v>1</v>
      </c>
      <c r="F24" s="8">
        <v>2.5000000000000001E-2</v>
      </c>
      <c r="T24" s="12"/>
      <c r="U24" s="8"/>
      <c r="Z24" s="12"/>
      <c r="AA24" s="8"/>
    </row>
    <row r="25" spans="1:27">
      <c r="A25" t="s">
        <v>203</v>
      </c>
      <c r="C25" s="2">
        <v>-0.1</v>
      </c>
      <c r="D25" s="2">
        <v>0.1</v>
      </c>
      <c r="E25" s="12">
        <v>1</v>
      </c>
      <c r="F25" s="8">
        <v>2.5000000000000001E-2</v>
      </c>
      <c r="T25" s="12"/>
      <c r="U25" s="8"/>
      <c r="Z25" s="12"/>
      <c r="AA25" s="8"/>
    </row>
    <row r="26" spans="1:27">
      <c r="A26" t="s">
        <v>204</v>
      </c>
      <c r="C26" s="2">
        <v>-0.1</v>
      </c>
      <c r="D26" s="2">
        <v>0.1</v>
      </c>
      <c r="E26" s="12">
        <v>1</v>
      </c>
      <c r="F26" s="8">
        <v>2.5000000000000001E-2</v>
      </c>
      <c r="T26" s="12"/>
      <c r="U26" s="8"/>
      <c r="Z26" s="12"/>
      <c r="AA26" s="8"/>
    </row>
    <row r="27" spans="1:27">
      <c r="A27" t="s">
        <v>104</v>
      </c>
      <c r="C27" s="2">
        <v>-0.2</v>
      </c>
      <c r="D27" s="2">
        <v>0.2</v>
      </c>
      <c r="E27" s="12">
        <v>1</v>
      </c>
      <c r="F27" s="2">
        <v>0.05</v>
      </c>
      <c r="T27" s="12"/>
      <c r="U27" s="2"/>
      <c r="Z27" s="12"/>
      <c r="AA27" s="2"/>
    </row>
    <row r="28" spans="1:27">
      <c r="A28" s="12" t="s">
        <v>105</v>
      </c>
      <c r="C28" s="2">
        <v>-0.33</v>
      </c>
      <c r="D28" s="2">
        <v>0.33</v>
      </c>
      <c r="E28" s="12">
        <v>0.90909099999999998</v>
      </c>
      <c r="F28" s="2">
        <v>0.08</v>
      </c>
      <c r="T28" s="12"/>
      <c r="U28" s="2"/>
      <c r="Z28" s="12"/>
      <c r="AA28" s="2"/>
    </row>
    <row r="29" spans="1:27">
      <c r="E29" s="12"/>
      <c r="M29" s="12"/>
      <c r="N29" s="2"/>
    </row>
    <row r="30" spans="1:27">
      <c r="H30" s="12"/>
      <c r="I30" s="12"/>
      <c r="M30" s="12"/>
      <c r="N30" s="2"/>
    </row>
    <row r="31" spans="1:27">
      <c r="M31" s="12"/>
      <c r="N31" s="2"/>
    </row>
    <row r="32" spans="1:27">
      <c r="C32" t="s">
        <v>205</v>
      </c>
      <c r="H32" s="12"/>
      <c r="I32" s="12"/>
    </row>
    <row r="33" spans="6:8">
      <c r="G33" s="2"/>
      <c r="H33" s="2"/>
    </row>
    <row r="34" spans="6:8">
      <c r="G34" s="12"/>
    </row>
    <row r="36" spans="6:8">
      <c r="F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O412"/>
  <sheetViews>
    <sheetView workbookViewId="0">
      <selection activeCell="L17" sqref="L17"/>
    </sheetView>
  </sheetViews>
  <sheetFormatPr defaultRowHeight="15"/>
  <cols>
    <col min="1" max="1" width="23.42578125" customWidth="1"/>
    <col min="3" max="4" width="25.7109375" customWidth="1"/>
    <col min="5" max="5" width="24.5703125" customWidth="1"/>
    <col min="6" max="6" width="29.7109375" customWidth="1"/>
    <col min="7" max="7" width="22.5703125" customWidth="1"/>
    <col min="8" max="8" width="22.42578125" customWidth="1"/>
    <col min="9" max="9" width="20.42578125" customWidth="1"/>
    <col min="11" max="11" width="17" customWidth="1"/>
    <col min="29" max="29" width="12.7109375" bestFit="1" customWidth="1"/>
    <col min="32" max="32" width="12.7109375" bestFit="1" customWidth="1"/>
    <col min="56" max="56" width="12.7109375" bestFit="1" customWidth="1"/>
    <col min="62" max="62" width="12.7109375" bestFit="1" customWidth="1"/>
  </cols>
  <sheetData>
    <row r="1" spans="1:12" s="12" customFormat="1">
      <c r="A1" s="12" t="s">
        <v>225</v>
      </c>
      <c r="D1" s="12" t="s">
        <v>2</v>
      </c>
      <c r="E1" s="12" t="s">
        <v>3</v>
      </c>
      <c r="F1" s="12" t="s">
        <v>4</v>
      </c>
      <c r="G1" s="12" t="s">
        <v>0</v>
      </c>
      <c r="H1" s="12" t="s">
        <v>1</v>
      </c>
      <c r="I1" s="12" t="s">
        <v>5</v>
      </c>
      <c r="J1" s="12" t="s">
        <v>77</v>
      </c>
      <c r="K1" s="12" t="s">
        <v>6</v>
      </c>
      <c r="L1" s="12" t="s">
        <v>77</v>
      </c>
    </row>
    <row r="2" spans="1:12" s="12" customFormat="1">
      <c r="A2" s="12" t="s">
        <v>230</v>
      </c>
      <c r="D2" s="21">
        <v>11</v>
      </c>
      <c r="E2" s="12">
        <v>26</v>
      </c>
      <c r="F2" s="12">
        <v>49</v>
      </c>
      <c r="G2" s="12">
        <v>53.5</v>
      </c>
      <c r="H2" s="12">
        <v>63.5</v>
      </c>
      <c r="I2" s="27">
        <v>7192</v>
      </c>
      <c r="J2" s="12">
        <f>I2/480</f>
        <v>14.983333333333333</v>
      </c>
      <c r="K2" s="27">
        <v>12228</v>
      </c>
      <c r="L2" s="12">
        <f>K2/480</f>
        <v>25.475000000000001</v>
      </c>
    </row>
    <row r="3" spans="1:12" s="12" customFormat="1">
      <c r="A3" s="12" t="s">
        <v>231</v>
      </c>
      <c r="D3" s="21">
        <v>10.1</v>
      </c>
      <c r="E3" s="12">
        <v>21</v>
      </c>
      <c r="F3" s="12">
        <v>37.299999999999997</v>
      </c>
      <c r="G3" s="12">
        <v>53.5</v>
      </c>
      <c r="H3" s="12">
        <v>57</v>
      </c>
      <c r="I3" s="27">
        <v>5688</v>
      </c>
      <c r="J3" s="12">
        <f t="shared" ref="J3:J10" si="0">I3/480</f>
        <v>11.85</v>
      </c>
      <c r="K3" s="27">
        <v>9668</v>
      </c>
      <c r="L3" s="12">
        <f t="shared" ref="L3:L10" si="1">K3/480</f>
        <v>20.141666666666666</v>
      </c>
    </row>
    <row r="4" spans="1:12" s="12" customFormat="1">
      <c r="A4" s="12" t="s">
        <v>232</v>
      </c>
      <c r="D4" s="12">
        <v>5.7</v>
      </c>
      <c r="E4" s="12">
        <v>15.5</v>
      </c>
      <c r="F4" s="12">
        <v>37.299999999999997</v>
      </c>
      <c r="G4" s="12">
        <v>38.9</v>
      </c>
      <c r="H4" s="12">
        <v>57</v>
      </c>
      <c r="I4" s="27">
        <v>5688</v>
      </c>
      <c r="J4" s="12">
        <f t="shared" si="0"/>
        <v>11.85</v>
      </c>
      <c r="K4" s="27">
        <v>9668</v>
      </c>
      <c r="L4" s="12">
        <f t="shared" si="1"/>
        <v>20.141666666666666</v>
      </c>
    </row>
    <row r="5" spans="1:12" s="12" customFormat="1">
      <c r="A5" s="12" t="s">
        <v>233</v>
      </c>
      <c r="D5" s="12">
        <v>5.6</v>
      </c>
      <c r="E5" s="12">
        <v>13.5</v>
      </c>
      <c r="F5" s="12">
        <v>23.3</v>
      </c>
      <c r="G5" s="12">
        <v>25.1</v>
      </c>
      <c r="H5" s="12">
        <v>32.5</v>
      </c>
      <c r="I5" s="27">
        <v>3656</v>
      </c>
      <c r="J5" s="12">
        <f t="shared" si="0"/>
        <v>7.6166666666666663</v>
      </c>
      <c r="K5" s="27">
        <v>6216</v>
      </c>
      <c r="L5" s="12">
        <f t="shared" si="1"/>
        <v>12.95</v>
      </c>
    </row>
    <row r="6" spans="1:12" s="12" customFormat="1">
      <c r="A6" s="12" t="s">
        <v>234</v>
      </c>
      <c r="D6" s="12">
        <v>8</v>
      </c>
      <c r="E6" s="12">
        <v>15</v>
      </c>
      <c r="F6" s="12">
        <v>8</v>
      </c>
      <c r="G6" s="12">
        <v>10.4</v>
      </c>
      <c r="H6" s="12">
        <v>15</v>
      </c>
      <c r="I6" s="27">
        <v>1812</v>
      </c>
      <c r="J6" s="12">
        <f t="shared" si="0"/>
        <v>3.7749999999999999</v>
      </c>
      <c r="K6" s="27">
        <v>3080</v>
      </c>
      <c r="L6" s="12">
        <f t="shared" si="1"/>
        <v>6.416666666666667</v>
      </c>
    </row>
    <row r="7" spans="1:12" s="12" customFormat="1">
      <c r="A7" s="12" t="s">
        <v>235</v>
      </c>
      <c r="B7" s="12" t="s">
        <v>231</v>
      </c>
      <c r="D7" s="12">
        <v>5.4</v>
      </c>
      <c r="E7" s="12">
        <v>8</v>
      </c>
      <c r="F7" s="12">
        <v>5.4</v>
      </c>
      <c r="G7" s="12">
        <v>5.4</v>
      </c>
      <c r="H7" s="21">
        <v>8</v>
      </c>
      <c r="I7" s="27">
        <v>1064</v>
      </c>
      <c r="J7" s="12">
        <f t="shared" si="0"/>
        <v>2.2166666666666668</v>
      </c>
      <c r="K7" s="27">
        <v>1596</v>
      </c>
      <c r="L7" s="12">
        <f t="shared" si="1"/>
        <v>3.3250000000000002</v>
      </c>
    </row>
    <row r="8" spans="1:12" s="12" customFormat="1">
      <c r="B8" s="12" t="s">
        <v>232</v>
      </c>
      <c r="D8" s="12">
        <v>10.3</v>
      </c>
      <c r="E8" s="12">
        <v>14.9</v>
      </c>
      <c r="F8" s="12">
        <v>10.3</v>
      </c>
      <c r="G8" s="21">
        <v>10.3</v>
      </c>
      <c r="H8" s="21">
        <v>14.9</v>
      </c>
      <c r="I8" s="27">
        <v>2064</v>
      </c>
      <c r="J8" s="12">
        <f t="shared" si="0"/>
        <v>4.3</v>
      </c>
      <c r="K8" s="27">
        <v>3100</v>
      </c>
      <c r="L8" s="12">
        <f t="shared" si="1"/>
        <v>6.458333333333333</v>
      </c>
    </row>
    <row r="9" spans="1:12" s="12" customFormat="1">
      <c r="B9" s="12" t="s">
        <v>233</v>
      </c>
      <c r="D9" s="12">
        <v>6.1</v>
      </c>
      <c r="E9" s="12">
        <v>19.5</v>
      </c>
      <c r="F9" s="12">
        <v>26.1</v>
      </c>
      <c r="G9" s="21">
        <v>33</v>
      </c>
      <c r="H9" s="21">
        <v>39</v>
      </c>
      <c r="I9" s="27">
        <v>4096</v>
      </c>
      <c r="J9" s="12">
        <f t="shared" si="0"/>
        <v>8.5333333333333332</v>
      </c>
      <c r="K9" s="27">
        <v>6964</v>
      </c>
      <c r="L9" s="12">
        <f t="shared" si="1"/>
        <v>14.508333333333333</v>
      </c>
    </row>
    <row r="10" spans="1:12" s="12" customFormat="1">
      <c r="B10" s="12" t="s">
        <v>234</v>
      </c>
      <c r="D10" s="12">
        <v>13</v>
      </c>
      <c r="E10" s="12">
        <v>48.1</v>
      </c>
      <c r="F10" s="12">
        <v>32.5</v>
      </c>
      <c r="G10" s="21">
        <v>39.5</v>
      </c>
      <c r="H10" s="21">
        <v>59.5</v>
      </c>
      <c r="I10" s="27">
        <v>5384</v>
      </c>
      <c r="J10" s="12">
        <f t="shared" si="0"/>
        <v>11.216666666666667</v>
      </c>
      <c r="K10" s="27">
        <v>9152</v>
      </c>
      <c r="L10" s="12">
        <f t="shared" si="1"/>
        <v>19.066666666666666</v>
      </c>
    </row>
    <row r="11" spans="1:12" s="12" customFormat="1"/>
    <row r="12" spans="1:12" s="12" customFormat="1">
      <c r="I12" s="1"/>
    </row>
    <row r="13" spans="1:12" s="12" customFormat="1"/>
    <row r="14" spans="1:12" s="12" customFormat="1"/>
    <row r="15" spans="1:12" s="12" customFormat="1"/>
    <row r="17" spans="1:14">
      <c r="I17" s="1"/>
      <c r="J17" s="1"/>
      <c r="K17" s="1"/>
      <c r="L17" s="1"/>
    </row>
    <row r="18" spans="1:14">
      <c r="I18" s="1"/>
      <c r="J18" s="1"/>
      <c r="K18" s="1"/>
      <c r="L18" s="1"/>
    </row>
    <row r="19" spans="1:14">
      <c r="I19" s="1"/>
      <c r="J19" s="1"/>
      <c r="K19" s="1"/>
      <c r="L19" s="1"/>
    </row>
    <row r="20" spans="1:14">
      <c r="I20" s="1"/>
      <c r="J20" s="1"/>
      <c r="K20" s="1"/>
      <c r="L20" s="1"/>
    </row>
    <row r="21" spans="1:14">
      <c r="I21" s="1"/>
      <c r="J21" s="1"/>
      <c r="K21" s="1"/>
      <c r="L21" s="1"/>
    </row>
    <row r="25" spans="1:14">
      <c r="A25" t="s">
        <v>7</v>
      </c>
      <c r="J25" t="s">
        <v>99</v>
      </c>
      <c r="L25" t="s">
        <v>100</v>
      </c>
      <c r="N25" t="s">
        <v>32</v>
      </c>
    </row>
    <row r="26" spans="1:14">
      <c r="A26">
        <v>2002</v>
      </c>
      <c r="D26">
        <f t="shared" ref="D26:D38" si="2">(E50 +H50)/K50*J$69</f>
        <v>0</v>
      </c>
      <c r="E26">
        <f>(E50 +H50)/K50*I$69</f>
        <v>0</v>
      </c>
      <c r="F26">
        <f>G50/K50</f>
        <v>0</v>
      </c>
      <c r="G26">
        <f>F50/K50*J$69</f>
        <v>0</v>
      </c>
      <c r="H26">
        <f>F50/K50*I$69</f>
        <v>0</v>
      </c>
      <c r="J26">
        <f t="shared" ref="J26:J38" si="3">J$69*J50/K50</f>
        <v>0.35889140581672851</v>
      </c>
      <c r="L26">
        <f t="shared" ref="L26:L38" si="4">I$69*J50/K50</f>
        <v>6.333377749706974E-2</v>
      </c>
      <c r="N26">
        <f>SUM(D26:M26)</f>
        <v>0.42222518331379827</v>
      </c>
    </row>
    <row r="27" spans="1:14">
      <c r="A27">
        <v>2003</v>
      </c>
      <c r="D27">
        <f t="shared" si="2"/>
        <v>0</v>
      </c>
      <c r="E27">
        <f t="shared" ref="E27:E38" si="5">(E51 +H51)/K51*I$69</f>
        <v>0</v>
      </c>
      <c r="F27">
        <f t="shared" ref="F27:F38" si="6">G51/K51</f>
        <v>0</v>
      </c>
      <c r="G27">
        <f t="shared" ref="G27:G38" si="7">F51/K51*J$69</f>
        <v>0</v>
      </c>
      <c r="H27">
        <f t="shared" ref="H27:H38" si="8">F51/K51*I$69</f>
        <v>0</v>
      </c>
      <c r="J27">
        <f t="shared" si="3"/>
        <v>0.37873128214578677</v>
      </c>
      <c r="L27">
        <f t="shared" si="4"/>
        <v>6.6834932143374146E-2</v>
      </c>
      <c r="N27">
        <f t="shared" ref="N27:N33" si="9">SUM(D27:M27)</f>
        <v>0.44556621428916093</v>
      </c>
    </row>
    <row r="28" spans="1:14">
      <c r="A28">
        <v>2004</v>
      </c>
      <c r="D28">
        <f t="shared" si="2"/>
        <v>0</v>
      </c>
      <c r="E28">
        <f t="shared" si="5"/>
        <v>0</v>
      </c>
      <c r="F28">
        <f t="shared" si="6"/>
        <v>0</v>
      </c>
      <c r="G28">
        <f t="shared" si="7"/>
        <v>0</v>
      </c>
      <c r="H28">
        <f t="shared" si="8"/>
        <v>0</v>
      </c>
      <c r="J28">
        <f t="shared" si="3"/>
        <v>0.38079309325414212</v>
      </c>
      <c r="L28">
        <f t="shared" si="4"/>
        <v>6.7198781162495669E-2</v>
      </c>
      <c r="N28">
        <f t="shared" si="9"/>
        <v>0.44799187441663779</v>
      </c>
    </row>
    <row r="29" spans="1:14">
      <c r="A29">
        <v>2005</v>
      </c>
      <c r="D29">
        <f t="shared" si="2"/>
        <v>0</v>
      </c>
      <c r="E29">
        <f t="shared" si="5"/>
        <v>0</v>
      </c>
      <c r="F29">
        <f t="shared" si="6"/>
        <v>0</v>
      </c>
      <c r="G29">
        <f t="shared" si="7"/>
        <v>0</v>
      </c>
      <c r="H29">
        <f t="shared" si="8"/>
        <v>0</v>
      </c>
      <c r="J29">
        <f t="shared" si="3"/>
        <v>0.39287458975550782</v>
      </c>
      <c r="L29">
        <f t="shared" si="4"/>
        <v>6.9330809956854325E-2</v>
      </c>
      <c r="N29">
        <f t="shared" si="9"/>
        <v>0.46220539971236213</v>
      </c>
    </row>
    <row r="30" spans="1:14">
      <c r="A30">
        <v>2006</v>
      </c>
      <c r="D30">
        <f t="shared" si="2"/>
        <v>0</v>
      </c>
      <c r="E30">
        <f t="shared" si="5"/>
        <v>0</v>
      </c>
      <c r="F30">
        <f t="shared" si="6"/>
        <v>0</v>
      </c>
      <c r="G30">
        <f t="shared" si="7"/>
        <v>0</v>
      </c>
      <c r="H30">
        <f t="shared" si="8"/>
        <v>0</v>
      </c>
      <c r="J30">
        <f t="shared" si="3"/>
        <v>0.39551779965283018</v>
      </c>
      <c r="L30">
        <f t="shared" si="4"/>
        <v>6.9797258762264155E-2</v>
      </c>
      <c r="N30">
        <f t="shared" si="9"/>
        <v>0.46531505841509435</v>
      </c>
    </row>
    <row r="31" spans="1:14">
      <c r="A31">
        <v>2007</v>
      </c>
      <c r="D31">
        <f t="shared" si="2"/>
        <v>0</v>
      </c>
      <c r="E31">
        <f t="shared" si="5"/>
        <v>0</v>
      </c>
      <c r="F31">
        <f t="shared" si="6"/>
        <v>0</v>
      </c>
      <c r="G31">
        <f t="shared" si="7"/>
        <v>0</v>
      </c>
      <c r="H31">
        <f t="shared" si="8"/>
        <v>0</v>
      </c>
      <c r="J31">
        <f t="shared" si="3"/>
        <v>0.40915061621564819</v>
      </c>
      <c r="L31">
        <f t="shared" si="4"/>
        <v>7.2203049920408491E-2</v>
      </c>
      <c r="N31">
        <f t="shared" si="9"/>
        <v>0.48135366613605668</v>
      </c>
    </row>
    <row r="32" spans="1:14">
      <c r="A32">
        <v>2008</v>
      </c>
      <c r="D32">
        <f t="shared" si="2"/>
        <v>0</v>
      </c>
      <c r="E32">
        <f t="shared" si="5"/>
        <v>0</v>
      </c>
      <c r="F32">
        <f t="shared" si="6"/>
        <v>0</v>
      </c>
      <c r="G32">
        <f t="shared" si="7"/>
        <v>0</v>
      </c>
      <c r="H32">
        <f t="shared" si="8"/>
        <v>0</v>
      </c>
      <c r="J32">
        <f t="shared" si="3"/>
        <v>0.40882505691103704</v>
      </c>
      <c r="L32">
        <f t="shared" si="4"/>
        <v>7.2145598278418308E-2</v>
      </c>
      <c r="N32">
        <f t="shared" si="9"/>
        <v>0.48097065518945536</v>
      </c>
    </row>
    <row r="33" spans="1:14">
      <c r="A33">
        <v>2009</v>
      </c>
      <c r="D33">
        <f t="shared" si="2"/>
        <v>0</v>
      </c>
      <c r="E33">
        <f t="shared" si="5"/>
        <v>0</v>
      </c>
      <c r="F33">
        <f t="shared" si="6"/>
        <v>0</v>
      </c>
      <c r="G33">
        <f t="shared" si="7"/>
        <v>0</v>
      </c>
      <c r="H33">
        <f t="shared" si="8"/>
        <v>0</v>
      </c>
      <c r="J33">
        <f t="shared" si="3"/>
        <v>0.38713452931365161</v>
      </c>
      <c r="L33">
        <f t="shared" si="4"/>
        <v>6.8317858114173804E-2</v>
      </c>
      <c r="N33">
        <f t="shared" si="9"/>
        <v>0.4554523874278254</v>
      </c>
    </row>
    <row r="34" spans="1:14">
      <c r="A34">
        <v>2010</v>
      </c>
      <c r="D34">
        <f>(E58 +H58)/K58*J$69</f>
        <v>3.3830309900179996E-2</v>
      </c>
      <c r="E34">
        <f>(E58 +H58)/K58*I$69</f>
        <v>5.9700546882670577E-3</v>
      </c>
      <c r="F34">
        <f>G58/K58</f>
        <v>0.30553462984658364</v>
      </c>
      <c r="G34">
        <f t="shared" si="7"/>
        <v>0.18173817350637997</v>
      </c>
      <c r="H34">
        <f t="shared" si="8"/>
        <v>3.2071442383478817E-2</v>
      </c>
      <c r="J34">
        <f t="shared" si="3"/>
        <v>0.37472708122384391</v>
      </c>
      <c r="L34">
        <f t="shared" si="4"/>
        <v>6.6128308451266576E-2</v>
      </c>
      <c r="N34">
        <f>SUM(D34:M34)</f>
        <v>1</v>
      </c>
    </row>
    <row r="35" spans="1:14">
      <c r="A35">
        <v>2011</v>
      </c>
      <c r="D35">
        <f t="shared" si="2"/>
        <v>4.2972381818084104E-2</v>
      </c>
      <c r="E35">
        <f t="shared" si="5"/>
        <v>7.5833614973089599E-3</v>
      </c>
      <c r="F35">
        <f t="shared" si="6"/>
        <v>0.30130406962027828</v>
      </c>
      <c r="G35">
        <f t="shared" si="7"/>
        <v>0.18643230634829197</v>
      </c>
      <c r="H35">
        <f t="shared" si="8"/>
        <v>3.2899818767345643E-2</v>
      </c>
      <c r="J35">
        <f t="shared" si="3"/>
        <v>0.36448685265638742</v>
      </c>
      <c r="L35">
        <f t="shared" si="4"/>
        <v>6.4321209292303658E-2</v>
      </c>
      <c r="N35">
        <f t="shared" ref="N35:N36" si="10">SUM(D35:M35)</f>
        <v>1</v>
      </c>
    </row>
    <row r="36" spans="1:14">
      <c r="A36">
        <v>2012</v>
      </c>
      <c r="D36">
        <f t="shared" si="2"/>
        <v>5.0248777021053619E-2</v>
      </c>
      <c r="E36">
        <f t="shared" si="5"/>
        <v>8.8674312390094618E-3</v>
      </c>
      <c r="F36">
        <f t="shared" si="6"/>
        <v>0.30878205119545687</v>
      </c>
      <c r="G36">
        <f t="shared" si="7"/>
        <v>0.18044882478706709</v>
      </c>
      <c r="H36">
        <f t="shared" si="8"/>
        <v>3.184391025654125E-2</v>
      </c>
      <c r="J36">
        <f t="shared" si="3"/>
        <v>0.35683765467574097</v>
      </c>
      <c r="L36">
        <f t="shared" si="4"/>
        <v>6.2971350825130765E-2</v>
      </c>
      <c r="N36">
        <f t="shared" si="10"/>
        <v>0.99999999999999989</v>
      </c>
    </row>
    <row r="37" spans="1:14">
      <c r="A37">
        <v>2013</v>
      </c>
      <c r="D37">
        <f t="shared" si="2"/>
        <v>4.5119275552266344E-2</v>
      </c>
      <c r="E37">
        <f t="shared" si="5"/>
        <v>7.9622250974587666E-3</v>
      </c>
      <c r="F37">
        <f t="shared" si="6"/>
        <v>0.30332903295174096</v>
      </c>
      <c r="G37">
        <f t="shared" si="7"/>
        <v>0.17690756285411738</v>
      </c>
      <c r="H37">
        <f t="shared" si="8"/>
        <v>3.1218981680138362E-2</v>
      </c>
      <c r="J37">
        <f t="shared" si="3"/>
        <v>0.3701434835846365</v>
      </c>
      <c r="L37">
        <f t="shared" si="4"/>
        <v>6.5319438279641734E-2</v>
      </c>
      <c r="N37">
        <f>SUM(D37:M37)</f>
        <v>1.0000000000000002</v>
      </c>
    </row>
    <row r="38" spans="1:14">
      <c r="A38">
        <v>2014</v>
      </c>
      <c r="D38">
        <f t="shared" si="2"/>
        <v>4.425530628288081E-2</v>
      </c>
      <c r="E38">
        <f t="shared" si="5"/>
        <v>7.8097599322730837E-3</v>
      </c>
      <c r="F38">
        <f t="shared" si="6"/>
        <v>0.3094878152022737</v>
      </c>
      <c r="G38">
        <f t="shared" si="7"/>
        <v>0.18190421479107452</v>
      </c>
      <c r="H38">
        <f t="shared" si="8"/>
        <v>3.210074378666021E-2</v>
      </c>
      <c r="J38">
        <f t="shared" si="3"/>
        <v>0.360775836004112</v>
      </c>
      <c r="L38">
        <f t="shared" si="4"/>
        <v>6.3666324000725638E-2</v>
      </c>
      <c r="N38" s="12">
        <f>SUM(D38:M38)</f>
        <v>1</v>
      </c>
    </row>
    <row r="39" spans="1:14" s="12" customFormat="1"/>
    <row r="40" spans="1:14" s="12" customFormat="1"/>
    <row r="41" spans="1:14" s="12" customFormat="1"/>
    <row r="42" spans="1:14" s="12" customFormat="1"/>
    <row r="43" spans="1:14" s="12" customFormat="1"/>
    <row r="44" spans="1:14" s="12" customFormat="1"/>
    <row r="45" spans="1:14" s="12" customFormat="1"/>
    <row r="47" spans="1:14">
      <c r="C47" s="21" t="s">
        <v>226</v>
      </c>
    </row>
    <row r="49" spans="4:11">
      <c r="D49" t="s">
        <v>8</v>
      </c>
      <c r="E49" t="s">
        <v>9</v>
      </c>
      <c r="F49" t="s">
        <v>10</v>
      </c>
      <c r="G49" t="s">
        <v>11</v>
      </c>
      <c r="H49" t="s">
        <v>12</v>
      </c>
      <c r="I49" t="s">
        <v>13</v>
      </c>
      <c r="J49" t="s">
        <v>14</v>
      </c>
      <c r="K49" t="s">
        <v>15</v>
      </c>
    </row>
    <row r="50" spans="4:11">
      <c r="D50" t="s">
        <v>16</v>
      </c>
      <c r="E50">
        <v>0</v>
      </c>
      <c r="F50">
        <v>0</v>
      </c>
      <c r="G50">
        <v>0</v>
      </c>
      <c r="H50">
        <v>0</v>
      </c>
      <c r="I50">
        <v>563.62576200000103</v>
      </c>
      <c r="J50">
        <v>411.88536400000038</v>
      </c>
      <c r="K50">
        <v>975.51112600000147</v>
      </c>
    </row>
    <row r="51" spans="4:11">
      <c r="D51" t="s">
        <v>17</v>
      </c>
      <c r="E51">
        <v>0</v>
      </c>
      <c r="F51">
        <v>0</v>
      </c>
      <c r="G51">
        <v>0</v>
      </c>
      <c r="H51">
        <v>0</v>
      </c>
      <c r="I51">
        <v>560.93337860583199</v>
      </c>
      <c r="J51">
        <v>450.78955939416704</v>
      </c>
      <c r="K51">
        <v>1011.722937999999</v>
      </c>
    </row>
    <row r="52" spans="4:11">
      <c r="D52" t="s">
        <v>18</v>
      </c>
      <c r="E52">
        <v>0</v>
      </c>
      <c r="F52">
        <v>0</v>
      </c>
      <c r="G52">
        <v>0</v>
      </c>
      <c r="H52">
        <v>0</v>
      </c>
      <c r="I52">
        <v>573.82286602000704</v>
      </c>
      <c r="J52">
        <v>465.69600956464302</v>
      </c>
      <c r="K52">
        <v>1039.51887558465</v>
      </c>
    </row>
    <row r="53" spans="4:11">
      <c r="D53" t="s">
        <v>19</v>
      </c>
      <c r="E53">
        <v>0</v>
      </c>
      <c r="F53">
        <v>0</v>
      </c>
      <c r="G53">
        <v>0</v>
      </c>
      <c r="H53">
        <v>0</v>
      </c>
      <c r="I53">
        <v>578.91189866050195</v>
      </c>
      <c r="J53">
        <v>497.54349592857102</v>
      </c>
      <c r="K53">
        <v>1076.455394589073</v>
      </c>
    </row>
    <row r="54" spans="4:11">
      <c r="D54" t="s">
        <v>20</v>
      </c>
      <c r="E54">
        <v>0</v>
      </c>
      <c r="F54">
        <v>0</v>
      </c>
      <c r="G54">
        <v>0</v>
      </c>
      <c r="H54">
        <v>0</v>
      </c>
      <c r="I54">
        <v>612.20713092060998</v>
      </c>
      <c r="J54">
        <v>532.77953937145799</v>
      </c>
      <c r="K54">
        <v>1144.9866702920681</v>
      </c>
    </row>
    <row r="55" spans="4:11">
      <c r="D55" t="s">
        <v>21</v>
      </c>
      <c r="E55">
        <v>0</v>
      </c>
      <c r="F55">
        <v>0</v>
      </c>
      <c r="G55">
        <v>0</v>
      </c>
      <c r="H55">
        <v>0</v>
      </c>
      <c r="I55">
        <v>631.74534396298304</v>
      </c>
      <c r="J55">
        <v>586.32042207925599</v>
      </c>
      <c r="K55">
        <v>1218.0657660422389</v>
      </c>
    </row>
    <row r="56" spans="4:11">
      <c r="D56" t="s">
        <v>22</v>
      </c>
      <c r="E56">
        <v>0</v>
      </c>
      <c r="F56">
        <v>0</v>
      </c>
      <c r="G56">
        <v>0</v>
      </c>
      <c r="H56">
        <v>0</v>
      </c>
      <c r="I56">
        <v>657.33997614445207</v>
      </c>
      <c r="J56">
        <v>609.139429532299</v>
      </c>
      <c r="K56">
        <v>1266.479405676751</v>
      </c>
    </row>
    <row r="57" spans="4:11">
      <c r="D57" t="s">
        <v>23</v>
      </c>
      <c r="E57">
        <v>0</v>
      </c>
      <c r="F57">
        <v>0</v>
      </c>
      <c r="G57">
        <v>0</v>
      </c>
      <c r="H57">
        <v>0</v>
      </c>
      <c r="I57">
        <v>684.971234250252</v>
      </c>
      <c r="J57">
        <v>572.90083870730905</v>
      </c>
      <c r="K57">
        <v>1257.8720729575612</v>
      </c>
    </row>
    <row r="58" spans="4:11">
      <c r="D58" t="s">
        <v>24</v>
      </c>
      <c r="E58">
        <v>41.7285364342683</v>
      </c>
      <c r="F58">
        <v>289.45061501439523</v>
      </c>
      <c r="G58">
        <v>413.62586125614894</v>
      </c>
      <c r="H58">
        <v>12.152295632039019</v>
      </c>
      <c r="I58">
        <v>756.9573083368515</v>
      </c>
      <c r="J58">
        <v>596.82004077686599</v>
      </c>
      <c r="K58">
        <v>1353.7773491137175</v>
      </c>
    </row>
    <row r="59" spans="4:11">
      <c r="D59" t="s">
        <v>25</v>
      </c>
      <c r="E59">
        <v>48.360918509999614</v>
      </c>
      <c r="F59">
        <v>320.22129961000104</v>
      </c>
      <c r="G59">
        <v>439.898992000004</v>
      </c>
      <c r="H59">
        <v>25.449636230531507</v>
      </c>
      <c r="I59">
        <v>833.93084635053617</v>
      </c>
      <c r="J59">
        <v>626.05272623907899</v>
      </c>
      <c r="K59">
        <v>1459.9835725896151</v>
      </c>
    </row>
    <row r="60" spans="4:11">
      <c r="D60" t="s">
        <v>26</v>
      </c>
      <c r="E60">
        <v>50.440611730000086</v>
      </c>
      <c r="F60">
        <v>318.63743606000048</v>
      </c>
      <c r="G60">
        <v>463.46155498000155</v>
      </c>
      <c r="H60">
        <v>38.288929701110007</v>
      </c>
      <c r="I60">
        <v>870.82853247111211</v>
      </c>
      <c r="J60">
        <v>630.10571285078856</v>
      </c>
      <c r="K60">
        <v>1500.9342453219006</v>
      </c>
    </row>
    <row r="61" spans="4:11">
      <c r="D61" t="s">
        <v>27</v>
      </c>
      <c r="E61">
        <v>53.127929120000331</v>
      </c>
      <c r="F61">
        <v>330.182881820001</v>
      </c>
      <c r="G61">
        <v>481.21710983000258</v>
      </c>
      <c r="H61">
        <v>31.083351546180008</v>
      </c>
      <c r="I61">
        <v>895.61127231618389</v>
      </c>
      <c r="J61">
        <v>690.84125135820932</v>
      </c>
      <c r="K61">
        <v>1586.4525236743932</v>
      </c>
    </row>
    <row r="62" spans="4:11">
      <c r="D62" s="21" t="s">
        <v>229</v>
      </c>
      <c r="E62" s="21">
        <v>59.6</v>
      </c>
      <c r="F62" s="21">
        <v>353.9</v>
      </c>
      <c r="G62" s="12">
        <v>511.8</v>
      </c>
      <c r="H62" s="12">
        <v>26.5</v>
      </c>
      <c r="I62" s="21">
        <v>951.8</v>
      </c>
      <c r="J62" s="21">
        <v>701.9</v>
      </c>
      <c r="K62" s="21">
        <v>1653.7</v>
      </c>
    </row>
    <row r="66" spans="3:45">
      <c r="H66" t="s">
        <v>28</v>
      </c>
      <c r="I66" t="s">
        <v>29</v>
      </c>
      <c r="J66" t="s">
        <v>30</v>
      </c>
    </row>
    <row r="67" spans="3:45">
      <c r="H67">
        <f>SUM(I67:J67)</f>
        <v>627</v>
      </c>
      <c r="I67">
        <v>101</v>
      </c>
      <c r="J67">
        <v>526</v>
      </c>
    </row>
    <row r="68" spans="3:45">
      <c r="H68" s="2">
        <v>1</v>
      </c>
      <c r="I68">
        <f>I67/H67</f>
        <v>0.16108452950558214</v>
      </c>
      <c r="J68">
        <f>J67/H67</f>
        <v>0.83891547049441784</v>
      </c>
    </row>
    <row r="69" spans="3:45">
      <c r="H69" t="s">
        <v>31</v>
      </c>
      <c r="I69">
        <v>0.15</v>
      </c>
      <c r="J69">
        <v>0.85</v>
      </c>
    </row>
    <row r="72" spans="3:45">
      <c r="H72" s="12" t="s">
        <v>28</v>
      </c>
      <c r="I72" s="12" t="s">
        <v>30</v>
      </c>
      <c r="J72" s="12" t="s">
        <v>29</v>
      </c>
    </row>
    <row r="73" spans="3:45">
      <c r="H73" s="12">
        <f>SUM(I73:J73)</f>
        <v>627</v>
      </c>
      <c r="I73" s="12">
        <v>526</v>
      </c>
      <c r="J73" s="12">
        <v>101</v>
      </c>
    </row>
    <row r="74" spans="3:45">
      <c r="H74" s="2">
        <v>1</v>
      </c>
      <c r="I74" s="12">
        <f>I73/H73</f>
        <v>0.83891547049441784</v>
      </c>
      <c r="J74" s="12">
        <f>J73/H73</f>
        <v>0.16108452950558214</v>
      </c>
    </row>
    <row r="75" spans="3:45">
      <c r="H75" s="12" t="s">
        <v>31</v>
      </c>
      <c r="I75" s="12">
        <v>0.85</v>
      </c>
      <c r="J75" s="12">
        <v>0.15</v>
      </c>
    </row>
    <row r="77" spans="3:45" ht="120">
      <c r="C77" t="s">
        <v>61</v>
      </c>
      <c r="D77" t="s">
        <v>33</v>
      </c>
      <c r="E77" s="3" t="s">
        <v>45</v>
      </c>
      <c r="F77" s="3" t="s">
        <v>46</v>
      </c>
      <c r="G77" s="3" t="s">
        <v>47</v>
      </c>
      <c r="H77" s="3" t="s">
        <v>48</v>
      </c>
      <c r="I77" s="3" t="s">
        <v>49</v>
      </c>
      <c r="J77" s="3" t="s">
        <v>50</v>
      </c>
      <c r="K77" s="3" t="s">
        <v>51</v>
      </c>
      <c r="L77" s="3" t="s">
        <v>52</v>
      </c>
      <c r="M77" s="3" t="s">
        <v>53</v>
      </c>
      <c r="N77" s="3" t="s">
        <v>54</v>
      </c>
      <c r="O77" s="3" t="s">
        <v>55</v>
      </c>
      <c r="P77" s="26" t="s">
        <v>227</v>
      </c>
      <c r="Q77" s="26" t="s">
        <v>236</v>
      </c>
      <c r="R77" s="3" t="s">
        <v>228</v>
      </c>
      <c r="S77" s="3" t="s">
        <v>56</v>
      </c>
      <c r="T77" s="3" t="s">
        <v>57</v>
      </c>
      <c r="U77" s="3" t="s">
        <v>58</v>
      </c>
      <c r="V77" s="3" t="s">
        <v>59</v>
      </c>
      <c r="AC77" s="3" t="s">
        <v>45</v>
      </c>
      <c r="AD77" s="3" t="s">
        <v>46</v>
      </c>
      <c r="AE77" s="3" t="s">
        <v>47</v>
      </c>
      <c r="AF77" s="3" t="s">
        <v>48</v>
      </c>
      <c r="AG77" s="3" t="s">
        <v>49</v>
      </c>
      <c r="AH77" s="3" t="s">
        <v>50</v>
      </c>
      <c r="AI77" s="3" t="s">
        <v>51</v>
      </c>
      <c r="AJ77" s="3" t="s">
        <v>52</v>
      </c>
      <c r="AK77" s="3" t="s">
        <v>53</v>
      </c>
      <c r="AL77" s="3" t="s">
        <v>54</v>
      </c>
      <c r="AM77" s="3" t="s">
        <v>55</v>
      </c>
      <c r="AN77" s="3" t="s">
        <v>227</v>
      </c>
      <c r="AO77" s="3" t="s">
        <v>236</v>
      </c>
      <c r="AP77" s="3" t="s">
        <v>237</v>
      </c>
      <c r="AQ77" s="3" t="s">
        <v>57</v>
      </c>
      <c r="AR77" s="3" t="s">
        <v>238</v>
      </c>
      <c r="AS77" s="3" t="s">
        <v>239</v>
      </c>
    </row>
    <row r="78" spans="3:45">
      <c r="N78" s="4">
        <v>41275</v>
      </c>
      <c r="O78" s="4">
        <v>41640</v>
      </c>
      <c r="P78" s="4">
        <v>42005</v>
      </c>
      <c r="R78" s="4"/>
      <c r="U78" t="s">
        <v>34</v>
      </c>
      <c r="V78" t="s">
        <v>35</v>
      </c>
    </row>
    <row r="79" spans="3:45">
      <c r="C79" t="s">
        <v>36</v>
      </c>
      <c r="D79" t="s">
        <v>37</v>
      </c>
      <c r="E79">
        <v>100</v>
      </c>
      <c r="F79" s="12">
        <f t="shared" ref="F79:P86" si="11">AVERAGE(F89,AD79)</f>
        <v>104.1</v>
      </c>
      <c r="G79" s="12">
        <f t="shared" si="11"/>
        <v>110.1</v>
      </c>
      <c r="H79" s="12">
        <f t="shared" si="11"/>
        <v>117.75</v>
      </c>
      <c r="I79" s="12">
        <f t="shared" si="11"/>
        <v>128.44999999999999</v>
      </c>
      <c r="J79" s="12">
        <f t="shared" si="11"/>
        <v>139.30000000000001</v>
      </c>
      <c r="K79" s="12">
        <f t="shared" si="11"/>
        <v>139.85</v>
      </c>
      <c r="L79" s="12">
        <f t="shared" si="11"/>
        <v>145.94999999999999</v>
      </c>
      <c r="M79" s="12">
        <f t="shared" si="11"/>
        <v>154.10000000000002</v>
      </c>
      <c r="N79" s="12">
        <f t="shared" si="11"/>
        <v>160.4</v>
      </c>
      <c r="O79" s="12">
        <f t="shared" si="11"/>
        <v>162.9</v>
      </c>
      <c r="P79" s="12">
        <f t="shared" si="11"/>
        <v>166.55</v>
      </c>
      <c r="Q79">
        <f>AVERAGE(Q89,AO79)</f>
        <v>165.14999999999998</v>
      </c>
      <c r="R79" s="12">
        <v>3.2</v>
      </c>
      <c r="S79">
        <v>0.9</v>
      </c>
      <c r="T79">
        <v>1</v>
      </c>
      <c r="U79">
        <v>-1.9</v>
      </c>
      <c r="V79">
        <v>-5.6</v>
      </c>
      <c r="Z79" t="s">
        <v>240</v>
      </c>
      <c r="AB79" t="s">
        <v>37</v>
      </c>
      <c r="AC79">
        <v>100</v>
      </c>
      <c r="AD79">
        <v>104.6</v>
      </c>
      <c r="AE79">
        <v>110.8</v>
      </c>
      <c r="AF79">
        <v>122.6</v>
      </c>
      <c r="AG79">
        <v>131.80000000000001</v>
      </c>
      <c r="AH79">
        <v>143.80000000000001</v>
      </c>
      <c r="AI79">
        <v>141.5</v>
      </c>
      <c r="AJ79">
        <v>147.9</v>
      </c>
      <c r="AK79">
        <v>156.30000000000001</v>
      </c>
      <c r="AL79">
        <v>163</v>
      </c>
      <c r="AM79">
        <v>166.8</v>
      </c>
      <c r="AN79">
        <v>171.9</v>
      </c>
      <c r="AO79">
        <v>171.7</v>
      </c>
      <c r="AP79">
        <v>-0.1</v>
      </c>
      <c r="AQ79">
        <v>13.7</v>
      </c>
      <c r="AR79">
        <v>-1.4</v>
      </c>
      <c r="AS79">
        <v>21.5</v>
      </c>
    </row>
    <row r="80" spans="3:45">
      <c r="D80" t="s">
        <v>38</v>
      </c>
      <c r="E80">
        <v>100</v>
      </c>
      <c r="F80" s="12">
        <f t="shared" si="11"/>
        <v>104.8</v>
      </c>
      <c r="G80" s="12">
        <f t="shared" si="11"/>
        <v>112.9</v>
      </c>
      <c r="H80" s="12">
        <f t="shared" si="11"/>
        <v>120.44999999999999</v>
      </c>
      <c r="I80" s="12">
        <f t="shared" si="11"/>
        <v>128.9</v>
      </c>
      <c r="J80" s="12">
        <f t="shared" si="11"/>
        <v>140.1</v>
      </c>
      <c r="K80" s="12">
        <f t="shared" si="11"/>
        <v>142.6</v>
      </c>
      <c r="L80" s="12">
        <f t="shared" si="11"/>
        <v>150.75</v>
      </c>
      <c r="M80" s="12">
        <f t="shared" si="11"/>
        <v>160.4</v>
      </c>
      <c r="N80" s="12">
        <f t="shared" si="11"/>
        <v>166.75</v>
      </c>
      <c r="O80" s="12">
        <f t="shared" si="11"/>
        <v>171.2</v>
      </c>
      <c r="P80" s="12">
        <f t="shared" si="11"/>
        <v>174.05</v>
      </c>
      <c r="Q80" s="12">
        <f t="shared" ref="Q80:Q86" si="12">AVERAGE(Q90,AO80)</f>
        <v>175.85</v>
      </c>
      <c r="R80" s="12">
        <v>1.9</v>
      </c>
      <c r="S80">
        <v>2.7</v>
      </c>
      <c r="T80">
        <v>13.1</v>
      </c>
      <c r="U80">
        <v>-0.1</v>
      </c>
      <c r="V80">
        <v>15.8</v>
      </c>
      <c r="AB80" t="s">
        <v>38</v>
      </c>
      <c r="AC80">
        <v>100</v>
      </c>
      <c r="AD80">
        <v>105.1</v>
      </c>
      <c r="AE80">
        <v>115.8</v>
      </c>
      <c r="AF80">
        <v>125.1</v>
      </c>
      <c r="AG80">
        <v>135</v>
      </c>
      <c r="AH80">
        <v>148</v>
      </c>
      <c r="AI80">
        <v>152.19999999999999</v>
      </c>
      <c r="AJ80">
        <v>160.4</v>
      </c>
      <c r="AK80">
        <v>170.4</v>
      </c>
      <c r="AL80">
        <v>176.4</v>
      </c>
      <c r="AM80">
        <v>181.2</v>
      </c>
      <c r="AN80">
        <v>183.2</v>
      </c>
      <c r="AO80">
        <v>184.7</v>
      </c>
      <c r="AP80">
        <v>0.8</v>
      </c>
      <c r="AQ80">
        <v>10.199999999999999</v>
      </c>
      <c r="AR80">
        <v>-0.4</v>
      </c>
      <c r="AS80">
        <v>30.7</v>
      </c>
    </row>
    <row r="81" spans="3:45">
      <c r="D81" t="s">
        <v>39</v>
      </c>
      <c r="E81">
        <v>100</v>
      </c>
      <c r="F81" s="12">
        <f t="shared" si="11"/>
        <v>104.25</v>
      </c>
      <c r="G81" s="12">
        <f t="shared" si="11"/>
        <v>110.1</v>
      </c>
      <c r="H81" s="12">
        <f t="shared" si="11"/>
        <v>114.65</v>
      </c>
      <c r="I81" s="12">
        <f t="shared" si="11"/>
        <v>120.15</v>
      </c>
      <c r="J81" s="12">
        <f t="shared" si="11"/>
        <v>128.55000000000001</v>
      </c>
      <c r="K81" s="12">
        <f t="shared" si="11"/>
        <v>130</v>
      </c>
      <c r="L81" s="12">
        <f t="shared" si="11"/>
        <v>137.9</v>
      </c>
      <c r="M81" s="12">
        <f t="shared" si="11"/>
        <v>146.65</v>
      </c>
      <c r="N81" s="12">
        <f t="shared" si="11"/>
        <v>153</v>
      </c>
      <c r="O81" s="12">
        <f t="shared" si="11"/>
        <v>156.6</v>
      </c>
      <c r="P81" s="12">
        <f t="shared" si="11"/>
        <v>159.39999999999998</v>
      </c>
      <c r="Q81" s="12">
        <f t="shared" si="12"/>
        <v>161.5</v>
      </c>
      <c r="R81" s="12">
        <v>2.2999999999999998</v>
      </c>
      <c r="S81">
        <v>2.7</v>
      </c>
      <c r="T81">
        <v>11.7</v>
      </c>
      <c r="U81">
        <v>-0.1</v>
      </c>
      <c r="V81">
        <v>18.3</v>
      </c>
      <c r="AB81" t="s">
        <v>39</v>
      </c>
      <c r="AC81">
        <v>100</v>
      </c>
      <c r="AD81">
        <v>104.2</v>
      </c>
      <c r="AE81">
        <v>110.9</v>
      </c>
      <c r="AF81">
        <v>115</v>
      </c>
      <c r="AG81">
        <v>120.2</v>
      </c>
      <c r="AH81">
        <v>128.6</v>
      </c>
      <c r="AI81">
        <v>129.9</v>
      </c>
      <c r="AJ81">
        <v>138</v>
      </c>
      <c r="AK81">
        <v>146.80000000000001</v>
      </c>
      <c r="AL81">
        <v>153.1</v>
      </c>
      <c r="AM81">
        <v>157.1</v>
      </c>
      <c r="AN81">
        <v>159.19999999999999</v>
      </c>
      <c r="AO81">
        <v>161.19999999999999</v>
      </c>
      <c r="AP81">
        <v>1.3</v>
      </c>
      <c r="AQ81">
        <v>9</v>
      </c>
      <c r="AR81">
        <v>0</v>
      </c>
      <c r="AS81">
        <v>14.1</v>
      </c>
    </row>
    <row r="82" spans="3:45">
      <c r="D82" t="s">
        <v>40</v>
      </c>
      <c r="E82">
        <v>100</v>
      </c>
      <c r="F82" s="12">
        <f t="shared" si="11"/>
        <v>104.15</v>
      </c>
      <c r="G82" s="12">
        <f t="shared" si="11"/>
        <v>108.7</v>
      </c>
      <c r="H82" s="12">
        <f t="shared" si="11"/>
        <v>114.6</v>
      </c>
      <c r="I82" s="12">
        <f t="shared" si="11"/>
        <v>120.75</v>
      </c>
      <c r="J82" s="12">
        <f t="shared" si="11"/>
        <v>130.75</v>
      </c>
      <c r="K82" s="12">
        <f t="shared" si="11"/>
        <v>130.5</v>
      </c>
      <c r="L82" s="12">
        <f t="shared" si="11"/>
        <v>138.19999999999999</v>
      </c>
      <c r="M82" s="12">
        <f t="shared" si="11"/>
        <v>146.65</v>
      </c>
      <c r="N82" s="12">
        <f t="shared" si="11"/>
        <v>153.25</v>
      </c>
      <c r="O82" s="12">
        <f t="shared" si="11"/>
        <v>158</v>
      </c>
      <c r="P82" s="12">
        <f t="shared" si="11"/>
        <v>162.05000000000001</v>
      </c>
      <c r="Q82" s="12">
        <f t="shared" si="12"/>
        <v>163.35000000000002</v>
      </c>
      <c r="R82" s="12">
        <v>2.6</v>
      </c>
      <c r="S82">
        <v>3.1</v>
      </c>
      <c r="T82">
        <v>19</v>
      </c>
      <c r="U82">
        <v>0.3</v>
      </c>
      <c r="V82">
        <v>13.3</v>
      </c>
      <c r="AB82" t="s">
        <v>40</v>
      </c>
      <c r="AC82">
        <v>100</v>
      </c>
      <c r="AD82">
        <v>104.2</v>
      </c>
      <c r="AE82">
        <v>109</v>
      </c>
      <c r="AF82">
        <v>116.1</v>
      </c>
      <c r="AG82">
        <v>123.1</v>
      </c>
      <c r="AH82">
        <v>135.19999999999999</v>
      </c>
      <c r="AI82">
        <v>134.80000000000001</v>
      </c>
      <c r="AJ82">
        <v>142.9</v>
      </c>
      <c r="AK82">
        <v>151.4</v>
      </c>
      <c r="AL82">
        <v>158.30000000000001</v>
      </c>
      <c r="AM82">
        <v>163.5</v>
      </c>
      <c r="AN82">
        <v>167.7</v>
      </c>
      <c r="AO82">
        <v>168.9</v>
      </c>
      <c r="AP82">
        <v>0.7</v>
      </c>
      <c r="AQ82">
        <v>2.8</v>
      </c>
      <c r="AR82">
        <v>-0.6</v>
      </c>
      <c r="AS82">
        <v>19.5</v>
      </c>
    </row>
    <row r="83" spans="3:45">
      <c r="D83" t="s">
        <v>41</v>
      </c>
      <c r="E83">
        <v>100</v>
      </c>
      <c r="F83" s="12">
        <f t="shared" si="11"/>
        <v>102.80000000000001</v>
      </c>
      <c r="G83" s="12">
        <f t="shared" si="11"/>
        <v>106.55000000000001</v>
      </c>
      <c r="H83" s="12">
        <f t="shared" si="11"/>
        <v>113.45</v>
      </c>
      <c r="I83" s="12">
        <f t="shared" si="11"/>
        <v>118.25</v>
      </c>
      <c r="J83" s="12">
        <f t="shared" si="11"/>
        <v>128.69999999999999</v>
      </c>
      <c r="K83" s="12">
        <f t="shared" si="11"/>
        <v>133.80000000000001</v>
      </c>
      <c r="L83" s="12">
        <f t="shared" si="11"/>
        <v>139.64999999999998</v>
      </c>
      <c r="M83" s="12">
        <f t="shared" si="11"/>
        <v>149.44999999999999</v>
      </c>
      <c r="N83" s="12">
        <f t="shared" si="11"/>
        <v>158.15</v>
      </c>
      <c r="O83" s="12">
        <f t="shared" si="11"/>
        <v>164.60000000000002</v>
      </c>
      <c r="P83" s="12">
        <f t="shared" si="11"/>
        <v>169.9</v>
      </c>
      <c r="Q83" s="12">
        <f t="shared" si="12"/>
        <v>170.75</v>
      </c>
      <c r="R83" s="12">
        <v>1.8</v>
      </c>
      <c r="S83">
        <v>3.5</v>
      </c>
      <c r="T83">
        <v>1.9</v>
      </c>
      <c r="U83">
        <v>0.7</v>
      </c>
      <c r="V83">
        <v>10.4</v>
      </c>
      <c r="AB83" t="s">
        <v>41</v>
      </c>
      <c r="AC83">
        <v>100</v>
      </c>
      <c r="AD83">
        <v>105.7</v>
      </c>
      <c r="AE83">
        <v>110.9</v>
      </c>
      <c r="AF83">
        <v>115.2</v>
      </c>
      <c r="AG83">
        <v>124.7</v>
      </c>
      <c r="AH83">
        <v>132.19999999999999</v>
      </c>
      <c r="AI83">
        <v>133.1</v>
      </c>
      <c r="AJ83">
        <v>139.1</v>
      </c>
      <c r="AK83">
        <v>147.30000000000001</v>
      </c>
      <c r="AL83">
        <v>153.80000000000001</v>
      </c>
      <c r="AM83">
        <v>157.4</v>
      </c>
      <c r="AN83">
        <v>159.30000000000001</v>
      </c>
      <c r="AO83">
        <v>160.5</v>
      </c>
      <c r="AP83">
        <v>0.8</v>
      </c>
      <c r="AQ83">
        <v>3.4</v>
      </c>
      <c r="AR83">
        <v>-0.5</v>
      </c>
      <c r="AS83">
        <v>13.6</v>
      </c>
    </row>
    <row r="84" spans="3:45">
      <c r="D84" t="s">
        <v>42</v>
      </c>
      <c r="E84">
        <v>100</v>
      </c>
      <c r="F84" s="12">
        <f t="shared" si="11"/>
        <v>103.80000000000001</v>
      </c>
      <c r="G84" s="12">
        <f t="shared" si="11"/>
        <v>108.5</v>
      </c>
      <c r="H84" s="12">
        <f t="shared" si="11"/>
        <v>111.2</v>
      </c>
      <c r="I84" s="12">
        <f t="shared" si="11"/>
        <v>119</v>
      </c>
      <c r="J84" s="12">
        <f t="shared" si="11"/>
        <v>127.44999999999999</v>
      </c>
      <c r="K84" s="12">
        <f t="shared" si="11"/>
        <v>128.05000000000001</v>
      </c>
      <c r="L84" s="12">
        <f t="shared" si="11"/>
        <v>136.69999999999999</v>
      </c>
      <c r="M84" s="12">
        <f t="shared" si="11"/>
        <v>145.4</v>
      </c>
      <c r="N84" s="12">
        <f t="shared" si="11"/>
        <v>151.60000000000002</v>
      </c>
      <c r="O84" s="12">
        <f t="shared" si="11"/>
        <v>155.69999999999999</v>
      </c>
      <c r="P84" s="12">
        <f t="shared" si="11"/>
        <v>157.35000000000002</v>
      </c>
      <c r="Q84" s="12">
        <f t="shared" si="12"/>
        <v>158.80000000000001</v>
      </c>
      <c r="R84" s="12">
        <v>1.1000000000000001</v>
      </c>
      <c r="S84">
        <v>0.2</v>
      </c>
      <c r="T84">
        <v>0.1</v>
      </c>
      <c r="U84">
        <v>-2.5</v>
      </c>
      <c r="V84">
        <v>-3.1</v>
      </c>
      <c r="AB84" t="s">
        <v>42</v>
      </c>
      <c r="AC84">
        <v>100</v>
      </c>
      <c r="AD84">
        <v>105.7</v>
      </c>
      <c r="AE84">
        <v>110.9</v>
      </c>
      <c r="AF84">
        <v>115.2</v>
      </c>
      <c r="AG84">
        <v>124.7</v>
      </c>
      <c r="AH84">
        <v>132.19999999999999</v>
      </c>
      <c r="AI84">
        <v>133.1</v>
      </c>
      <c r="AJ84">
        <v>139.1</v>
      </c>
      <c r="AK84">
        <v>147.30000000000001</v>
      </c>
      <c r="AL84">
        <v>153.80000000000001</v>
      </c>
      <c r="AM84">
        <v>157.4</v>
      </c>
      <c r="AN84">
        <v>159.30000000000001</v>
      </c>
      <c r="AO84">
        <v>160.5</v>
      </c>
      <c r="AP84">
        <v>0.8</v>
      </c>
      <c r="AQ84">
        <v>3.4</v>
      </c>
      <c r="AR84">
        <v>-0.5</v>
      </c>
      <c r="AS84">
        <v>13.6</v>
      </c>
    </row>
    <row r="85" spans="3:45">
      <c r="D85" t="s">
        <v>43</v>
      </c>
      <c r="E85">
        <v>100</v>
      </c>
      <c r="F85" s="12">
        <f t="shared" si="11"/>
        <v>104.45</v>
      </c>
      <c r="G85" s="12">
        <f t="shared" si="11"/>
        <v>111.25</v>
      </c>
      <c r="H85" s="12">
        <f t="shared" si="11"/>
        <v>117.65</v>
      </c>
      <c r="I85" s="12">
        <f t="shared" si="11"/>
        <v>124.75</v>
      </c>
      <c r="J85" s="12">
        <f t="shared" si="11"/>
        <v>134.55000000000001</v>
      </c>
      <c r="K85" s="12">
        <f t="shared" si="11"/>
        <v>135.75</v>
      </c>
      <c r="L85" s="12">
        <f t="shared" si="11"/>
        <v>143.4</v>
      </c>
      <c r="M85" s="12">
        <f t="shared" si="11"/>
        <v>152.35000000000002</v>
      </c>
      <c r="N85" s="12">
        <f t="shared" si="11"/>
        <v>158.80000000000001</v>
      </c>
      <c r="O85" s="12">
        <f t="shared" si="11"/>
        <v>162.75</v>
      </c>
      <c r="P85" s="12">
        <f t="shared" si="11"/>
        <v>166.14999999999998</v>
      </c>
      <c r="Q85" s="12">
        <f t="shared" si="12"/>
        <v>167.39999999999998</v>
      </c>
      <c r="R85" s="12">
        <v>2.2999999999999998</v>
      </c>
      <c r="S85">
        <v>2.8</v>
      </c>
      <c r="T85">
        <v>46.8</v>
      </c>
      <c r="U85">
        <v>0</v>
      </c>
      <c r="V85">
        <v>15</v>
      </c>
      <c r="AB85" t="s">
        <v>43</v>
      </c>
      <c r="AC85">
        <v>100</v>
      </c>
      <c r="AD85">
        <v>104.7</v>
      </c>
      <c r="AE85">
        <v>113.2</v>
      </c>
      <c r="AF85">
        <v>120.7</v>
      </c>
      <c r="AG85">
        <v>128.6</v>
      </c>
      <c r="AH85">
        <v>139.4</v>
      </c>
      <c r="AI85">
        <v>140.69999999999999</v>
      </c>
      <c r="AJ85">
        <v>148.30000000000001</v>
      </c>
      <c r="AK85">
        <v>157.30000000000001</v>
      </c>
      <c r="AL85">
        <v>163.69999999999999</v>
      </c>
      <c r="AM85">
        <v>167.9</v>
      </c>
      <c r="AN85">
        <v>171.2</v>
      </c>
      <c r="AO85">
        <v>172.2</v>
      </c>
      <c r="AP85">
        <v>0.6</v>
      </c>
      <c r="AQ85">
        <v>39.4</v>
      </c>
      <c r="AR85">
        <v>-0.7</v>
      </c>
      <c r="AS85">
        <v>21.9</v>
      </c>
    </row>
    <row r="86" spans="3:45">
      <c r="D86" t="s">
        <v>44</v>
      </c>
      <c r="E86">
        <v>100</v>
      </c>
      <c r="F86" s="12">
        <f t="shared" si="11"/>
        <v>104.6</v>
      </c>
      <c r="G86" s="12">
        <f t="shared" si="11"/>
        <v>106</v>
      </c>
      <c r="H86" s="12">
        <f t="shared" si="11"/>
        <v>112.1</v>
      </c>
      <c r="I86" s="12">
        <f t="shared" si="11"/>
        <v>117.75</v>
      </c>
      <c r="J86" s="12">
        <f t="shared" si="11"/>
        <v>120.95</v>
      </c>
      <c r="K86" s="12">
        <f t="shared" si="11"/>
        <v>122.4</v>
      </c>
      <c r="L86" s="12">
        <f t="shared" si="11"/>
        <v>125.85</v>
      </c>
      <c r="M86" s="12">
        <f t="shared" si="11"/>
        <v>127.35</v>
      </c>
      <c r="N86" s="12">
        <f t="shared" si="11"/>
        <v>134.15</v>
      </c>
      <c r="O86" s="12">
        <f t="shared" si="11"/>
        <v>136.05000000000001</v>
      </c>
      <c r="P86" s="12">
        <f t="shared" si="11"/>
        <v>140.60000000000002</v>
      </c>
      <c r="Q86" s="12">
        <f t="shared" si="12"/>
        <v>146.05000000000001</v>
      </c>
      <c r="R86" s="12">
        <v>1.3</v>
      </c>
      <c r="S86">
        <v>-1.4</v>
      </c>
      <c r="U86">
        <v>-4.0999999999999996</v>
      </c>
      <c r="V86">
        <v>-6.5</v>
      </c>
      <c r="AB86" t="s">
        <v>44</v>
      </c>
      <c r="AC86">
        <v>100</v>
      </c>
      <c r="AD86">
        <v>103.5</v>
      </c>
      <c r="AE86">
        <v>106.4</v>
      </c>
      <c r="AF86">
        <v>109.9</v>
      </c>
      <c r="AG86">
        <v>115.9</v>
      </c>
      <c r="AH86">
        <v>118</v>
      </c>
      <c r="AI86">
        <v>118.6</v>
      </c>
      <c r="AJ86">
        <v>119.2</v>
      </c>
      <c r="AK86">
        <v>120.3</v>
      </c>
      <c r="AL86">
        <v>123.2</v>
      </c>
      <c r="AM86">
        <v>127.6</v>
      </c>
      <c r="AN86">
        <v>131.30000000000001</v>
      </c>
      <c r="AO86">
        <v>136.80000000000001</v>
      </c>
      <c r="AP86">
        <v>4.2</v>
      </c>
    </row>
    <row r="87" spans="3:45">
      <c r="O87" s="12"/>
      <c r="P87" s="12"/>
      <c r="R87" s="12"/>
    </row>
    <row r="88" spans="3:45">
      <c r="O88" s="12"/>
      <c r="P88" s="12"/>
      <c r="R88" s="12"/>
    </row>
    <row r="89" spans="3:45">
      <c r="C89" t="s">
        <v>60</v>
      </c>
      <c r="D89" t="s">
        <v>37</v>
      </c>
      <c r="E89">
        <v>100</v>
      </c>
      <c r="F89">
        <v>103.6</v>
      </c>
      <c r="G89">
        <v>109.4</v>
      </c>
      <c r="H89">
        <v>112.9</v>
      </c>
      <c r="I89">
        <v>125.1</v>
      </c>
      <c r="J89">
        <v>134.80000000000001</v>
      </c>
      <c r="K89">
        <v>138.19999999999999</v>
      </c>
      <c r="L89">
        <v>144</v>
      </c>
      <c r="M89">
        <v>151.9</v>
      </c>
      <c r="N89">
        <v>157.80000000000001</v>
      </c>
      <c r="O89" s="12">
        <v>159</v>
      </c>
      <c r="P89" s="12">
        <v>161.19999999999999</v>
      </c>
      <c r="Q89" s="12">
        <v>158.6</v>
      </c>
      <c r="R89" s="12">
        <v>1.4</v>
      </c>
      <c r="S89">
        <v>0.7</v>
      </c>
      <c r="T89">
        <v>1.2</v>
      </c>
      <c r="U89">
        <v>-2</v>
      </c>
      <c r="V89">
        <v>15.2</v>
      </c>
    </row>
    <row r="90" spans="3:45">
      <c r="D90" t="s">
        <v>38</v>
      </c>
      <c r="E90">
        <v>100</v>
      </c>
      <c r="F90">
        <v>104.5</v>
      </c>
      <c r="G90">
        <v>110</v>
      </c>
      <c r="H90">
        <v>115.8</v>
      </c>
      <c r="I90">
        <v>122.8</v>
      </c>
      <c r="J90">
        <v>132.19999999999999</v>
      </c>
      <c r="K90">
        <v>133</v>
      </c>
      <c r="L90">
        <v>141.1</v>
      </c>
      <c r="M90">
        <v>150.4</v>
      </c>
      <c r="N90">
        <v>157.1</v>
      </c>
      <c r="O90" s="12">
        <v>161.19999999999999</v>
      </c>
      <c r="P90" s="12">
        <v>164.9</v>
      </c>
      <c r="Q90" s="12">
        <v>167</v>
      </c>
      <c r="R90" s="12">
        <v>2.4</v>
      </c>
      <c r="S90">
        <v>2.6</v>
      </c>
      <c r="T90">
        <v>5.2</v>
      </c>
      <c r="U90">
        <v>-0.2</v>
      </c>
      <c r="V90">
        <v>16.8</v>
      </c>
    </row>
    <row r="91" spans="3:45">
      <c r="D91" t="s">
        <v>39</v>
      </c>
      <c r="E91">
        <v>100</v>
      </c>
      <c r="F91">
        <v>104.3</v>
      </c>
      <c r="G91">
        <v>109.3</v>
      </c>
      <c r="H91">
        <v>114.3</v>
      </c>
      <c r="I91">
        <v>120.1</v>
      </c>
      <c r="J91">
        <v>128.5</v>
      </c>
      <c r="K91">
        <v>130.1</v>
      </c>
      <c r="L91">
        <v>137.80000000000001</v>
      </c>
      <c r="M91">
        <v>146.5</v>
      </c>
      <c r="N91">
        <v>152.9</v>
      </c>
      <c r="O91" s="12">
        <v>156.1</v>
      </c>
      <c r="P91" s="12">
        <v>159.6</v>
      </c>
      <c r="Q91" s="12">
        <v>161.80000000000001</v>
      </c>
      <c r="R91" s="12">
        <v>2.2999999999999998</v>
      </c>
      <c r="S91">
        <v>2.1</v>
      </c>
      <c r="T91">
        <v>4.5</v>
      </c>
      <c r="U91">
        <v>-0.7</v>
      </c>
      <c r="V91">
        <v>13.1</v>
      </c>
    </row>
    <row r="92" spans="3:45">
      <c r="D92" t="s">
        <v>40</v>
      </c>
      <c r="E92">
        <v>100</v>
      </c>
      <c r="F92">
        <v>104.1</v>
      </c>
      <c r="G92">
        <v>108.4</v>
      </c>
      <c r="H92">
        <v>113.1</v>
      </c>
      <c r="I92">
        <v>118.4</v>
      </c>
      <c r="J92">
        <v>126.3</v>
      </c>
      <c r="K92">
        <v>126.2</v>
      </c>
      <c r="L92">
        <v>133.5</v>
      </c>
      <c r="M92">
        <v>141.9</v>
      </c>
      <c r="N92">
        <v>148.19999999999999</v>
      </c>
      <c r="O92" s="12">
        <v>152.5</v>
      </c>
      <c r="P92" s="12">
        <v>156.4</v>
      </c>
      <c r="Q92" s="12">
        <v>157.80000000000001</v>
      </c>
      <c r="R92" s="12">
        <v>2.6</v>
      </c>
      <c r="S92">
        <v>2.9</v>
      </c>
      <c r="T92">
        <v>2</v>
      </c>
      <c r="U92">
        <v>0.1</v>
      </c>
      <c r="V92">
        <v>10.5</v>
      </c>
    </row>
    <row r="93" spans="3:45">
      <c r="D93" t="s">
        <v>41</v>
      </c>
      <c r="E93">
        <v>100</v>
      </c>
      <c r="F93">
        <v>99.9</v>
      </c>
      <c r="G93">
        <v>102.2</v>
      </c>
      <c r="H93">
        <v>111.7</v>
      </c>
      <c r="I93">
        <v>111.8</v>
      </c>
      <c r="J93">
        <v>125.2</v>
      </c>
      <c r="K93">
        <v>134.5</v>
      </c>
      <c r="L93">
        <v>140.19999999999999</v>
      </c>
      <c r="M93">
        <v>151.6</v>
      </c>
      <c r="N93">
        <v>162.5</v>
      </c>
      <c r="O93" s="12">
        <v>171.8</v>
      </c>
      <c r="P93" s="12">
        <v>180.5</v>
      </c>
      <c r="Q93" s="12">
        <v>181</v>
      </c>
      <c r="R93" s="12">
        <v>5.0999999999999996</v>
      </c>
      <c r="S93">
        <v>5.8</v>
      </c>
      <c r="T93">
        <v>0.2</v>
      </c>
      <c r="U93">
        <v>2.9</v>
      </c>
      <c r="V93">
        <v>24.5</v>
      </c>
    </row>
    <row r="94" spans="3:45">
      <c r="D94" t="s">
        <v>42</v>
      </c>
      <c r="E94">
        <v>100</v>
      </c>
      <c r="F94">
        <v>101.9</v>
      </c>
      <c r="G94">
        <v>106.1</v>
      </c>
      <c r="H94">
        <v>107.2</v>
      </c>
      <c r="I94">
        <v>113.3</v>
      </c>
      <c r="J94">
        <v>122.7</v>
      </c>
      <c r="K94">
        <v>123</v>
      </c>
      <c r="L94">
        <v>134.30000000000001</v>
      </c>
      <c r="M94">
        <v>143.5</v>
      </c>
      <c r="N94">
        <v>149.4</v>
      </c>
      <c r="O94" s="12">
        <v>154</v>
      </c>
      <c r="P94" s="12">
        <v>155.4</v>
      </c>
      <c r="Q94" s="12">
        <v>157.1</v>
      </c>
      <c r="R94" s="12">
        <v>1.1000000000000001</v>
      </c>
      <c r="S94">
        <v>3.1</v>
      </c>
      <c r="T94">
        <v>0.3</v>
      </c>
      <c r="U94">
        <v>0.2</v>
      </c>
      <c r="V94">
        <v>11.6</v>
      </c>
    </row>
    <row r="95" spans="3:45">
      <c r="D95" t="s">
        <v>43</v>
      </c>
      <c r="E95">
        <v>100</v>
      </c>
      <c r="F95">
        <v>104.2</v>
      </c>
      <c r="G95">
        <v>109.3</v>
      </c>
      <c r="H95">
        <v>114.6</v>
      </c>
      <c r="I95">
        <v>120.9</v>
      </c>
      <c r="J95">
        <v>129.69999999999999</v>
      </c>
      <c r="K95">
        <v>130.80000000000001</v>
      </c>
      <c r="L95">
        <v>138.5</v>
      </c>
      <c r="M95">
        <v>147.4</v>
      </c>
      <c r="N95">
        <v>153.9</v>
      </c>
      <c r="O95" s="12">
        <v>157.6</v>
      </c>
      <c r="P95" s="12">
        <v>161.1</v>
      </c>
      <c r="Q95" s="12">
        <v>162.6</v>
      </c>
      <c r="R95" s="12">
        <v>2.2999999999999998</v>
      </c>
      <c r="S95">
        <v>2.4</v>
      </c>
      <c r="T95">
        <v>13.5</v>
      </c>
      <c r="U95">
        <v>-0.4</v>
      </c>
      <c r="V95">
        <v>14.2</v>
      </c>
    </row>
    <row r="96" spans="3:45">
      <c r="D96" t="s">
        <v>44</v>
      </c>
      <c r="E96">
        <v>100</v>
      </c>
      <c r="F96">
        <v>105.7</v>
      </c>
      <c r="G96">
        <v>105.6</v>
      </c>
      <c r="H96">
        <v>114.3</v>
      </c>
      <c r="I96">
        <v>119.6</v>
      </c>
      <c r="J96">
        <v>123.9</v>
      </c>
      <c r="K96">
        <v>126.2</v>
      </c>
      <c r="L96">
        <v>132.5</v>
      </c>
      <c r="M96">
        <v>134.4</v>
      </c>
      <c r="N96">
        <v>145.1</v>
      </c>
      <c r="O96" s="12">
        <v>144.5</v>
      </c>
      <c r="P96" s="12">
        <v>149.9</v>
      </c>
      <c r="Q96" s="12">
        <v>155.30000000000001</v>
      </c>
      <c r="R96" s="12">
        <v>3.7</v>
      </c>
      <c r="S96">
        <v>2.1</v>
      </c>
      <c r="U96">
        <v>-0.7</v>
      </c>
      <c r="V96">
        <v>7.4</v>
      </c>
    </row>
    <row r="98" spans="1:12">
      <c r="C98" t="s">
        <v>76</v>
      </c>
    </row>
    <row r="99" spans="1:12">
      <c r="C99" s="8">
        <v>2.1999999999999999E-2</v>
      </c>
    </row>
    <row r="100" spans="1:12">
      <c r="C100">
        <v>102.2</v>
      </c>
      <c r="D100">
        <v>100</v>
      </c>
    </row>
    <row r="102" spans="1:12" s="12" customFormat="1">
      <c r="A102" s="12" t="s">
        <v>241</v>
      </c>
      <c r="D102" s="12" t="s">
        <v>2</v>
      </c>
      <c r="E102" s="12" t="s">
        <v>3</v>
      </c>
      <c r="F102" s="12" t="s">
        <v>4</v>
      </c>
      <c r="G102" s="12" t="s">
        <v>0</v>
      </c>
      <c r="H102" s="12" t="s">
        <v>1</v>
      </c>
      <c r="I102" s="12" t="s">
        <v>5</v>
      </c>
      <c r="J102" s="12" t="s">
        <v>6</v>
      </c>
    </row>
    <row r="103" spans="1:12" s="12" customFormat="1">
      <c r="A103" s="12" t="s">
        <v>230</v>
      </c>
      <c r="D103" s="12">
        <f>D2*P$79/Q$79</f>
        <v>11.093248561913414</v>
      </c>
      <c r="E103" s="21">
        <f>E2*P$79/Q$79</f>
        <v>26.220405691795342</v>
      </c>
      <c r="F103" s="12">
        <f>F2*P$83/Q$83</f>
        <v>48.756076134699853</v>
      </c>
      <c r="G103" s="12">
        <f>G2*P$80/Q$80</f>
        <v>52.952374182541945</v>
      </c>
      <c r="H103" s="12">
        <f>H2*P$80/Q$80</f>
        <v>62.850014216661933</v>
      </c>
      <c r="I103" s="12">
        <f>J2*P$82/Q$82</f>
        <v>14.864090398938881</v>
      </c>
      <c r="J103" s="12">
        <f>L2*P$82/Q$82</f>
        <v>25.272260483624116</v>
      </c>
    </row>
    <row r="104" spans="1:12" s="12" customFormat="1">
      <c r="A104" s="12" t="s">
        <v>231</v>
      </c>
      <c r="D104" s="12">
        <f t="shared" ref="D104:D110" si="13">D3*P$79/Q$79</f>
        <v>10.185619134120497</v>
      </c>
      <c r="E104" s="21">
        <f t="shared" ref="E104:E110" si="14">E3*P$79/Q$79</f>
        <v>21.178019981834701</v>
      </c>
      <c r="F104" s="12">
        <f t="shared" ref="F104:F110" si="15">F3*P$83/Q$83</f>
        <v>37.114319180087847</v>
      </c>
      <c r="G104" s="12">
        <f t="shared" ref="G104:G110" si="16">G3*P$80/Q$80</f>
        <v>52.952374182541945</v>
      </c>
      <c r="H104" s="12">
        <f t="shared" ref="H104:H110" si="17">H3*P$80/Q$80</f>
        <v>56.416548194483937</v>
      </c>
      <c r="I104" s="12">
        <f t="shared" ref="I104:I110" si="18">J3*P$82/Q$82</f>
        <v>11.755693296602386</v>
      </c>
      <c r="J104" s="12">
        <f t="shared" ref="J104:J110" si="19">L3*P$82/Q$82</f>
        <v>19.981371798796037</v>
      </c>
    </row>
    <row r="105" spans="1:12" s="12" customFormat="1">
      <c r="A105" s="12" t="s">
        <v>232</v>
      </c>
      <c r="D105" s="12">
        <f t="shared" si="13"/>
        <v>5.7483197093551333</v>
      </c>
      <c r="E105" s="21">
        <f t="shared" si="14"/>
        <v>15.631395700877992</v>
      </c>
      <c r="F105" s="12">
        <f t="shared" si="15"/>
        <v>37.114319180087847</v>
      </c>
      <c r="G105" s="12">
        <f t="shared" si="16"/>
        <v>38.501819732726759</v>
      </c>
      <c r="H105" s="12">
        <f t="shared" si="17"/>
        <v>56.416548194483937</v>
      </c>
      <c r="I105" s="12">
        <f t="shared" si="18"/>
        <v>11.755693296602386</v>
      </c>
      <c r="J105" s="12">
        <f t="shared" si="19"/>
        <v>19.981371798796037</v>
      </c>
    </row>
    <row r="106" spans="1:12" s="12" customFormat="1">
      <c r="A106" s="12" t="s">
        <v>233</v>
      </c>
      <c r="D106" s="12">
        <f t="shared" si="13"/>
        <v>5.6474719951559189</v>
      </c>
      <c r="E106" s="21">
        <f t="shared" si="14"/>
        <v>13.614441416893737</v>
      </c>
      <c r="F106" s="12">
        <f t="shared" si="15"/>
        <v>23.184011713030745</v>
      </c>
      <c r="G106" s="12">
        <f t="shared" si="16"/>
        <v>24.843076485641177</v>
      </c>
      <c r="H106" s="12">
        <f t="shared" si="17"/>
        <v>32.167330110889964</v>
      </c>
      <c r="I106" s="12">
        <f t="shared" si="18"/>
        <v>7.5560504030200981</v>
      </c>
      <c r="J106" s="12">
        <f t="shared" si="19"/>
        <v>12.846939087848178</v>
      </c>
    </row>
    <row r="107" spans="1:12" s="12" customFormat="1">
      <c r="A107" s="12" t="s">
        <v>234</v>
      </c>
      <c r="D107" s="12">
        <f t="shared" si="13"/>
        <v>8.0678171359370285</v>
      </c>
      <c r="E107" s="21">
        <f t="shared" si="14"/>
        <v>15.127157129881928</v>
      </c>
      <c r="F107" s="12">
        <f t="shared" si="15"/>
        <v>7.9601756954612011</v>
      </c>
      <c r="G107" s="12">
        <f t="shared" si="16"/>
        <v>10.293545635484788</v>
      </c>
      <c r="H107" s="12">
        <f t="shared" si="17"/>
        <v>14.846460051179983</v>
      </c>
      <c r="I107" s="12">
        <f t="shared" si="18"/>
        <v>3.7449571472298739</v>
      </c>
      <c r="J107" s="12">
        <f t="shared" si="19"/>
        <v>6.3656004489337823</v>
      </c>
    </row>
    <row r="108" spans="1:12" s="12" customFormat="1">
      <c r="A108" s="12" t="s">
        <v>235</v>
      </c>
      <c r="B108" s="12" t="s">
        <v>231</v>
      </c>
      <c r="D108" s="12">
        <f t="shared" si="13"/>
        <v>5.4457765667574947</v>
      </c>
      <c r="E108" s="21">
        <f t="shared" si="14"/>
        <v>8.0678171359370285</v>
      </c>
      <c r="F108" s="12">
        <f t="shared" si="15"/>
        <v>5.3731185944363107</v>
      </c>
      <c r="G108" s="12">
        <f t="shared" si="16"/>
        <v>5.3447256184247944</v>
      </c>
      <c r="H108" s="12">
        <f t="shared" si="17"/>
        <v>7.918112027295992</v>
      </c>
      <c r="I108" s="12">
        <f t="shared" si="18"/>
        <v>2.1990256096316703</v>
      </c>
      <c r="J108" s="12">
        <f t="shared" si="19"/>
        <v>3.2985384144475054</v>
      </c>
    </row>
    <row r="109" spans="1:12">
      <c r="A109" s="12"/>
      <c r="B109" s="12" t="s">
        <v>232</v>
      </c>
      <c r="C109" s="12"/>
      <c r="D109" s="12">
        <f t="shared" si="13"/>
        <v>10.387314562518924</v>
      </c>
      <c r="E109" s="21">
        <f t="shared" si="14"/>
        <v>15.026309415682716</v>
      </c>
      <c r="F109" s="12">
        <f t="shared" si="15"/>
        <v>10.248726207906298</v>
      </c>
      <c r="G109" s="12">
        <f t="shared" si="16"/>
        <v>10.194569235143589</v>
      </c>
      <c r="H109" s="12">
        <f t="shared" si="17"/>
        <v>14.747483650838785</v>
      </c>
      <c r="I109" s="12">
        <f t="shared" si="18"/>
        <v>4.2657790021426383</v>
      </c>
      <c r="J109" s="12">
        <f t="shared" si="19"/>
        <v>6.4069355167840012</v>
      </c>
      <c r="K109" s="12"/>
      <c r="L109" s="12"/>
    </row>
    <row r="110" spans="1:12">
      <c r="A110" s="12"/>
      <c r="B110" s="12" t="s">
        <v>233</v>
      </c>
      <c r="C110" s="12"/>
      <c r="D110" s="12">
        <f t="shared" si="13"/>
        <v>6.1517105661519844</v>
      </c>
      <c r="E110" s="21">
        <f t="shared" si="14"/>
        <v>19.665304268846509</v>
      </c>
      <c r="F110" s="12">
        <f t="shared" si="15"/>
        <v>25.970073206442169</v>
      </c>
      <c r="G110" s="12">
        <f t="shared" si="16"/>
        <v>32.662212112595967</v>
      </c>
      <c r="H110" s="12">
        <f t="shared" si="17"/>
        <v>38.600796133067959</v>
      </c>
      <c r="I110" s="12">
        <f t="shared" si="18"/>
        <v>8.4654218957249263</v>
      </c>
      <c r="J110" s="12">
        <f t="shared" si="19"/>
        <v>14.392870625446381</v>
      </c>
      <c r="K110" s="12"/>
      <c r="L110" s="12"/>
    </row>
    <row r="111" spans="1:12">
      <c r="A111" s="12"/>
      <c r="B111" s="12" t="s">
        <v>234</v>
      </c>
      <c r="D111" s="12">
        <f>D10*P$89/Q$89</f>
        <v>13.21311475409836</v>
      </c>
      <c r="E111" s="21">
        <f>E10*P$89/Q$89</f>
        <v>48.888524590163932</v>
      </c>
      <c r="F111" s="12">
        <f>F10*P$93/Q$93</f>
        <v>32.410220994475139</v>
      </c>
      <c r="G111" s="12">
        <f>G10*P$90/Q$90</f>
        <v>39.003293413173651</v>
      </c>
      <c r="H111" s="12">
        <f>H10*P$90/Q$90</f>
        <v>58.751796407185637</v>
      </c>
      <c r="I111" s="12">
        <f>J10*P$92/Q$92</f>
        <v>11.117152513730462</v>
      </c>
      <c r="J111" s="12">
        <f>L10*P$92/Q$92</f>
        <v>18.897507393324883</v>
      </c>
    </row>
    <row r="113" spans="1:10">
      <c r="A113" s="12" t="s">
        <v>242</v>
      </c>
      <c r="B113" s="12"/>
      <c r="C113" s="12"/>
      <c r="D113" s="12" t="s">
        <v>2</v>
      </c>
      <c r="E113" s="12" t="s">
        <v>3</v>
      </c>
      <c r="F113" s="12" t="s">
        <v>4</v>
      </c>
      <c r="G113" s="12" t="s">
        <v>0</v>
      </c>
      <c r="H113" s="12" t="s">
        <v>1</v>
      </c>
      <c r="I113" s="12" t="s">
        <v>5</v>
      </c>
      <c r="J113" s="12" t="s">
        <v>6</v>
      </c>
    </row>
    <row r="114" spans="1:10">
      <c r="A114" s="12" t="s">
        <v>230</v>
      </c>
      <c r="B114" s="12"/>
      <c r="C114" s="12"/>
      <c r="D114" s="12">
        <f>D103*O$79/P$79</f>
        <v>10.850136239782019</v>
      </c>
      <c r="E114" s="12">
        <f>E103*O$79/P$79</f>
        <v>25.645776566757498</v>
      </c>
      <c r="F114" s="12">
        <f>F103*O$83/P$83</f>
        <v>47.235139092240118</v>
      </c>
      <c r="G114" s="12">
        <f>G103*O$80/P$80</f>
        <v>52.085299971566677</v>
      </c>
      <c r="H114" s="12">
        <f>H103*O$80/P$80</f>
        <v>61.820870059709975</v>
      </c>
      <c r="I114" s="12">
        <f>I103*O$82/P$82</f>
        <v>14.492602795633095</v>
      </c>
      <c r="J114" s="12">
        <f>J103*O$82/P$82</f>
        <v>24.640648913376182</v>
      </c>
    </row>
    <row r="115" spans="1:10">
      <c r="A115" s="12" t="s">
        <v>231</v>
      </c>
      <c r="B115" s="12"/>
      <c r="C115" s="12"/>
      <c r="D115" s="12">
        <f t="shared" ref="D115:D121" si="20">D104*O$79/P$79</f>
        <v>9.9623978201634884</v>
      </c>
      <c r="E115" s="12">
        <f t="shared" ref="E115:E121" si="21">E104*O$79/P$79</f>
        <v>20.713896457765671</v>
      </c>
      <c r="F115" s="12">
        <f t="shared" ref="F115:F121" si="22">F104*O$83/P$83</f>
        <v>35.956544655929726</v>
      </c>
      <c r="G115" s="12">
        <f t="shared" ref="G115:G121" si="23">G104*O$80/P$80</f>
        <v>52.085299971566677</v>
      </c>
      <c r="H115" s="12">
        <f t="shared" ref="H115:H121" si="24">H104*O$80/P$80</f>
        <v>55.492749502416828</v>
      </c>
      <c r="I115" s="12">
        <f t="shared" ref="I115:I121" si="25">I104*O$82/P$82</f>
        <v>11.461891643709823</v>
      </c>
      <c r="J115" s="12">
        <f t="shared" ref="J115:J121" si="26">J104*O$82/P$82</f>
        <v>19.481991633506777</v>
      </c>
    </row>
    <row r="116" spans="1:10">
      <c r="A116" s="12" t="s">
        <v>232</v>
      </c>
      <c r="B116" s="12"/>
      <c r="C116" s="12"/>
      <c r="D116" s="12">
        <f t="shared" si="20"/>
        <v>5.6223433242506831</v>
      </c>
      <c r="E116" s="12">
        <f t="shared" si="21"/>
        <v>15.288828337874662</v>
      </c>
      <c r="F116" s="12">
        <f t="shared" si="22"/>
        <v>35.956544655929726</v>
      </c>
      <c r="G116" s="12">
        <f t="shared" si="23"/>
        <v>37.871367642877445</v>
      </c>
      <c r="H116" s="12">
        <f t="shared" si="24"/>
        <v>55.492749502416828</v>
      </c>
      <c r="I116" s="12">
        <f t="shared" si="25"/>
        <v>11.461891643709823</v>
      </c>
      <c r="J116" s="12">
        <f t="shared" si="26"/>
        <v>19.481991633506777</v>
      </c>
    </row>
    <row r="117" spans="1:10" s="12" customFormat="1">
      <c r="A117" s="12" t="s">
        <v>233</v>
      </c>
      <c r="D117" s="12">
        <f t="shared" si="20"/>
        <v>5.5237057220708445</v>
      </c>
      <c r="E117" s="12">
        <f t="shared" si="21"/>
        <v>13.316076294277932</v>
      </c>
      <c r="F117" s="12">
        <f t="shared" si="22"/>
        <v>22.460790629575403</v>
      </c>
      <c r="G117" s="12">
        <f t="shared" si="23"/>
        <v>24.436280921239696</v>
      </c>
      <c r="H117" s="12">
        <f t="shared" si="24"/>
        <v>31.640602786465731</v>
      </c>
      <c r="I117" s="12">
        <f t="shared" si="25"/>
        <v>7.3672074278134856</v>
      </c>
      <c r="J117" s="12">
        <f t="shared" si="26"/>
        <v>12.525864707682887</v>
      </c>
    </row>
    <row r="118" spans="1:10" s="12" customFormat="1">
      <c r="A118" s="12" t="s">
        <v>234</v>
      </c>
      <c r="D118" s="12">
        <f t="shared" si="20"/>
        <v>7.891008174386922</v>
      </c>
      <c r="E118" s="12">
        <f t="shared" si="21"/>
        <v>14.795640326975478</v>
      </c>
      <c r="F118" s="12">
        <f t="shared" si="22"/>
        <v>7.7118594436310408</v>
      </c>
      <c r="G118" s="12">
        <f t="shared" si="23"/>
        <v>10.124992891669034</v>
      </c>
      <c r="H118" s="12">
        <f t="shared" si="24"/>
        <v>14.603355132214954</v>
      </c>
      <c r="I118" s="12">
        <f t="shared" si="25"/>
        <v>3.6513621059075594</v>
      </c>
      <c r="J118" s="12">
        <f t="shared" si="26"/>
        <v>6.2065095398428731</v>
      </c>
    </row>
    <row r="119" spans="1:10" s="12" customFormat="1">
      <c r="A119" s="12" t="s">
        <v>235</v>
      </c>
      <c r="B119" s="12" t="s">
        <v>231</v>
      </c>
      <c r="D119" s="12">
        <f t="shared" si="20"/>
        <v>5.3264305177111728</v>
      </c>
      <c r="E119" s="12">
        <f t="shared" si="21"/>
        <v>7.891008174386922</v>
      </c>
      <c r="F119" s="12">
        <f t="shared" si="22"/>
        <v>5.2055051244509523</v>
      </c>
      <c r="G119" s="12">
        <f t="shared" si="23"/>
        <v>5.2572078475973845</v>
      </c>
      <c r="H119" s="12">
        <f t="shared" si="24"/>
        <v>7.7884560705146431</v>
      </c>
      <c r="I119" s="12">
        <f t="shared" si="25"/>
        <v>2.1440669319457197</v>
      </c>
      <c r="J119" s="12">
        <f t="shared" si="26"/>
        <v>3.2161003979185794</v>
      </c>
    </row>
    <row r="120" spans="1:10" s="12" customFormat="1">
      <c r="B120" s="12" t="s">
        <v>232</v>
      </c>
      <c r="D120" s="12">
        <f t="shared" si="20"/>
        <v>10.159673024523162</v>
      </c>
      <c r="E120" s="12">
        <f t="shared" si="21"/>
        <v>14.697002724795643</v>
      </c>
      <c r="F120" s="12">
        <f t="shared" si="22"/>
        <v>9.9290190336749671</v>
      </c>
      <c r="G120" s="12">
        <f t="shared" si="23"/>
        <v>10.027637190787603</v>
      </c>
      <c r="H120" s="12">
        <f t="shared" si="24"/>
        <v>14.505999431333521</v>
      </c>
      <c r="I120" s="12">
        <f t="shared" si="25"/>
        <v>4.1591674318947041</v>
      </c>
      <c r="J120" s="12">
        <f t="shared" si="26"/>
        <v>6.2468115498418522</v>
      </c>
    </row>
    <row r="121" spans="1:10">
      <c r="A121" s="12"/>
      <c r="B121" s="12" t="s">
        <v>233</v>
      </c>
      <c r="C121" s="12"/>
      <c r="D121" s="12">
        <f t="shared" si="20"/>
        <v>6.0168937329700283</v>
      </c>
      <c r="E121" s="12">
        <f t="shared" si="21"/>
        <v>19.234332425068125</v>
      </c>
      <c r="F121" s="12">
        <f t="shared" si="22"/>
        <v>25.159941434846267</v>
      </c>
      <c r="G121" s="12">
        <f t="shared" si="23"/>
        <v>32.127381290872904</v>
      </c>
      <c r="H121" s="12">
        <f t="shared" si="24"/>
        <v>37.968723343758889</v>
      </c>
      <c r="I121" s="12">
        <f t="shared" si="25"/>
        <v>8.2538516477910413</v>
      </c>
      <c r="J121" s="12">
        <f t="shared" si="26"/>
        <v>14.033159881644728</v>
      </c>
    </row>
    <row r="122" spans="1:10">
      <c r="A122" s="12"/>
      <c r="B122" s="12" t="s">
        <v>234</v>
      </c>
      <c r="C122" s="12"/>
      <c r="D122" s="12">
        <f>D111*O$89/P$89</f>
        <v>13.032786885245903</v>
      </c>
      <c r="E122" s="12">
        <f>E111*O$89/P$89</f>
        <v>48.221311475409841</v>
      </c>
      <c r="F122" s="12">
        <f>F111*O$93/P$93</f>
        <v>30.848066298342545</v>
      </c>
      <c r="G122" s="12">
        <f>G111*O$90/P$90</f>
        <v>38.128143712574847</v>
      </c>
      <c r="H122" s="12">
        <f>H111*O$90/P$90</f>
        <v>57.433532934131733</v>
      </c>
      <c r="I122" s="12">
        <f>I111*O$92/P$92</f>
        <v>10.839934516265314</v>
      </c>
      <c r="J122" s="12">
        <f>J111*O$92/P$92</f>
        <v>18.426277989015631</v>
      </c>
    </row>
    <row r="124" spans="1:10">
      <c r="A124" s="12" t="s">
        <v>243</v>
      </c>
      <c r="B124" s="12"/>
      <c r="C124" s="12"/>
      <c r="D124" s="12" t="s">
        <v>2</v>
      </c>
      <c r="E124" s="12" t="s">
        <v>3</v>
      </c>
      <c r="F124" s="12" t="s">
        <v>4</v>
      </c>
      <c r="G124" s="12" t="s">
        <v>0</v>
      </c>
      <c r="H124" s="12" t="s">
        <v>1</v>
      </c>
      <c r="I124" s="12" t="s">
        <v>5</v>
      </c>
      <c r="J124" s="12" t="s">
        <v>6</v>
      </c>
    </row>
    <row r="125" spans="1:10">
      <c r="A125" s="12" t="s">
        <v>230</v>
      </c>
      <c r="B125" s="12"/>
      <c r="C125" s="12"/>
      <c r="D125" s="12">
        <f>D114*N$79/O$79</f>
        <v>10.683620950650926</v>
      </c>
      <c r="E125" s="12">
        <f>E114*N$79/O$79</f>
        <v>25.252194974265819</v>
      </c>
      <c r="F125" s="12">
        <f>F114*N$83/O$83</f>
        <v>45.384187408491947</v>
      </c>
      <c r="G125" s="12">
        <f>G114*N$80/O$80</f>
        <v>50.731447256184246</v>
      </c>
      <c r="H125" s="12">
        <f>H114*N$80/O$80</f>
        <v>60.21396076201308</v>
      </c>
      <c r="I125" s="12">
        <f>I114*100/(O$82*$D$100/N$82)</f>
        <v>14.056907458422605</v>
      </c>
      <c r="J125" s="12">
        <f>J114*100/(O$82*$D$100/N$82)</f>
        <v>23.899869911233541</v>
      </c>
    </row>
    <row r="126" spans="1:10">
      <c r="A126" s="12" t="s">
        <v>231</v>
      </c>
      <c r="B126" s="12"/>
      <c r="C126" s="12"/>
      <c r="D126" s="12">
        <f t="shared" ref="D126:D132" si="27">D115*N$79/O$79</f>
        <v>9.8095065092340299</v>
      </c>
      <c r="E126" s="12">
        <f t="shared" ref="E126:E132" si="28">E115*N$79/O$79</f>
        <v>20.396003633060857</v>
      </c>
      <c r="F126" s="12">
        <f t="shared" ref="F126:F132" si="29">F115*N$83/O$83</f>
        <v>34.547554904831621</v>
      </c>
      <c r="G126" s="12">
        <f t="shared" ref="G126:G132" si="30">G115*N$80/O$80</f>
        <v>50.731447256184246</v>
      </c>
      <c r="H126" s="12">
        <f t="shared" ref="H126:H132" si="31">H115*N$80/O$80</f>
        <v>54.050326983224338</v>
      </c>
      <c r="I126" s="12">
        <f t="shared" ref="I126:I132" si="32">I115*100/(O$82*$D$100/N$82)</f>
        <v>11.117309458218546</v>
      </c>
      <c r="J126" s="12">
        <f t="shared" ref="J126:J132" si="33">J115*100/(O$82*$D$100/N$82)</f>
        <v>18.896298847056414</v>
      </c>
    </row>
    <row r="127" spans="1:10">
      <c r="A127" s="12" t="s">
        <v>232</v>
      </c>
      <c r="B127" s="12"/>
      <c r="C127" s="12"/>
      <c r="D127" s="12">
        <f t="shared" si="27"/>
        <v>5.5360581289736617</v>
      </c>
      <c r="E127" s="12">
        <f t="shared" si="28"/>
        <v>15.054193157735396</v>
      </c>
      <c r="F127" s="12">
        <f t="shared" si="29"/>
        <v>34.547554904831621</v>
      </c>
      <c r="G127" s="12">
        <f t="shared" si="30"/>
        <v>36.886977537674149</v>
      </c>
      <c r="H127" s="12">
        <f t="shared" si="31"/>
        <v>54.050326983224338</v>
      </c>
      <c r="I127" s="12">
        <f t="shared" si="32"/>
        <v>11.117309458218546</v>
      </c>
      <c r="J127" s="12">
        <f t="shared" si="33"/>
        <v>18.896298847056414</v>
      </c>
    </row>
    <row r="128" spans="1:10" s="12" customFormat="1">
      <c r="A128" s="12" t="s">
        <v>233</v>
      </c>
      <c r="D128" s="12">
        <f t="shared" si="27"/>
        <v>5.4389343021495611</v>
      </c>
      <c r="E128" s="12">
        <f t="shared" si="28"/>
        <v>13.111716621253409</v>
      </c>
      <c r="F128" s="12">
        <f t="shared" si="29"/>
        <v>21.580644216691066</v>
      </c>
      <c r="G128" s="12">
        <f t="shared" si="30"/>
        <v>23.801108899630371</v>
      </c>
      <c r="H128" s="12">
        <f t="shared" si="31"/>
        <v>30.8181688939437</v>
      </c>
      <c r="I128" s="12">
        <f t="shared" si="32"/>
        <v>7.1457249260279534</v>
      </c>
      <c r="J128" s="12">
        <f t="shared" si="33"/>
        <v>12.149295990205079</v>
      </c>
    </row>
    <row r="129" spans="1:10" s="12" customFormat="1">
      <c r="A129" s="12" t="s">
        <v>234</v>
      </c>
      <c r="D129" s="12">
        <f t="shared" si="27"/>
        <v>7.769906145927945</v>
      </c>
      <c r="E129" s="12">
        <f t="shared" si="28"/>
        <v>14.568574023614897</v>
      </c>
      <c r="F129" s="12">
        <f t="shared" si="29"/>
        <v>7.4096632503660329</v>
      </c>
      <c r="G129" s="12">
        <f t="shared" si="30"/>
        <v>9.8618140460619834</v>
      </c>
      <c r="H129" s="12">
        <f t="shared" si="31"/>
        <v>14.223770258743247</v>
      </c>
      <c r="I129" s="12">
        <f t="shared" si="32"/>
        <v>3.5415901438628699</v>
      </c>
      <c r="J129" s="12">
        <f t="shared" si="33"/>
        <v>6.0199214365881026</v>
      </c>
    </row>
    <row r="130" spans="1:10" s="12" customFormat="1">
      <c r="A130" s="12" t="s">
        <v>235</v>
      </c>
      <c r="B130" s="12" t="s">
        <v>231</v>
      </c>
      <c r="D130" s="12">
        <f t="shared" si="27"/>
        <v>5.2446866485013635</v>
      </c>
      <c r="E130" s="12">
        <f t="shared" si="28"/>
        <v>7.769906145927945</v>
      </c>
      <c r="F130" s="12">
        <f t="shared" si="29"/>
        <v>5.0015226939970718</v>
      </c>
      <c r="G130" s="12">
        <f t="shared" si="30"/>
        <v>5.1205572931475691</v>
      </c>
      <c r="H130" s="12">
        <f t="shared" si="31"/>
        <v>7.5860108046630659</v>
      </c>
      <c r="I130" s="12">
        <f t="shared" si="32"/>
        <v>2.0796092235486174</v>
      </c>
      <c r="J130" s="12">
        <f t="shared" si="33"/>
        <v>3.1194138353229262</v>
      </c>
    </row>
    <row r="131" spans="1:10" s="12" customFormat="1">
      <c r="B131" s="12" t="s">
        <v>232</v>
      </c>
      <c r="D131" s="12">
        <f t="shared" si="27"/>
        <v>10.003754162882229</v>
      </c>
      <c r="E131" s="12">
        <f t="shared" si="28"/>
        <v>14.4714501967908</v>
      </c>
      <c r="F131" s="12">
        <f t="shared" si="29"/>
        <v>9.5399414348462681</v>
      </c>
      <c r="G131" s="12">
        <f t="shared" si="30"/>
        <v>9.7669889110036969</v>
      </c>
      <c r="H131" s="12">
        <f t="shared" si="31"/>
        <v>14.128945123684959</v>
      </c>
      <c r="I131" s="12">
        <f t="shared" si="32"/>
        <v>4.0341291704928066</v>
      </c>
      <c r="J131" s="12">
        <f t="shared" si="33"/>
        <v>6.0590118355269862</v>
      </c>
    </row>
    <row r="132" spans="1:10">
      <c r="A132" s="12"/>
      <c r="B132" s="12" t="s">
        <v>233</v>
      </c>
      <c r="C132" s="12"/>
      <c r="D132" s="12">
        <f t="shared" si="27"/>
        <v>5.9245534362700587</v>
      </c>
      <c r="E132" s="12">
        <f t="shared" si="28"/>
        <v>18.939146230699368</v>
      </c>
      <c r="F132" s="12">
        <f t="shared" si="29"/>
        <v>24.174026354319178</v>
      </c>
      <c r="G132" s="12">
        <f t="shared" si="30"/>
        <v>31.292294569235146</v>
      </c>
      <c r="H132" s="12">
        <f t="shared" si="31"/>
        <v>36.981802672732449</v>
      </c>
      <c r="I132" s="12">
        <f t="shared" si="32"/>
        <v>8.0057137026833995</v>
      </c>
      <c r="J132" s="12">
        <f t="shared" si="33"/>
        <v>13.611276910519333</v>
      </c>
    </row>
    <row r="133" spans="1:10">
      <c r="A133" s="12"/>
      <c r="B133" s="12" t="s">
        <v>234</v>
      </c>
      <c r="C133" s="12"/>
      <c r="D133" s="12">
        <f>D122*N$89/O$89</f>
        <v>12.934426229508199</v>
      </c>
      <c r="E133" s="12">
        <f>E122*N$89/O$89</f>
        <v>47.857377049180336</v>
      </c>
      <c r="F133" s="12">
        <f>F122*N$93/O$93</f>
        <v>29.178176795580111</v>
      </c>
      <c r="G133" s="12">
        <f>G122*N$90/O$90</f>
        <v>37.15838323353293</v>
      </c>
      <c r="H133" s="12">
        <f>H122*N$90/O$90</f>
        <v>55.972754491017966</v>
      </c>
      <c r="I133" s="12">
        <f>I122*100/(O$92*$D$100/N$92)</f>
        <v>10.534283903675536</v>
      </c>
      <c r="J133" s="12">
        <f>J122*100/(O$92*$D$100/N$92)</f>
        <v>17.906717363751579</v>
      </c>
    </row>
    <row r="135" spans="1:10">
      <c r="A135" s="12" t="s">
        <v>244</v>
      </c>
      <c r="B135" s="12"/>
      <c r="C135" s="12"/>
      <c r="D135" s="12" t="s">
        <v>2</v>
      </c>
      <c r="E135" s="12" t="s">
        <v>3</v>
      </c>
      <c r="F135" s="12" t="s">
        <v>4</v>
      </c>
      <c r="G135" s="12" t="s">
        <v>0</v>
      </c>
      <c r="H135" s="12" t="s">
        <v>1</v>
      </c>
      <c r="I135" s="12" t="s">
        <v>5</v>
      </c>
      <c r="J135" s="12" t="s">
        <v>6</v>
      </c>
    </row>
    <row r="136" spans="1:10">
      <c r="A136" s="12" t="s">
        <v>230</v>
      </c>
      <c r="B136" s="12"/>
      <c r="C136" s="12"/>
      <c r="D136" s="12">
        <f>D125*M$79/N$79</f>
        <v>10.264002422040573</v>
      </c>
      <c r="E136" s="12">
        <f>E125*M$79/N$79</f>
        <v>24.2603693611868</v>
      </c>
      <c r="F136" s="12">
        <f>F125*M$83/N$83</f>
        <v>42.887554904831617</v>
      </c>
      <c r="G136" s="12">
        <f>G125*100/(N$80*$D$100/M$80)</f>
        <v>48.799545066818311</v>
      </c>
      <c r="H136" s="12">
        <f>H125*100/(N$80*$D$100/M$80)</f>
        <v>57.920955359681557</v>
      </c>
      <c r="I136" s="12">
        <f>I125*100/(N$82*$D$100/M$82)</f>
        <v>13.451520253035403</v>
      </c>
      <c r="J136" s="12">
        <f>J125*100/(N$82*$D$100/M$82)</f>
        <v>22.870576981940612</v>
      </c>
    </row>
    <row r="137" spans="1:10">
      <c r="A137" s="12" t="s">
        <v>231</v>
      </c>
      <c r="B137" s="12"/>
      <c r="C137" s="12"/>
      <c r="D137" s="12">
        <f t="shared" ref="D137:D143" si="34">D126*M$79/N$79</f>
        <v>9.4242204056917966</v>
      </c>
      <c r="E137" s="12">
        <f t="shared" ref="E137:E143" si="35">E126*M$79/N$79</f>
        <v>19.594913714804729</v>
      </c>
      <c r="F137" s="12">
        <f t="shared" ref="F137:F143" si="36">F126*M$83/N$83</f>
        <v>32.647057101024885</v>
      </c>
      <c r="G137" s="12">
        <f>G126*100/(N$80*$D$100/M$80)</f>
        <v>48.799545066818311</v>
      </c>
      <c r="H137" s="12">
        <f>H126*100/(N$80*$D$100/M$80)</f>
        <v>51.992038669320451</v>
      </c>
      <c r="I137" s="12">
        <f>I126*100/(N$82*$D$100/M$82)</f>
        <v>10.63852157943067</v>
      </c>
      <c r="J137" s="12">
        <f>J126*100/(N$82*$D$100/M$82)</f>
        <v>18.082494133251704</v>
      </c>
    </row>
    <row r="138" spans="1:10">
      <c r="A138" s="12" t="s">
        <v>232</v>
      </c>
      <c r="B138" s="12"/>
      <c r="C138" s="12"/>
      <c r="D138" s="12">
        <f t="shared" si="34"/>
        <v>5.3186194368755695</v>
      </c>
      <c r="E138" s="12">
        <f t="shared" si="35"/>
        <v>14.462912503784445</v>
      </c>
      <c r="F138" s="12">
        <f t="shared" si="36"/>
        <v>32.647057101024885</v>
      </c>
      <c r="G138" s="12">
        <f>G127*100/(N$80*$D$100/M$80)</f>
        <v>35.482286039237984</v>
      </c>
      <c r="H138" s="12">
        <f>H127*100/(N$80*$D$100/M$80)</f>
        <v>51.992038669320451</v>
      </c>
      <c r="I138" s="12">
        <f>I127*100/(N$82*$D$100/M$82)</f>
        <v>10.63852157943067</v>
      </c>
      <c r="J138" s="12">
        <f>J127*100/(N$82*$D$100/M$82)</f>
        <v>18.082494133251704</v>
      </c>
    </row>
    <row r="139" spans="1:10" s="12" customFormat="1">
      <c r="A139" s="12" t="s">
        <v>233</v>
      </c>
      <c r="D139" s="12">
        <f t="shared" si="34"/>
        <v>5.2253103239479266</v>
      </c>
      <c r="E139" s="12">
        <f t="shared" si="35"/>
        <v>12.596730245231612</v>
      </c>
      <c r="F139" s="12">
        <f t="shared" si="36"/>
        <v>20.393469985358706</v>
      </c>
      <c r="G139" s="12">
        <f t="shared" ref="G139:G143" si="37">G128*100/(N$80*$D$100/M$80)</f>
        <v>22.894739835086728</v>
      </c>
      <c r="H139" s="12">
        <f t="shared" ref="H139:H143" si="38">H128*100/(N$80*$D$100/M$80)</f>
        <v>29.644583451805513</v>
      </c>
      <c r="I139" s="12">
        <f t="shared" ref="I139:I143" si="39">I128*100/(N$82*$D$100/M$82)</f>
        <v>6.8379808182838469</v>
      </c>
      <c r="J139" s="12">
        <f t="shared" ref="J139:J143" si="40">J128*100/(N$82*$D$100/M$82)</f>
        <v>11.626063666972758</v>
      </c>
    </row>
    <row r="140" spans="1:10" s="12" customFormat="1">
      <c r="A140" s="12" t="s">
        <v>234</v>
      </c>
      <c r="D140" s="12">
        <f t="shared" si="34"/>
        <v>7.4647290342113246</v>
      </c>
      <c r="E140" s="12">
        <f t="shared" si="35"/>
        <v>13.996366939146233</v>
      </c>
      <c r="F140" s="12">
        <f t="shared" si="36"/>
        <v>7.0020497803806743</v>
      </c>
      <c r="G140" s="12">
        <f t="shared" si="37"/>
        <v>9.4862667045777656</v>
      </c>
      <c r="H140" s="12">
        <f t="shared" si="38"/>
        <v>13.682115439294856</v>
      </c>
      <c r="I140" s="12">
        <f t="shared" si="39"/>
        <v>3.3890648913376173</v>
      </c>
      <c r="J140" s="12">
        <f t="shared" si="40"/>
        <v>5.760662177328844</v>
      </c>
    </row>
    <row r="141" spans="1:10" s="12" customFormat="1">
      <c r="A141" s="12" t="s">
        <v>235</v>
      </c>
      <c r="B141" s="12" t="s">
        <v>231</v>
      </c>
      <c r="D141" s="12">
        <f t="shared" si="34"/>
        <v>5.0386920980926444</v>
      </c>
      <c r="E141" s="12">
        <f t="shared" si="35"/>
        <v>7.4647290342113246</v>
      </c>
      <c r="F141" s="12">
        <f t="shared" si="36"/>
        <v>4.7263836017569538</v>
      </c>
      <c r="G141" s="12">
        <f t="shared" si="37"/>
        <v>4.925561558146148</v>
      </c>
      <c r="H141" s="12">
        <f t="shared" si="38"/>
        <v>7.2971282342905903</v>
      </c>
      <c r="I141" s="12">
        <f t="shared" si="39"/>
        <v>1.990046933986328</v>
      </c>
      <c r="J141" s="12">
        <f t="shared" si="40"/>
        <v>2.9850704009794922</v>
      </c>
    </row>
    <row r="142" spans="1:10" s="12" customFormat="1">
      <c r="B142" s="12" t="s">
        <v>232</v>
      </c>
      <c r="D142" s="12">
        <f t="shared" si="34"/>
        <v>9.6108386315470806</v>
      </c>
      <c r="E142" s="12">
        <f t="shared" si="35"/>
        <v>13.903057826218594</v>
      </c>
      <c r="F142" s="12">
        <f t="shared" si="36"/>
        <v>9.0151390922401173</v>
      </c>
      <c r="G142" s="12">
        <f t="shared" si="37"/>
        <v>9.3950526016491338</v>
      </c>
      <c r="H142" s="12">
        <f t="shared" si="38"/>
        <v>13.590901336366223</v>
      </c>
      <c r="I142" s="12">
        <f t="shared" si="39"/>
        <v>3.8603917967554335</v>
      </c>
      <c r="J142" s="12">
        <f t="shared" si="40"/>
        <v>5.7980690745842258</v>
      </c>
    </row>
    <row r="143" spans="1:10">
      <c r="A143" s="12"/>
      <c r="B143" s="12" t="s">
        <v>233</v>
      </c>
      <c r="C143" s="12"/>
      <c r="D143" s="12">
        <f t="shared" si="34"/>
        <v>5.6918558885861357</v>
      </c>
      <c r="E143" s="12">
        <f t="shared" si="35"/>
        <v>18.195277020890106</v>
      </c>
      <c r="F143" s="12">
        <f t="shared" si="36"/>
        <v>22.844187408491944</v>
      </c>
      <c r="G143" s="12">
        <f t="shared" si="37"/>
        <v>30.100653966448682</v>
      </c>
      <c r="H143" s="12">
        <f t="shared" si="38"/>
        <v>35.57350014216663</v>
      </c>
      <c r="I143" s="12">
        <f t="shared" si="39"/>
        <v>7.6609325579022549</v>
      </c>
      <c r="J143" s="12">
        <f t="shared" si="40"/>
        <v>13.025081624324047</v>
      </c>
    </row>
    <row r="144" spans="1:10">
      <c r="A144" s="12"/>
      <c r="B144" s="12" t="s">
        <v>234</v>
      </c>
      <c r="C144" s="12"/>
      <c r="D144" s="12">
        <f>D133*M$89/N$89</f>
        <v>12.45081967213115</v>
      </c>
      <c r="E144" s="12">
        <f>E133*M$89/N$89</f>
        <v>46.068032786885247</v>
      </c>
      <c r="F144" s="12">
        <f>F133*M$93/N$93</f>
        <v>27.22099447513812</v>
      </c>
      <c r="G144" s="12">
        <f>G133*100/(N$90*$D$100/M$90)</f>
        <v>35.573652694610779</v>
      </c>
      <c r="H144" s="12">
        <f>H133*100/(N$90*$D$100/M$90)</f>
        <v>53.58562874251497</v>
      </c>
      <c r="I144" s="12">
        <f>I133*100/(N$92*$D$100/M$92)</f>
        <v>10.086470215462612</v>
      </c>
      <c r="J144" s="12">
        <f>J133*100/(N$92*$D$100/M$92)</f>
        <v>17.14550063371356</v>
      </c>
    </row>
    <row r="146" spans="1:10">
      <c r="A146" s="12" t="s">
        <v>245</v>
      </c>
      <c r="B146" s="12"/>
      <c r="C146" s="12"/>
      <c r="D146" s="12" t="s">
        <v>2</v>
      </c>
      <c r="E146" s="12" t="s">
        <v>3</v>
      </c>
      <c r="F146" s="12" t="s">
        <v>4</v>
      </c>
      <c r="G146" s="12" t="s">
        <v>0</v>
      </c>
      <c r="H146" s="12" t="s">
        <v>1</v>
      </c>
      <c r="I146" s="12" t="s">
        <v>5</v>
      </c>
      <c r="J146" s="12" t="s">
        <v>6</v>
      </c>
    </row>
    <row r="147" spans="1:10">
      <c r="A147" s="12" t="s">
        <v>230</v>
      </c>
      <c r="B147" s="12"/>
      <c r="C147" s="12"/>
      <c r="D147" s="12">
        <f>D136*L$79/M$79</f>
        <v>9.7211625794732068</v>
      </c>
      <c r="E147" s="12">
        <f>E136*100/(M$79*$D$100/L$79)</f>
        <v>22.97729336966394</v>
      </c>
      <c r="F147" s="12">
        <f>F136*100/(M$83*$D$100/L$83)</f>
        <v>40.075256222547573</v>
      </c>
      <c r="G147" s="12">
        <f>G136*100/(M$80*$D$100/L$80)</f>
        <v>45.863662212112594</v>
      </c>
      <c r="H147" s="12">
        <f>H136*100/(M$80*$D$100/L$80)</f>
        <v>54.436309354563562</v>
      </c>
      <c r="I147" s="12">
        <f>I136*100/(M$82*$D$100/L$82)</f>
        <v>12.67644117947148</v>
      </c>
      <c r="J147" s="12">
        <f>J136*100/(M$82*$D$100/L$82)</f>
        <v>21.552770125497389</v>
      </c>
    </row>
    <row r="148" spans="1:10">
      <c r="A148" s="12" t="s">
        <v>231</v>
      </c>
      <c r="B148" s="12"/>
      <c r="C148" s="12"/>
      <c r="D148" s="12">
        <f t="shared" ref="D148:D154" si="41">D137*L$79/M$79</f>
        <v>8.9257947320617621</v>
      </c>
      <c r="E148" s="12">
        <f>E137*100/(M$79*$D$100/L$79)</f>
        <v>18.558583106267033</v>
      </c>
      <c r="F148" s="12">
        <f>F137*100/(M$83*$D$100/L$83)</f>
        <v>30.506266471449482</v>
      </c>
      <c r="G148" s="12">
        <f>G137*100/(M$80*$D$100/L$80)</f>
        <v>45.863662212112594</v>
      </c>
      <c r="H148" s="12">
        <f>H137*100/(M$80*$D$100/L$80)</f>
        <v>48.864088711970439</v>
      </c>
      <c r="I148" s="12">
        <f>I137*100/(M$82*$D$100/L$82)</f>
        <v>10.025528007346187</v>
      </c>
      <c r="J148" s="12">
        <f>J137*100/(M$82*$D$100/L$82)</f>
        <v>17.040577492092634</v>
      </c>
    </row>
    <row r="149" spans="1:10">
      <c r="A149" s="12" t="s">
        <v>232</v>
      </c>
      <c r="B149" s="12"/>
      <c r="C149" s="12"/>
      <c r="D149" s="12">
        <f t="shared" si="41"/>
        <v>5.0373297002724797</v>
      </c>
      <c r="E149" s="12">
        <f>E138*100/(M$79*$D$100/L$79)</f>
        <v>13.69800181653043</v>
      </c>
      <c r="F149" s="12">
        <f>F138*100/(M$83*$D$100/L$83)</f>
        <v>30.506266471449482</v>
      </c>
      <c r="G149" s="12">
        <f>G138*100/(M$80*$D$100/L$80)</f>
        <v>33.347597384134204</v>
      </c>
      <c r="H149" s="12">
        <f>H138*100/(M$80*$D$100/L$80)</f>
        <v>48.864088711970439</v>
      </c>
      <c r="I149" s="12">
        <f>I138*100/(M$82*$D$100/L$82)</f>
        <v>10.025528007346187</v>
      </c>
      <c r="J149" s="12">
        <f>J138*100/(M$82*$D$100/L$82)</f>
        <v>17.040577492092634</v>
      </c>
    </row>
    <row r="150" spans="1:10" s="12" customFormat="1">
      <c r="A150" s="12" t="s">
        <v>233</v>
      </c>
      <c r="D150" s="12">
        <f t="shared" si="41"/>
        <v>4.9489554950045402</v>
      </c>
      <c r="E150" s="12">
        <f t="shared" ref="E150:E154" si="42">E139*100/(M$79*$D$100/L$79)</f>
        <v>11.930517711171664</v>
      </c>
      <c r="F150" s="12">
        <f t="shared" ref="F150:F154" si="43">F139*100/(M$83*$D$100/L$83)</f>
        <v>19.056193265007316</v>
      </c>
      <c r="G150" s="12">
        <f t="shared" ref="G150:G154" si="44">G139*100/(M$80*$D$100/L$80)</f>
        <v>21.5173443275519</v>
      </c>
      <c r="H150" s="12">
        <f t="shared" ref="H150:H154" si="45">H139*100/(M$80*$D$100/L$80)</f>
        <v>27.861103212965592</v>
      </c>
      <c r="I150" s="12">
        <f t="shared" ref="I150:I154" si="46">I139*100/(M$82*$D$100/L$82)</f>
        <v>6.4439751045811633</v>
      </c>
      <c r="J150" s="12">
        <f t="shared" ref="J150:J154" si="47">J139*100/(M$82*$D$100/L$82)</f>
        <v>10.95616773798592</v>
      </c>
    </row>
    <row r="151" spans="1:10" s="12" customFormat="1">
      <c r="A151" s="12" t="s">
        <v>234</v>
      </c>
      <c r="D151" s="12">
        <f t="shared" si="41"/>
        <v>7.0699364214350595</v>
      </c>
      <c r="E151" s="12">
        <f t="shared" si="42"/>
        <v>13.256130790190737</v>
      </c>
      <c r="F151" s="12">
        <f t="shared" si="43"/>
        <v>6.5428989751098108</v>
      </c>
      <c r="G151" s="12">
        <f t="shared" si="44"/>
        <v>8.9155530281489916</v>
      </c>
      <c r="H151" s="12">
        <f t="shared" si="45"/>
        <v>12.858970713676431</v>
      </c>
      <c r="I151" s="12">
        <f t="shared" si="46"/>
        <v>3.1937863483318014</v>
      </c>
      <c r="J151" s="12">
        <f t="shared" si="47"/>
        <v>5.4287317620650946</v>
      </c>
    </row>
    <row r="152" spans="1:10" s="12" customFormat="1">
      <c r="A152" s="12" t="s">
        <v>235</v>
      </c>
      <c r="B152" s="12" t="s">
        <v>231</v>
      </c>
      <c r="D152" s="12">
        <f t="shared" si="41"/>
        <v>4.7722070844686648</v>
      </c>
      <c r="E152" s="12">
        <f t="shared" si="42"/>
        <v>7.0699364214350604</v>
      </c>
      <c r="F152" s="12">
        <f t="shared" si="43"/>
        <v>4.4164568081991202</v>
      </c>
      <c r="G152" s="12">
        <f t="shared" si="44"/>
        <v>4.6292294569235155</v>
      </c>
      <c r="H152" s="12">
        <f t="shared" si="45"/>
        <v>6.8581177139607643</v>
      </c>
      <c r="I152" s="12">
        <f t="shared" si="46"/>
        <v>1.8753800632588511</v>
      </c>
      <c r="J152" s="12">
        <f t="shared" si="47"/>
        <v>2.813070094888277</v>
      </c>
    </row>
    <row r="153" spans="1:10" s="12" customFormat="1">
      <c r="B153" s="12" t="s">
        <v>232</v>
      </c>
      <c r="D153" s="12">
        <f t="shared" si="41"/>
        <v>9.1025431425976393</v>
      </c>
      <c r="E153" s="12">
        <f t="shared" si="42"/>
        <v>13.167756584922801</v>
      </c>
      <c r="F153" s="12">
        <f t="shared" si="43"/>
        <v>8.4239824304538793</v>
      </c>
      <c r="G153" s="12">
        <f t="shared" si="44"/>
        <v>8.8298265567244822</v>
      </c>
      <c r="H153" s="12">
        <f t="shared" si="45"/>
        <v>12.773244242251922</v>
      </c>
      <c r="I153" s="12">
        <f t="shared" si="46"/>
        <v>3.6379553106825835</v>
      </c>
      <c r="J153" s="12">
        <f t="shared" si="47"/>
        <v>5.4639832670135684</v>
      </c>
    </row>
    <row r="154" spans="1:10">
      <c r="A154" s="12"/>
      <c r="B154" s="12" t="s">
        <v>233</v>
      </c>
      <c r="C154" s="12"/>
      <c r="D154" s="12">
        <f t="shared" si="41"/>
        <v>5.3908265213442332</v>
      </c>
      <c r="E154" s="12">
        <f t="shared" si="42"/>
        <v>17.232970027247962</v>
      </c>
      <c r="F154" s="12">
        <f t="shared" si="43"/>
        <v>21.346207906295749</v>
      </c>
      <c r="G154" s="12">
        <f t="shared" si="44"/>
        <v>28.289735570088148</v>
      </c>
      <c r="H154" s="12">
        <f t="shared" si="45"/>
        <v>33.433323855558726</v>
      </c>
      <c r="I154" s="12">
        <f t="shared" si="46"/>
        <v>7.2195082134476065</v>
      </c>
      <c r="J154" s="12">
        <f t="shared" si="47"/>
        <v>12.27457402305887</v>
      </c>
    </row>
    <row r="155" spans="1:10">
      <c r="A155" s="12"/>
      <c r="B155" s="12" t="s">
        <v>234</v>
      </c>
      <c r="C155" s="12"/>
      <c r="D155" s="12">
        <f>D144*L$89/M$89</f>
        <v>11.803278688524591</v>
      </c>
      <c r="E155" s="12">
        <f>E144*100/(M$89*$D$100/L$89)</f>
        <v>43.672131147540988</v>
      </c>
      <c r="F155" s="12">
        <f>F144*100/(M$93*$D$100/L$93)</f>
        <v>25.174033149171265</v>
      </c>
      <c r="G155" s="12">
        <f>G144*100/(M$90*$D$100/L$90)</f>
        <v>33.373952095808377</v>
      </c>
      <c r="H155" s="12">
        <f>H144*100/(M$90*$D$100/L$90)</f>
        <v>50.272155688622753</v>
      </c>
      <c r="I155" s="12">
        <f>I144*100/(M$92*$D$100/L$92)</f>
        <v>9.4893852978453754</v>
      </c>
      <c r="J155" s="12">
        <f>J144*100/(M$92*$D$100/L$92)</f>
        <v>16.130544993662863</v>
      </c>
    </row>
    <row r="157" spans="1:10">
      <c r="A157" s="12" t="s">
        <v>246</v>
      </c>
      <c r="B157" s="12"/>
      <c r="C157" s="12"/>
      <c r="D157" s="12" t="s">
        <v>2</v>
      </c>
      <c r="E157" s="12" t="s">
        <v>3</v>
      </c>
      <c r="F157" s="12" t="s">
        <v>4</v>
      </c>
      <c r="G157" s="12" t="s">
        <v>0</v>
      </c>
      <c r="H157" s="12" t="s">
        <v>1</v>
      </c>
      <c r="I157" s="12" t="s">
        <v>5</v>
      </c>
      <c r="J157" s="12" t="s">
        <v>6</v>
      </c>
    </row>
    <row r="158" spans="1:10">
      <c r="A158" s="12" t="s">
        <v>230</v>
      </c>
      <c r="B158" s="12"/>
      <c r="C158" s="12"/>
      <c r="D158" s="12">
        <f>D147*100/(L$79*$D$100/K$79)</f>
        <v>9.3148652739933411</v>
      </c>
      <c r="E158" s="12">
        <f>E147*100/(L$79*$D$100/K$79)</f>
        <v>22.016954283984258</v>
      </c>
      <c r="F158" s="12">
        <f>F147*100/(L$83*$D$100/K$83)</f>
        <v>38.396486090775987</v>
      </c>
      <c r="G158" s="12">
        <f>G147*100/(L$80*$D$100/K$80)</f>
        <v>43.384134205288596</v>
      </c>
      <c r="H158" s="12">
        <f>H147*100/(L$80*$D$100/K$80)</f>
        <v>51.493318168893957</v>
      </c>
      <c r="I158" s="12">
        <f>I147*100/(L$82*$D$100/K$82)</f>
        <v>11.970156106519743</v>
      </c>
      <c r="J158" s="12">
        <f>J147*100/(L$82*$D$100/K$82)</f>
        <v>20.351928374655643</v>
      </c>
    </row>
    <row r="159" spans="1:10">
      <c r="A159" s="12" t="s">
        <v>231</v>
      </c>
      <c r="B159" s="12"/>
      <c r="C159" s="12"/>
      <c r="D159" s="12">
        <f>D148*100/(L$79*$D$100/K$79)</f>
        <v>8.5527399333938856</v>
      </c>
      <c r="E159" s="12">
        <f>E148*100/(L$79*$D$100/K$79)</f>
        <v>17.782924613987291</v>
      </c>
      <c r="F159" s="12">
        <f>F148*100/(L$83*$D$100/K$83)</f>
        <v>29.228345534407026</v>
      </c>
      <c r="G159" s="12">
        <f>G148*100/(L$80*$D$100/K$80)</f>
        <v>43.384134205288596</v>
      </c>
      <c r="H159" s="12">
        <f>H148*100/(L$80*$D$100/K$80)</f>
        <v>46.222348592550468</v>
      </c>
      <c r="I159" s="12">
        <f>I148*100/(L$82*$D$100/K$82)</f>
        <v>9.4669421487603298</v>
      </c>
      <c r="J159" s="12">
        <f>J148*100/(L$82*$D$100/K$82)</f>
        <v>16.091138659320471</v>
      </c>
    </row>
    <row r="160" spans="1:10">
      <c r="A160" s="12" t="s">
        <v>232</v>
      </c>
      <c r="B160" s="12"/>
      <c r="C160" s="12"/>
      <c r="D160" s="12">
        <f>D149*100/(L$79*$D$100/K$79)</f>
        <v>4.8267938237965495</v>
      </c>
      <c r="E160" s="12">
        <f>E149*100/(L$79*$D$100/K$79)</f>
        <v>13.125491976990618</v>
      </c>
      <c r="F160" s="12">
        <f>F149*100/(L$83*$D$100/K$83)</f>
        <v>29.228345534407026</v>
      </c>
      <c r="G160" s="12">
        <f>G149*100/(L$80*$D$100/K$80)</f>
        <v>31.544725618424792</v>
      </c>
      <c r="H160" s="12">
        <f>H149*100/(L$80*$D$100/K$80)</f>
        <v>46.222348592550468</v>
      </c>
      <c r="I160" s="12">
        <f>I149*100/(L$82*$D$100/K$82)</f>
        <v>9.4669421487603298</v>
      </c>
      <c r="J160" s="12">
        <f>J149*100/(L$82*$D$100/K$82)</f>
        <v>16.091138659320471</v>
      </c>
    </row>
    <row r="161" spans="1:10" s="12" customFormat="1">
      <c r="A161" s="12" t="s">
        <v>233</v>
      </c>
      <c r="D161" s="12">
        <f t="shared" ref="D161:D165" si="48">D150*100/(L$79*$D$100/K$79)</f>
        <v>4.7421132303966083</v>
      </c>
      <c r="E161" s="12">
        <f t="shared" ref="E161:E165" si="49">E150*100/(L$79*$D$100/K$79)</f>
        <v>11.43188010899183</v>
      </c>
      <c r="F161" s="12">
        <f t="shared" ref="F161:F165" si="50">F150*100/(L$83*$D$100/K$83)</f>
        <v>18.25792093704246</v>
      </c>
      <c r="G161" s="12">
        <f t="shared" ref="G161:G165" si="51">G150*100/(L$80*$D$100/K$80)</f>
        <v>20.354051748649425</v>
      </c>
      <c r="H161" s="12">
        <f t="shared" ref="H161:H165" si="52">H150*100/(L$80*$D$100/K$80)</f>
        <v>26.354847881717365</v>
      </c>
      <c r="I161" s="12">
        <f t="shared" ref="I161:I165" si="53">I150*100/(L$82*$D$100/K$82)</f>
        <v>6.084940312213039</v>
      </c>
      <c r="J161" s="12">
        <f t="shared" ref="J161:J165" si="54">J150*100/(L$82*$D$100/K$82)</f>
        <v>10.345730027548212</v>
      </c>
    </row>
    <row r="162" spans="1:10" s="12" customFormat="1">
      <c r="A162" s="12" t="s">
        <v>234</v>
      </c>
      <c r="D162" s="12">
        <f t="shared" si="48"/>
        <v>6.7744474719951571</v>
      </c>
      <c r="E162" s="12">
        <f t="shared" si="49"/>
        <v>12.702089009990919</v>
      </c>
      <c r="F162" s="12">
        <f t="shared" si="50"/>
        <v>6.2688140556368985</v>
      </c>
      <c r="G162" s="12">
        <f t="shared" si="51"/>
        <v>8.4335513221495599</v>
      </c>
      <c r="H162" s="12">
        <f t="shared" si="52"/>
        <v>12.16377594540802</v>
      </c>
      <c r="I162" s="12">
        <f t="shared" si="53"/>
        <v>3.015840220385674</v>
      </c>
      <c r="J162" s="12">
        <f t="shared" si="54"/>
        <v>5.1262626262626263</v>
      </c>
    </row>
    <row r="163" spans="1:10" s="12" customFormat="1">
      <c r="A163" s="12" t="s">
        <v>235</v>
      </c>
      <c r="B163" s="12" t="s">
        <v>231</v>
      </c>
      <c r="D163" s="12">
        <f t="shared" si="48"/>
        <v>4.572752043596731</v>
      </c>
      <c r="E163" s="12">
        <f t="shared" si="49"/>
        <v>6.774447471995158</v>
      </c>
      <c r="F163" s="12">
        <f t="shared" si="50"/>
        <v>4.2314494875549045</v>
      </c>
      <c r="G163" s="12">
        <f t="shared" si="51"/>
        <v>4.3789593403468876</v>
      </c>
      <c r="H163" s="12">
        <f t="shared" si="52"/>
        <v>6.487347170884278</v>
      </c>
      <c r="I163" s="12">
        <f t="shared" si="53"/>
        <v>1.7708907254361803</v>
      </c>
      <c r="J163" s="12">
        <f t="shared" si="54"/>
        <v>2.6563360881542706</v>
      </c>
    </row>
    <row r="164" spans="1:10" s="12" customFormat="1">
      <c r="B164" s="12" t="s">
        <v>232</v>
      </c>
      <c r="D164" s="12">
        <f t="shared" si="48"/>
        <v>8.7221011201937664</v>
      </c>
      <c r="E164" s="12">
        <f t="shared" si="49"/>
        <v>12.617408416590983</v>
      </c>
      <c r="F164" s="12">
        <f t="shared" si="50"/>
        <v>8.0710980966325057</v>
      </c>
      <c r="G164" s="12">
        <f t="shared" si="51"/>
        <v>8.3524594825135061</v>
      </c>
      <c r="H164" s="12">
        <f t="shared" si="52"/>
        <v>12.082684105771966</v>
      </c>
      <c r="I164" s="12">
        <f t="shared" si="53"/>
        <v>3.4352617079889813</v>
      </c>
      <c r="J164" s="12">
        <f t="shared" si="54"/>
        <v>5.159550045913682</v>
      </c>
    </row>
    <row r="165" spans="1:10">
      <c r="A165" s="12"/>
      <c r="B165" s="12" t="s">
        <v>233</v>
      </c>
      <c r="C165" s="12"/>
      <c r="D165" s="12">
        <f t="shared" si="48"/>
        <v>5.1655161973963084</v>
      </c>
      <c r="E165" s="12">
        <f t="shared" si="49"/>
        <v>16.5127157129882</v>
      </c>
      <c r="F165" s="12">
        <f t="shared" si="50"/>
        <v>20.452005856515374</v>
      </c>
      <c r="G165" s="12">
        <f t="shared" si="51"/>
        <v>26.76030707989764</v>
      </c>
      <c r="H165" s="12">
        <f t="shared" si="52"/>
        <v>31.625817458060855</v>
      </c>
      <c r="I165" s="12">
        <f t="shared" si="53"/>
        <v>6.8172635445362726</v>
      </c>
      <c r="J165" s="12">
        <f t="shared" si="54"/>
        <v>11.590679522497705</v>
      </c>
    </row>
    <row r="166" spans="1:10">
      <c r="A166" s="12"/>
      <c r="B166" s="12" t="s">
        <v>234</v>
      </c>
      <c r="C166" s="12"/>
      <c r="D166" s="12">
        <f>D155*100/(L$89*$D$100/K$89)</f>
        <v>11.327868852459016</v>
      </c>
      <c r="E166" s="12">
        <f>E155*100/(L$89*$D$100/K$89)</f>
        <v>41.913114754098359</v>
      </c>
      <c r="F166" s="12">
        <f>F155*100/(L$93*$D$100/K$93)</f>
        <v>24.150552486187845</v>
      </c>
      <c r="G166" s="12">
        <f>G155*100/(L$90*$D$100/K$90)</f>
        <v>31.458083832335326</v>
      </c>
      <c r="H166" s="12">
        <f>H155*100/(L$90*$D$100/K$90)</f>
        <v>47.386227544910177</v>
      </c>
      <c r="I166" s="12">
        <f>I155*100/(L$92*$D$100/K$92)</f>
        <v>8.9704900718208727</v>
      </c>
      <c r="J166" s="12">
        <f>J155*100/(L$92*$D$100/K$92)</f>
        <v>15.248500211237854</v>
      </c>
    </row>
    <row r="168" spans="1:10">
      <c r="A168" s="12" t="s">
        <v>247</v>
      </c>
      <c r="B168" s="12"/>
      <c r="C168" s="12"/>
      <c r="D168" s="12" t="s">
        <v>2</v>
      </c>
      <c r="E168" s="12" t="s">
        <v>3</v>
      </c>
      <c r="F168" s="12" t="s">
        <v>4</v>
      </c>
      <c r="G168" s="12" t="s">
        <v>0</v>
      </c>
      <c r="H168" s="12" t="s">
        <v>1</v>
      </c>
      <c r="I168" s="12" t="s">
        <v>5</v>
      </c>
      <c r="J168" s="12" t="s">
        <v>6</v>
      </c>
    </row>
    <row r="169" spans="1:10">
      <c r="A169" s="12" t="s">
        <v>230</v>
      </c>
      <c r="B169" s="12"/>
      <c r="C169" s="12"/>
      <c r="D169" s="12">
        <f>D158*100/(K$79*$D$100/J$79)</f>
        <v>9.2782319103845019</v>
      </c>
      <c r="E169" s="12">
        <f>E158*100/(K$79*$D$100/J$79)</f>
        <v>21.930366333636091</v>
      </c>
      <c r="F169" s="12">
        <f>F158*100/(K$83*$D$100/J$83)</f>
        <v>36.932942898975099</v>
      </c>
      <c r="G169" s="12">
        <f>G158*100/(K$80*$D$100/J$80)</f>
        <v>42.623542792152392</v>
      </c>
      <c r="H169" s="12">
        <f>H158*100/(K$80*$D$100/J$80)</f>
        <v>50.590560136479965</v>
      </c>
      <c r="I169" s="12">
        <f>I158*100/(K$82*$D$100/J$82)</f>
        <v>11.993087440057138</v>
      </c>
      <c r="J169" s="12">
        <f>J158*100/(K$82*$D$100/J$82)</f>
        <v>20.390916743189468</v>
      </c>
    </row>
    <row r="170" spans="1:10">
      <c r="A170" s="12" t="s">
        <v>231</v>
      </c>
      <c r="B170" s="12"/>
      <c r="C170" s="12"/>
      <c r="D170" s="12">
        <f>D159*100/(K$79*$D$100/J$79)</f>
        <v>8.5191038449894041</v>
      </c>
      <c r="E170" s="12">
        <f>E159*100/(K$79*$D$100/J$79)</f>
        <v>17.712988192552231</v>
      </c>
      <c r="F170" s="12">
        <f>F159*100/(K$83*$D$100/J$83)</f>
        <v>28.114260614934107</v>
      </c>
      <c r="G170" s="12">
        <f>G159*100/(K$80*$D$100/J$80)</f>
        <v>42.623542792152392</v>
      </c>
      <c r="H170" s="12">
        <f>H159*100/(K$80*$D$100/J$80)</f>
        <v>45.411998862667041</v>
      </c>
      <c r="I170" s="12">
        <f>I159*100/(K$82*$D$100/J$82)</f>
        <v>9.4850780532598709</v>
      </c>
      <c r="J170" s="12">
        <f>J159*100/(K$82*$D$100/J$82)</f>
        <v>16.121964595449437</v>
      </c>
    </row>
    <row r="171" spans="1:10">
      <c r="A171" s="12" t="s">
        <v>232</v>
      </c>
      <c r="B171" s="12"/>
      <c r="C171" s="12"/>
      <c r="D171" s="12">
        <f>D160*100/(K$79*$D$100/J$79)</f>
        <v>4.8078110808356049</v>
      </c>
      <c r="E171" s="12">
        <f>E160*100/(K$79*$D$100/J$79)</f>
        <v>13.073872237359978</v>
      </c>
      <c r="F171" s="12">
        <f>F160*100/(K$83*$D$100/J$83)</f>
        <v>28.114260614934107</v>
      </c>
      <c r="G171" s="12">
        <f>G160*100/(K$80*$D$100/J$80)</f>
        <v>30.991697469434172</v>
      </c>
      <c r="H171" s="12">
        <f>H160*100/(K$80*$D$100/J$80)</f>
        <v>45.411998862667041</v>
      </c>
      <c r="I171" s="12">
        <f>I160*100/(K$82*$D$100/J$82)</f>
        <v>9.4850780532598709</v>
      </c>
      <c r="J171" s="12">
        <f>J160*100/(K$82*$D$100/J$82)</f>
        <v>16.121964595449437</v>
      </c>
    </row>
    <row r="172" spans="1:10" s="12" customFormat="1">
      <c r="A172" s="12" t="s">
        <v>233</v>
      </c>
      <c r="D172" s="12">
        <f t="shared" ref="D172:D176" si="55">D161*100/(K$79*$D$100/J$79)</f>
        <v>4.7234635180139257</v>
      </c>
      <c r="E172" s="12">
        <f t="shared" ref="E172:E176" si="56">E161*100/(K$79*$D$100/J$79)</f>
        <v>11.386920980926435</v>
      </c>
      <c r="F172" s="12">
        <f t="shared" ref="F172:F176" si="57">F161*100/(K$83*$D$100/J$83)</f>
        <v>17.561991215226939</v>
      </c>
      <c r="G172" s="12">
        <f t="shared" ref="G172:G176" si="58">G161*100/(K$80*$D$100/J$80)</f>
        <v>19.997213534262162</v>
      </c>
      <c r="H172" s="12">
        <f t="shared" ref="H172:H176" si="59">H161*100/(K$80*$D$100/J$80)</f>
        <v>25.892806369064534</v>
      </c>
      <c r="I172" s="12">
        <f t="shared" ref="I172:I176" si="60">I161*100/(K$82*$D$100/J$82)</f>
        <v>6.0965972859912254</v>
      </c>
      <c r="J172" s="12">
        <f t="shared" ref="J172:J176" si="61">J161*100/(K$82*$D$100/J$82)</f>
        <v>10.365549433731255</v>
      </c>
    </row>
    <row r="173" spans="1:10" s="12" customFormat="1">
      <c r="A173" s="12" t="s">
        <v>234</v>
      </c>
      <c r="D173" s="12">
        <f t="shared" si="55"/>
        <v>6.7478050257341824</v>
      </c>
      <c r="E173" s="12">
        <f t="shared" si="56"/>
        <v>12.65213442325159</v>
      </c>
      <c r="F173" s="12">
        <f t="shared" si="57"/>
        <v>6.0298682284041014</v>
      </c>
      <c r="G173" s="12">
        <f t="shared" si="58"/>
        <v>8.2856980381006551</v>
      </c>
      <c r="H173" s="12">
        <f t="shared" si="59"/>
        <v>11.950526016491329</v>
      </c>
      <c r="I173" s="12">
        <f t="shared" si="60"/>
        <v>3.0216176920722368</v>
      </c>
      <c r="J173" s="12">
        <f t="shared" si="61"/>
        <v>5.1360830527497194</v>
      </c>
    </row>
    <row r="174" spans="1:10" s="12" customFormat="1">
      <c r="A174" s="12" t="s">
        <v>235</v>
      </c>
      <c r="B174" s="12" t="s">
        <v>231</v>
      </c>
      <c r="D174" s="12">
        <f t="shared" si="55"/>
        <v>4.5547683923705735</v>
      </c>
      <c r="E174" s="12">
        <f t="shared" si="56"/>
        <v>6.7478050257341824</v>
      </c>
      <c r="F174" s="12">
        <f t="shared" si="57"/>
        <v>4.0701610541727655</v>
      </c>
      <c r="G174" s="12">
        <f t="shared" si="58"/>
        <v>4.3021893659368784</v>
      </c>
      <c r="H174" s="12">
        <f t="shared" si="59"/>
        <v>6.3736138754620431</v>
      </c>
      <c r="I174" s="12">
        <f t="shared" si="60"/>
        <v>1.7742832364044492</v>
      </c>
      <c r="J174" s="12">
        <f t="shared" si="61"/>
        <v>2.6614248546066737</v>
      </c>
    </row>
    <row r="175" spans="1:10" s="12" customFormat="1">
      <c r="B175" s="12" t="s">
        <v>232</v>
      </c>
      <c r="D175" s="12">
        <f t="shared" si="55"/>
        <v>8.6877989706327607</v>
      </c>
      <c r="E175" s="12">
        <f t="shared" si="56"/>
        <v>12.567786860429917</v>
      </c>
      <c r="F175" s="12">
        <f t="shared" si="57"/>
        <v>7.7634553440702785</v>
      </c>
      <c r="G175" s="12">
        <f t="shared" si="58"/>
        <v>8.2060278646573774</v>
      </c>
      <c r="H175" s="12">
        <f t="shared" si="59"/>
        <v>11.870855843048053</v>
      </c>
      <c r="I175" s="12">
        <f t="shared" si="60"/>
        <v>3.4418426691153972</v>
      </c>
      <c r="J175" s="12">
        <f t="shared" si="61"/>
        <v>5.1694342414039376</v>
      </c>
    </row>
    <row r="176" spans="1:10">
      <c r="A176" s="12"/>
      <c r="B176" s="12" t="s">
        <v>233</v>
      </c>
      <c r="C176" s="12"/>
      <c r="D176" s="12">
        <f t="shared" si="55"/>
        <v>5.1452013321223156</v>
      </c>
      <c r="E176" s="12">
        <f t="shared" si="56"/>
        <v>16.447774750227072</v>
      </c>
      <c r="F176" s="12">
        <f t="shared" si="57"/>
        <v>19.672445095168371</v>
      </c>
      <c r="G176" s="12">
        <f t="shared" si="58"/>
        <v>26.291157236280917</v>
      </c>
      <c r="H176" s="12">
        <f t="shared" si="59"/>
        <v>31.071367642877458</v>
      </c>
      <c r="I176" s="12">
        <f t="shared" si="60"/>
        <v>6.8303234363840435</v>
      </c>
      <c r="J176" s="12">
        <f t="shared" si="61"/>
        <v>11.612883889399043</v>
      </c>
    </row>
    <row r="177" spans="1:10">
      <c r="A177" s="12"/>
      <c r="B177" s="12" t="s">
        <v>234</v>
      </c>
      <c r="C177" s="12"/>
      <c r="D177" s="12">
        <f>D166*100/(K$89*$D$100/J$89)</f>
        <v>11.049180327868855</v>
      </c>
      <c r="E177" s="12">
        <f>E166*100/(K$89*$D$100/J$89)</f>
        <v>40.881967213114763</v>
      </c>
      <c r="F177" s="12">
        <f>F166*100/(K$93*$D$100/J$93)</f>
        <v>22.480662983425415</v>
      </c>
      <c r="G177" s="12">
        <f>G166*100/(K$90*$D$100/J$90)</f>
        <v>31.268862275449099</v>
      </c>
      <c r="H177" s="12">
        <f>H166*100/(K$90*$D$100/J$90)</f>
        <v>47.101197604790414</v>
      </c>
      <c r="I177" s="12">
        <f>I166*100/(K$92*$D$100/J$92)</f>
        <v>8.9775982256020299</v>
      </c>
      <c r="J177" s="12">
        <f>J166*100/(K$92*$D$100/J$92)</f>
        <v>15.260583016476552</v>
      </c>
    </row>
    <row r="181" spans="1:10">
      <c r="A181" t="s">
        <v>102</v>
      </c>
    </row>
    <row r="184" spans="1:10">
      <c r="A184" s="12" t="s">
        <v>97</v>
      </c>
      <c r="B184" s="12"/>
      <c r="C184" s="12">
        <v>2009</v>
      </c>
      <c r="D184" s="12">
        <v>2010</v>
      </c>
      <c r="E184" s="12">
        <v>2011</v>
      </c>
      <c r="F184" s="12">
        <v>2012</v>
      </c>
      <c r="G184" s="12">
        <v>2013</v>
      </c>
      <c r="H184" s="12">
        <v>2014</v>
      </c>
      <c r="I184" s="12">
        <v>2015</v>
      </c>
    </row>
    <row r="185" spans="1:10">
      <c r="A185" s="12" t="s">
        <v>230</v>
      </c>
      <c r="B185" s="12"/>
      <c r="C185" s="12">
        <f>$I$75*I169 +$J$75*J169</f>
        <v>13.252761835526988</v>
      </c>
      <c r="D185" s="12">
        <f>$I$75*I158 +$J$75*J158</f>
        <v>13.227421946740128</v>
      </c>
      <c r="E185" s="12">
        <f>$I$75*I147 +$J$75*J147</f>
        <v>14.007890521375366</v>
      </c>
      <c r="F185" s="12">
        <f>$I$75*I136 +$J$75*J136</f>
        <v>14.864378762371185</v>
      </c>
      <c r="G185" s="12">
        <f>$I$75*I125 +$J$75*J125</f>
        <v>15.533351826344246</v>
      </c>
      <c r="H185" s="12">
        <f>$I$75*I114 +$J$75*J114</f>
        <v>16.014809713294557</v>
      </c>
      <c r="I185" s="12">
        <f>$I$75*I103 +$J$75*J103</f>
        <v>16.425315911641668</v>
      </c>
    </row>
    <row r="186" spans="1:10">
      <c r="A186" s="12" t="s">
        <v>231</v>
      </c>
      <c r="B186" s="12"/>
      <c r="C186" s="12">
        <f t="shared" ref="C186:C191" si="62">$I$75*I170 +$J$75*J170</f>
        <v>10.480611034588305</v>
      </c>
      <c r="D186" s="12">
        <f t="shared" ref="D186:D193" si="63">$I$75*I159 +$J$75*J159</f>
        <v>10.46057162534435</v>
      </c>
      <c r="E186" s="12">
        <f t="shared" ref="E186:E193" si="64">$I$75*I148 +$J$75*J148</f>
        <v>11.077785430058155</v>
      </c>
      <c r="F186" s="12">
        <f t="shared" ref="F186:F193" si="65">$I$75*I137 +$J$75*J137</f>
        <v>11.755117462503824</v>
      </c>
      <c r="G186" s="12">
        <f t="shared" ref="G186:G193" si="66">$I$75*I126 +$J$75*J126</f>
        <v>12.284157866544227</v>
      </c>
      <c r="H186" s="12">
        <f t="shared" ref="H186:H193" si="67">$I$75*I115 +$J$75*J115</f>
        <v>12.664906642179364</v>
      </c>
      <c r="I186" s="12">
        <f t="shared" ref="I186:I193" si="68">$I$75*I104 +$J$75*J104</f>
        <v>12.989545071931433</v>
      </c>
    </row>
    <row r="187" spans="1:10">
      <c r="A187" s="12" t="s">
        <v>232</v>
      </c>
      <c r="B187" s="12"/>
      <c r="C187" s="12">
        <f t="shared" si="62"/>
        <v>10.480611034588305</v>
      </c>
      <c r="D187" s="12">
        <f t="shared" si="63"/>
        <v>10.46057162534435</v>
      </c>
      <c r="E187" s="12">
        <f t="shared" si="64"/>
        <v>11.077785430058155</v>
      </c>
      <c r="F187" s="12">
        <f t="shared" si="65"/>
        <v>11.755117462503824</v>
      </c>
      <c r="G187" s="12">
        <f t="shared" si="66"/>
        <v>12.284157866544227</v>
      </c>
      <c r="H187" s="12">
        <f t="shared" si="67"/>
        <v>12.664906642179364</v>
      </c>
      <c r="I187" s="12">
        <f t="shared" si="68"/>
        <v>12.989545071931433</v>
      </c>
    </row>
    <row r="188" spans="1:10">
      <c r="A188" s="12" t="s">
        <v>233</v>
      </c>
      <c r="B188" s="12"/>
      <c r="C188" s="12">
        <f t="shared" si="62"/>
        <v>6.73694010815223</v>
      </c>
      <c r="D188" s="12">
        <f t="shared" si="63"/>
        <v>6.7240587695133147</v>
      </c>
      <c r="E188" s="12">
        <f t="shared" si="64"/>
        <v>7.1208039995918764</v>
      </c>
      <c r="F188" s="12">
        <f t="shared" si="65"/>
        <v>7.556193245587183</v>
      </c>
      <c r="G188" s="12">
        <f t="shared" si="66"/>
        <v>7.896260585654522</v>
      </c>
      <c r="H188" s="12">
        <f t="shared" si="67"/>
        <v>8.1410060197938954</v>
      </c>
      <c r="I188" s="12">
        <f t="shared" si="68"/>
        <v>8.3496837057443098</v>
      </c>
    </row>
    <row r="189" spans="1:10" s="12" customFormat="1">
      <c r="A189" s="12" t="s">
        <v>234</v>
      </c>
      <c r="C189" s="12">
        <f t="shared" si="62"/>
        <v>3.3387874961738593</v>
      </c>
      <c r="D189" s="12">
        <f t="shared" si="63"/>
        <v>3.3324035812672168</v>
      </c>
      <c r="E189" s="12">
        <f>$I$75*I151 +$J$75*J151</f>
        <v>3.5290281603917952</v>
      </c>
      <c r="F189" s="12">
        <f t="shared" si="65"/>
        <v>3.7448044842363015</v>
      </c>
      <c r="G189" s="12">
        <f t="shared" si="66"/>
        <v>3.9133398377716548</v>
      </c>
      <c r="H189" s="12">
        <f t="shared" si="67"/>
        <v>4.0346342209978561</v>
      </c>
      <c r="I189" s="12">
        <f t="shared" si="68"/>
        <v>4.1380536424854606</v>
      </c>
    </row>
    <row r="190" spans="1:10" s="12" customFormat="1">
      <c r="A190" s="12" t="s">
        <v>235</v>
      </c>
      <c r="B190" s="12" t="s">
        <v>231</v>
      </c>
      <c r="C190" s="12">
        <f>$I$75*I174 +$J$75*J174</f>
        <v>1.907354479134783</v>
      </c>
      <c r="D190" s="12">
        <f t="shared" si="63"/>
        <v>1.9037075298438937</v>
      </c>
      <c r="E190" s="12">
        <f t="shared" si="64"/>
        <v>2.0160335680032651</v>
      </c>
      <c r="F190" s="12">
        <f t="shared" si="65"/>
        <v>2.1393004540353027</v>
      </c>
      <c r="G190" s="12">
        <f t="shared" si="66"/>
        <v>2.235579915314764</v>
      </c>
      <c r="H190" s="12">
        <f t="shared" si="67"/>
        <v>2.3048719518416485</v>
      </c>
      <c r="I190" s="12">
        <f t="shared" si="68"/>
        <v>2.3639525303540454</v>
      </c>
    </row>
    <row r="191" spans="1:10" s="12" customFormat="1">
      <c r="B191" s="12" t="s">
        <v>232</v>
      </c>
      <c r="C191" s="12">
        <f t="shared" si="62"/>
        <v>3.7009814049586782</v>
      </c>
      <c r="D191" s="12">
        <f>$I$75*I164 +$J$75*J164</f>
        <v>3.6939049586776864</v>
      </c>
      <c r="E191" s="12">
        <f t="shared" si="64"/>
        <v>3.9118595041322313</v>
      </c>
      <c r="F191" s="12">
        <f t="shared" si="65"/>
        <v>4.151043388429752</v>
      </c>
      <c r="G191" s="12">
        <f t="shared" si="66"/>
        <v>4.3378615702479335</v>
      </c>
      <c r="H191" s="12">
        <f t="shared" si="67"/>
        <v>4.4723140495867764</v>
      </c>
      <c r="I191" s="12">
        <f t="shared" si="68"/>
        <v>4.5869524793388425</v>
      </c>
    </row>
    <row r="192" spans="1:10">
      <c r="A192" s="12"/>
      <c r="B192" s="12" t="s">
        <v>233</v>
      </c>
      <c r="C192" s="12">
        <f>$I$75*I176 +$J$75*J176</f>
        <v>7.5477075043362936</v>
      </c>
      <c r="D192" s="12">
        <f t="shared" si="63"/>
        <v>7.533275941230487</v>
      </c>
      <c r="E192" s="12">
        <f t="shared" si="64"/>
        <v>7.9777680848892958</v>
      </c>
      <c r="F192" s="12">
        <f t="shared" si="65"/>
        <v>8.4655549178655232</v>
      </c>
      <c r="G192" s="12">
        <f t="shared" si="66"/>
        <v>8.8465481838587898</v>
      </c>
      <c r="H192" s="12">
        <f t="shared" si="67"/>
        <v>9.1207478828690931</v>
      </c>
      <c r="I192" s="12">
        <f t="shared" si="68"/>
        <v>9.3545392051831442</v>
      </c>
    </row>
    <row r="193" spans="1:11">
      <c r="A193" s="12"/>
      <c r="B193" s="12" t="s">
        <v>234</v>
      </c>
      <c r="C193" s="12">
        <f>$I$75*I177 +$J$75*J177</f>
        <v>9.920045944233209</v>
      </c>
      <c r="D193" s="12">
        <f t="shared" si="63"/>
        <v>9.9121915927334197</v>
      </c>
      <c r="E193" s="12">
        <f t="shared" si="64"/>
        <v>10.485559252217998</v>
      </c>
      <c r="F193" s="12">
        <f t="shared" si="65"/>
        <v>11.145324778200255</v>
      </c>
      <c r="G193" s="12">
        <f t="shared" si="66"/>
        <v>11.640148922686944</v>
      </c>
      <c r="H193" s="12">
        <f t="shared" si="67"/>
        <v>11.977886037177861</v>
      </c>
      <c r="I193" s="12">
        <f t="shared" si="68"/>
        <v>12.284205745669624</v>
      </c>
    </row>
    <row r="195" spans="1:11">
      <c r="E195" s="12"/>
      <c r="F195" s="12"/>
      <c r="G195" s="12"/>
      <c r="H195" s="12"/>
    </row>
    <row r="196" spans="1:11" s="12" customFormat="1"/>
    <row r="197" spans="1:11">
      <c r="A197" s="12" t="s">
        <v>98</v>
      </c>
      <c r="B197" s="12"/>
      <c r="C197" s="12">
        <v>2009</v>
      </c>
      <c r="D197" s="12">
        <v>2010</v>
      </c>
      <c r="E197" s="12">
        <v>2011</v>
      </c>
      <c r="F197" s="12">
        <v>2012</v>
      </c>
      <c r="G197" s="12">
        <v>2013</v>
      </c>
      <c r="H197" s="12">
        <v>2014</v>
      </c>
      <c r="I197" s="12">
        <v>2015</v>
      </c>
      <c r="J197" s="12"/>
      <c r="K197" s="12"/>
    </row>
    <row r="198" spans="1:11">
      <c r="A198" s="12" t="s">
        <v>230</v>
      </c>
      <c r="B198" s="12"/>
      <c r="C198" s="12">
        <f>$I$75*G169 +$J$75*H169</f>
        <v>43.81859539380153</v>
      </c>
      <c r="D198" s="12">
        <f>$I$75*G158 +$J$75*H158</f>
        <v>44.600511799829398</v>
      </c>
      <c r="E198" s="12">
        <f>$I$75*G147 +$J$75*H147</f>
        <v>47.149559283480237</v>
      </c>
      <c r="F198" s="12">
        <f>$I$75*G136 +$J$75*H136</f>
        <v>50.167756610747794</v>
      </c>
      <c r="G198" s="12">
        <f>$I$75*G125 +$J$75*H125</f>
        <v>52.153824282058572</v>
      </c>
      <c r="H198" s="12">
        <f>$I$75*G114 +$J$75*H114</f>
        <v>53.545635484788171</v>
      </c>
      <c r="I198" s="12">
        <f>$I$75*G103 +$J$75*H103</f>
        <v>54.437020187659947</v>
      </c>
      <c r="J198" s="12"/>
      <c r="K198" s="12"/>
    </row>
    <row r="199" spans="1:11">
      <c r="A199" s="12" t="s">
        <v>231</v>
      </c>
      <c r="B199" s="12"/>
      <c r="C199" s="12">
        <f t="shared" ref="C199:C206" si="69">$I$75*G170 +$J$75*H170</f>
        <v>43.04181120272959</v>
      </c>
      <c r="D199" s="12">
        <f t="shared" ref="D199:D206" si="70">$I$75*G159 +$J$75*H159</f>
        <v>43.809866363377871</v>
      </c>
      <c r="E199" s="12">
        <f t="shared" ref="E199:E206" si="71">$I$75*G148 +$J$75*H148</f>
        <v>46.31372618709127</v>
      </c>
      <c r="F199" s="12">
        <f t="shared" ref="F199:F206" si="72">$I$75*G137 +$J$75*H137</f>
        <v>49.278419107193628</v>
      </c>
      <c r="G199" s="12">
        <f t="shared" ref="G199:G206" si="73">$I$75*G126 +$J$75*H126</f>
        <v>51.229279215240261</v>
      </c>
      <c r="H199" s="12">
        <f t="shared" ref="H199:H206" si="74">$I$75*G115 +$J$75*H115</f>
        <v>52.596417401194195</v>
      </c>
      <c r="I199" s="12">
        <f t="shared" ref="I199:I206" si="75">$I$75*G104 +$J$75*H104</f>
        <v>53.472000284333248</v>
      </c>
      <c r="J199" s="12"/>
      <c r="K199" s="12"/>
    </row>
    <row r="200" spans="1:11">
      <c r="A200" s="12" t="s">
        <v>232</v>
      </c>
      <c r="B200" s="12"/>
      <c r="C200" s="12">
        <f t="shared" si="69"/>
        <v>33.154742678419105</v>
      </c>
      <c r="D200" s="12">
        <f t="shared" si="70"/>
        <v>33.746369064543643</v>
      </c>
      <c r="E200" s="12">
        <f t="shared" si="71"/>
        <v>35.675071083309639</v>
      </c>
      <c r="F200" s="12">
        <f t="shared" si="72"/>
        <v>37.958748933750357</v>
      </c>
      <c r="G200" s="12">
        <f t="shared" si="73"/>
        <v>39.461479954506672</v>
      </c>
      <c r="H200" s="12">
        <f t="shared" si="74"/>
        <v>40.514574921808347</v>
      </c>
      <c r="I200" s="12">
        <f t="shared" si="75"/>
        <v>41.189029001990335</v>
      </c>
      <c r="J200" s="12"/>
      <c r="K200" s="12"/>
    </row>
    <row r="201" spans="1:11">
      <c r="A201" s="12" t="s">
        <v>233</v>
      </c>
      <c r="B201" s="12"/>
      <c r="C201" s="12">
        <f t="shared" si="69"/>
        <v>20.881552459482517</v>
      </c>
      <c r="D201" s="12">
        <f t="shared" si="70"/>
        <v>21.254171168609616</v>
      </c>
      <c r="E201" s="12">
        <f t="shared" si="71"/>
        <v>22.468908160363952</v>
      </c>
      <c r="F201" s="12">
        <f t="shared" si="72"/>
        <v>23.907216377594544</v>
      </c>
      <c r="G201" s="12">
        <f t="shared" si="73"/>
        <v>24.85366789877737</v>
      </c>
      <c r="H201" s="12">
        <f t="shared" si="74"/>
        <v>25.516929201023601</v>
      </c>
      <c r="I201" s="12">
        <f t="shared" si="75"/>
        <v>25.941714529428491</v>
      </c>
      <c r="J201" s="12"/>
      <c r="K201" s="12"/>
    </row>
    <row r="202" spans="1:11" s="12" customFormat="1">
      <c r="A202" s="12" t="s">
        <v>234</v>
      </c>
      <c r="C202" s="12">
        <f t="shared" si="69"/>
        <v>8.8354222348592568</v>
      </c>
      <c r="D202" s="12">
        <f t="shared" si="70"/>
        <v>8.9930850156383286</v>
      </c>
      <c r="E202" s="12">
        <f t="shared" si="71"/>
        <v>9.5070656809781067</v>
      </c>
      <c r="F202" s="12">
        <f t="shared" si="72"/>
        <v>10.115644014785328</v>
      </c>
      <c r="G202" s="12">
        <f t="shared" si="73"/>
        <v>10.516107477964173</v>
      </c>
      <c r="H202" s="12">
        <f t="shared" si="74"/>
        <v>10.796747227750922</v>
      </c>
      <c r="I202" s="12">
        <f t="shared" si="75"/>
        <v>10.976482797839067</v>
      </c>
    </row>
    <row r="203" spans="1:11" s="12" customFormat="1">
      <c r="A203" s="12" t="s">
        <v>235</v>
      </c>
      <c r="B203" s="12" t="s">
        <v>231</v>
      </c>
      <c r="C203" s="12">
        <f t="shared" si="69"/>
        <v>4.6129030423656534</v>
      </c>
      <c r="D203" s="12">
        <f t="shared" si="70"/>
        <v>4.6952175149274957</v>
      </c>
      <c r="E203" s="12">
        <f t="shared" si="71"/>
        <v>4.9635626954791032</v>
      </c>
      <c r="F203" s="12">
        <f t="shared" si="72"/>
        <v>5.2812965595678136</v>
      </c>
      <c r="G203" s="12">
        <f t="shared" si="73"/>
        <v>5.4903753198748939</v>
      </c>
      <c r="H203" s="12">
        <f t="shared" si="74"/>
        <v>5.6368950810349734</v>
      </c>
      <c r="I203" s="12">
        <f t="shared" si="75"/>
        <v>5.7307335797554746</v>
      </c>
    </row>
    <row r="204" spans="1:11" s="12" customFormat="1">
      <c r="B204" s="12" t="s">
        <v>232</v>
      </c>
      <c r="C204" s="12">
        <f t="shared" si="69"/>
        <v>8.7557520614159792</v>
      </c>
      <c r="D204" s="12">
        <f t="shared" si="70"/>
        <v>8.9119931760022748</v>
      </c>
      <c r="E204" s="12">
        <f t="shared" si="71"/>
        <v>9.4213392095535973</v>
      </c>
      <c r="F204" s="12">
        <f t="shared" si="72"/>
        <v>10.024429911856696</v>
      </c>
      <c r="G204" s="12">
        <f t="shared" si="73"/>
        <v>10.421282342905887</v>
      </c>
      <c r="H204" s="12">
        <f t="shared" si="74"/>
        <v>10.699391526869491</v>
      </c>
      <c r="I204" s="12">
        <f t="shared" si="75"/>
        <v>10.877506397497868</v>
      </c>
    </row>
    <row r="205" spans="1:11">
      <c r="A205" s="12"/>
      <c r="B205" s="12" t="s">
        <v>233</v>
      </c>
      <c r="C205" s="12">
        <f t="shared" si="69"/>
        <v>27.0081887972704</v>
      </c>
      <c r="D205" s="12">
        <f t="shared" si="70"/>
        <v>27.490133636622119</v>
      </c>
      <c r="E205" s="12">
        <f t="shared" si="71"/>
        <v>29.061273812908734</v>
      </c>
      <c r="F205" s="12">
        <f t="shared" si="72"/>
        <v>30.921580892806375</v>
      </c>
      <c r="G205" s="12">
        <f t="shared" si="73"/>
        <v>32.145720784759739</v>
      </c>
      <c r="H205" s="12">
        <f t="shared" si="74"/>
        <v>33.003582598805799</v>
      </c>
      <c r="I205" s="12">
        <f t="shared" si="75"/>
        <v>33.552999715666765</v>
      </c>
      <c r="J205" s="12"/>
      <c r="K205" s="12"/>
    </row>
    <row r="206" spans="1:11">
      <c r="A206" s="12"/>
      <c r="B206" s="12" t="s">
        <v>234</v>
      </c>
      <c r="C206" s="12">
        <f t="shared" si="69"/>
        <v>33.643712574850298</v>
      </c>
      <c r="D206" s="12">
        <f t="shared" si="70"/>
        <v>33.847305389221553</v>
      </c>
      <c r="E206" s="12">
        <f t="shared" si="71"/>
        <v>35.908682634730532</v>
      </c>
      <c r="F206" s="12">
        <f t="shared" si="72"/>
        <v>38.275449101796411</v>
      </c>
      <c r="G206" s="12">
        <f t="shared" si="73"/>
        <v>39.980538922155688</v>
      </c>
      <c r="H206" s="12">
        <f t="shared" si="74"/>
        <v>41.023952095808383</v>
      </c>
      <c r="I206" s="12">
        <f t="shared" si="75"/>
        <v>41.965568862275447</v>
      </c>
      <c r="J206" s="12"/>
      <c r="K206" s="12"/>
    </row>
    <row r="207" spans="1:11" s="12" customFormat="1"/>
    <row r="208" spans="1:11">
      <c r="A208" s="12" t="s">
        <v>104</v>
      </c>
      <c r="B208" s="12"/>
      <c r="C208" s="12"/>
      <c r="D208" s="12" t="s">
        <v>105</v>
      </c>
      <c r="E208" s="12"/>
      <c r="F208" s="12"/>
      <c r="G208" s="12"/>
      <c r="H208" s="12"/>
      <c r="I208" s="12"/>
      <c r="J208" s="12"/>
      <c r="K208" s="12"/>
    </row>
    <row r="209" spans="1:67">
      <c r="A209" s="2">
        <f>25%*Variables!E27</f>
        <v>0.25</v>
      </c>
      <c r="B209" s="12"/>
      <c r="C209" s="12"/>
      <c r="D209" s="2">
        <f>33%*Variables!E28</f>
        <v>0.30000003000000003</v>
      </c>
      <c r="E209" s="2">
        <f>33%*Variables!E28</f>
        <v>0.30000003000000003</v>
      </c>
      <c r="F209" s="12"/>
      <c r="G209" s="12"/>
      <c r="H209" s="12"/>
      <c r="I209" s="12"/>
      <c r="J209" s="12"/>
      <c r="K209" s="12"/>
    </row>
    <row r="210" spans="1:67">
      <c r="A210" s="2">
        <f>100% - A209</f>
        <v>0.75</v>
      </c>
      <c r="B210" s="12"/>
      <c r="C210" s="12"/>
      <c r="D210" s="8">
        <f>100% - D209</f>
        <v>0.69999996999999992</v>
      </c>
      <c r="E210" s="12"/>
      <c r="F210" s="12"/>
      <c r="G210" s="12"/>
      <c r="H210" s="12"/>
      <c r="I210" s="12"/>
      <c r="J210" s="12"/>
      <c r="K210" s="12"/>
    </row>
    <row r="211" spans="1:67">
      <c r="A211" s="12" t="s">
        <v>101</v>
      </c>
      <c r="B211" s="12"/>
      <c r="C211" s="12">
        <v>2009</v>
      </c>
      <c r="D211" s="12">
        <v>2010</v>
      </c>
      <c r="E211" s="12">
        <v>2011</v>
      </c>
      <c r="F211" s="12">
        <v>2012</v>
      </c>
      <c r="G211" s="12">
        <v>2013</v>
      </c>
      <c r="H211" s="12">
        <v>2014</v>
      </c>
      <c r="I211" s="12">
        <v>2015</v>
      </c>
      <c r="J211" s="12"/>
      <c r="K211" s="12"/>
    </row>
    <row r="212" spans="1:67">
      <c r="A212" s="12" t="s">
        <v>230</v>
      </c>
      <c r="B212" s="12"/>
      <c r="C212" s="12">
        <f>((E58+H58)/(E58+G58+H58)*D169 + (G58)/(E58+G58+H58)*F169)*$A$210 + ((E58+H58)/(E58+G58+H58)*D169 + (G58)/(E58+G58+H58)*F169)*$A$209*$D$210</f>
        <v>31.214769377760227</v>
      </c>
      <c r="D212" s="12">
        <f>((E58+H58)/(E58+G58+H58)*D158 + (G58)/(E58+G58+H58)*F158)*$A$210 + ((E58+H58)/(E58+G58+H58)*D158 + (G58)/(E58+G58+H58)*F158)*$A$209*$D$210</f>
        <v>32.416427378764197</v>
      </c>
      <c r="E212" s="12">
        <f>((E59+H59)/(E59+G59+H59)*D147 + (G59)/(E59+G59+H59)*F147)*$A$210 + ((E59+H59)/(E59+G59+H59)*D147 + (G59)/(E59+G59+H59)*F147)*$A$209*$D$210</f>
        <v>33.035389351426439</v>
      </c>
      <c r="F212" s="12">
        <f>((E60+H60)/(E60+G60+H60)*D136 + (G60)/(E60+G60+H60)*F136)*$A$210 + ((E60+H60)/(E60+G60+H60)*D136 + (G60)/(E60+G60+H60)*F136)*$A$209*$D$210</f>
        <v>34.821992058876617</v>
      </c>
      <c r="G212" s="12">
        <f>((E61+H61)/(E61+G61+H61)*D125 + (G61)/(E61+G61+H61)*F125)*$A$210 + ((E61+H61)/(E61+G61+H61)*D125 + (G61)/(E61+G61+H61)*F125)*$A$209*$D$210</f>
        <v>37.199899075934823</v>
      </c>
      <c r="H212" s="12">
        <f>((E62+H62)/(E62+G62+H62)*D114 + (G62)/(E62+G62+H62)*F114)*$A$210 + ((E62+H62)/(E62+G62+H62)*D114 + (G62)/(E62+G62+H62)*F114)*$A$209*$D$210</f>
        <v>38.845885868056762</v>
      </c>
      <c r="I212" s="12"/>
      <c r="J212" s="12"/>
      <c r="K212" s="12"/>
    </row>
    <row r="213" spans="1:67">
      <c r="A213" s="12" t="s">
        <v>231</v>
      </c>
      <c r="B213" s="12"/>
      <c r="C213" s="12">
        <f>((E58+H58)/(E58+G58+H58)*D170 + (G58)/(E58+G58+H58)*F170)*$A$210 + ((E58+H58)/(E58+G58+H58)*D170 + (G58)/(E58+G58+H58)*F170)*$A$209*$D$210</f>
        <v>23.916698109997345</v>
      </c>
      <c r="D213" s="12">
        <f>((E58+H58)/(E58+G58+H58)*D159 + (G58)/(E58+G58+H58)*F159)*$A$210 + ((E58+H58)/(E58+G58+H58)*D159 + (G58)/(E58+G58+H58)*F159)*$A$209*$D$210</f>
        <v>24.832042589115403</v>
      </c>
      <c r="E213" s="12">
        <f>((E59+H59)/(E59+G59+H59)*D148 + (G59)/(E59+G59+H59)*F148)*$A$210 + ((E59+H59)/(E59+G59+H59)*D148 + (G59)/(E59+G59+H59)*F148)*$A$209*$D$210</f>
        <v>25.350135457576808</v>
      </c>
      <c r="F213" s="12">
        <f>((E60+H60)/(E60+G60+H60)*D137 + (G60)/(E60+G60+H60)*F137)*$A$210 + ((E60+H60)/(E60+G60+H60)*D137 + (G60)/(E60+G60+H60)*F137)*$A$209*$D$210</f>
        <v>26.746805382061787</v>
      </c>
      <c r="G213" s="12">
        <f>((E61+H61)/(E61+G61+H61)*D126 + (G61)/(E61+G61+H61)*F126)*$A$210 + ((E61+H61)/(E61+G61+H61)*D126 + (G61)/(E61+G61+H61)*F126)*$A$209*$D$210</f>
        <v>28.548486151591543</v>
      </c>
      <c r="H213" s="12">
        <f>((E62+H62)/(E62+G62+H62)*D115 + (G62)/(E62+G62+H62)*F115)*$A$210 + ((E62+H62)/(E62+G62+H62)*D115 + (G62)/(E62+G62+H62)*F115)*$A$209*$D$210</f>
        <v>29.79728669046149</v>
      </c>
      <c r="I213" s="12"/>
      <c r="J213" s="12"/>
      <c r="K213" s="12"/>
    </row>
    <row r="214" spans="1:67">
      <c r="A214" s="12" t="s">
        <v>232</v>
      </c>
      <c r="B214" s="12"/>
      <c r="C214" s="12">
        <f>((E58+H58)/(E58+G58+H58)*D171 + (G58)/(E58+G58+H58)*F171)*$A$210 + ((E58+H58)/(E58+G58+H58)*D171 + (G58)/(E58+G58+H58)*F171)*$A$209*$D$210</f>
        <v>23.521046074094055</v>
      </c>
      <c r="D214" s="12">
        <f>((E58+H58)/(E58+G58+H58)*D160 + (G58)/(E58+G58+H58)*F160)*$A$210 + ((E58+H58)/(E58+G58+H58)*D160 + (G58)/(E58+G58+H58)*F160)*$A$209*$D$210</f>
        <v>24.434828395137842</v>
      </c>
      <c r="E214" s="12">
        <f>((E59+H59)/(E59+G59+H59)*D149 + (G59)/(E59+G59+H59)*F149)*$A$210 + ((E59+H59)/(E59+G59+H59)*D149 + (G59)/(E59+G59+H59)*F149)*$A$209*$D$210</f>
        <v>24.833337534439071</v>
      </c>
      <c r="F214" s="12">
        <f>((E60+H60)/(E60+G60+H60)*D138 + (G60)/(E60+G60+H60)*F138)*$A$210 + ((E60+H60)/(E60+G60+H60)*D138 + (G60)/(E60+G60+H60)*F138)*$A$209*$D$210</f>
        <v>26.136570114098529</v>
      </c>
      <c r="G214" s="12">
        <f>((E61+H61)/(E61+G61+H61)*D127 + (G61)/(E61+G61+H61)*F127)*$A$210 + ((E61+H61)/(E61+G61+H61)*D127 + (G61)/(E61+G61+H61)*F127)*$A$209*$D$210</f>
        <v>27.959760644018093</v>
      </c>
      <c r="H214" s="12">
        <f>((E62+H62)/(E62+G62+H62)*D116 + (G62)/(E62+G62+H62)*F116)*$A$210 + ((E62+H62)/(E62+G62+H62)*D116 + (G62)/(E62+G62+H62)*F116)*$A$209*$D$210</f>
        <v>29.21917532169055</v>
      </c>
      <c r="I214" s="12"/>
      <c r="J214" s="12"/>
      <c r="K214" s="12"/>
    </row>
    <row r="215" spans="1:67">
      <c r="A215" s="12" t="s">
        <v>233</v>
      </c>
      <c r="B215" s="12"/>
      <c r="C215" s="12">
        <f>((E58+H58)/(E58+G58+H58)*D172 + (G58)/(E58+G58+H58)*F172)*$A$210 + ((E58+H58)/(E58+G58+H58)*D172 + (G58)/(E58+G58+H58)*F172)*$A$209*$D$210</f>
        <v>14.876157042939839</v>
      </c>
      <c r="D215" s="12">
        <f>((E58+H58)/(E58+G58+H58)*D161 + (G58)/(E58+G58+H58)*F161)*$A$210 + ((E58+H58)/(E58+G58+H58)*D161 + (G58)/(E58+G58+H58)*F161)*$A$209*$D$210</f>
        <v>15.447688830157233</v>
      </c>
      <c r="E215" s="12">
        <f>((E59+H59)/(E59+G59+H59)*D150 + (G59)/(E59+G59+H59)*F150)*$A$210 + ((E59+H59)/(E59+G59+H59)*D150 + (G59)/(E59+G59+H59)*F150)*$A$209*$D$210</f>
        <v>15.752050828928713</v>
      </c>
      <c r="F215" s="12">
        <f>((E60+H60)/(E60+G60+H60)*D139 + (G60)/(E60+G60+H60)*F139)*$A$210 + ((E60+H60)/(E60+G60+H60)*D139 + (G60)/(E60+G60+H60)*F139)*$A$209*$D$210</f>
        <v>16.609442876744737</v>
      </c>
      <c r="G215" s="12">
        <f>((E61+H61)/(E61+G61+H61)*D128 + (G61)/(E61+G61+H61)*F128)*$A$210 + ((E61+H61)/(E61+G61+H61)*D128 + (G61)/(E61+G61+H61)*F128)*$A$209*$D$210</f>
        <v>17.738356145417058</v>
      </c>
      <c r="H215" s="12">
        <f>((E62+H62)/(E62+G62+H62)*D117 + (G62)/(E62+G62+H62)*F117)*$A$210 + ((E62+H62)/(E62+G62+H62)*D117 + (G62)/(E62+G62+H62)*F117)*$A$209*$D$210</f>
        <v>18.520148585194494</v>
      </c>
      <c r="I215" s="12"/>
      <c r="J215" s="12"/>
      <c r="K215" s="12"/>
    </row>
    <row r="216" spans="1:67" s="12" customFormat="1">
      <c r="A216" s="12" t="s">
        <v>234</v>
      </c>
      <c r="C216" s="12">
        <f>((E58+H58)/(E58+G58+H58)*D173 + (G58)/(E58+G58+H58)*F173)*$A$210 + ((E58+H58)/(E58+G58+H58)*D173 + (G58)/(E58+G58+H58)*F173)*$A$209*$D$210</f>
        <v>5.6541655891083549</v>
      </c>
      <c r="D216" s="12">
        <f>((E58+H58)/(E58+G58+H58)*D162 + (G58)/(E58+G58+H58)*F162)*$A$210 + ((E58+H58)/(E58+G58+H58)*D162 + (G58)/(E58+G58+H58)*F162)*$A$209*$D$210</f>
        <v>5.8525573223640119</v>
      </c>
      <c r="E216" s="12">
        <f>((E59+H59)/(E59+G59+H59)*D151 + (G59)/(E59+G59+H59)*F151)*$A$210 + ((E59+H59)/(E59+G59+H59)*D151 + (G59)/(E59+G59+H59)*F151)*$A$209*$D$210</f>
        <v>6.1222276150467669</v>
      </c>
      <c r="F216" s="12">
        <f>((E60+H60)/(E60+G60+H60)*D140 + (G60)/(E60+G60+H60)*F140)*$A$210 + ((E60+H60)/(E60+G60+H60)*D140 + (G60)/(E60+G60+H60)*F140)*$A$209*$D$210</f>
        <v>6.5456662427332475</v>
      </c>
      <c r="G216" s="12">
        <f>((E61+H61)/(E61+G61+H61)*D129 + (G61)/(E61+G61+H61)*F129)*$A$210 + ((E61+H61)/(E61+G61+H61)*D129 + (G61)/(E61+G61+H61)*F129)*$A$209*$D$210</f>
        <v>6.903566798586434</v>
      </c>
      <c r="H216" s="12">
        <f>((E62+H62)/(E62+G62+H62)*D118 + (G62)/(E62+G62+H62)*F118)*$A$210 + ((E62+H62)/(E62+G62+H62)*D118 + (G62)/(E62+G62+H62)*F118)*$A$209*$D$210</f>
        <v>7.1573332034413921</v>
      </c>
    </row>
    <row r="217" spans="1:67" s="12" customFormat="1">
      <c r="A217" s="12" t="s">
        <v>235</v>
      </c>
      <c r="B217" s="12" t="s">
        <v>231</v>
      </c>
      <c r="C217" s="12">
        <f>((E58+H58)/(E58+G58+H58)*D174 + (G58)/(E58+G58+H58)*F174)*$A$210 + ((E58+H58)/(E58+G58+H58)*D174 + (G58)/(E58+G58+H58)*F174)*$A$209*$D$210</f>
        <v>3.8165617726481371</v>
      </c>
      <c r="D217" s="12">
        <f>((E58+H58)/(E58+G58+H58)*D174 + (G58)/(E58+G58+H58)*F174)*$A$210 + ((E58+H58)/(E58+G58+H58)*D174 + (G58)/(E58+G58+H58)*F174)*$A$209*$D$210</f>
        <v>3.8165617726481371</v>
      </c>
      <c r="E217" s="12">
        <f>((E59+H59)/(E59+G59+H59)*D152 + (G59)/(E59+G59+H59)*F152)*$A$210 + ((E59+H59)/(E59+G59+H59)*D152 + (G59)/(E59+G59+H59)*F152)*$A$209*$D$210</f>
        <v>4.1325036401565658</v>
      </c>
      <c r="F217" s="12">
        <f>((E60+H60)/(E60+G60+H60)*D141 + (G60)/(E60+G60+H60)*F141)*$A$210 + ((E60+H60)/(E60+G60+H60)*D141 + (G60)/(E60+G60+H60)*F141)*$A$209*$D$210</f>
        <v>4.4183247138449406</v>
      </c>
      <c r="G217" s="12">
        <f>((E61+H61)/(E61+G61+H61)*D130 + (G61)/(E61+G61+H61)*F130)*$A$210 + ((E61+H61)/(E61+G61+H61)*D130 + (G61)/(E61+G61+H61)*F130)*$A$209*$D$210</f>
        <v>4.6599075890458428</v>
      </c>
      <c r="H217" s="12">
        <f>((E62+H62)/(E62+G62+H62)*D119 + (G62)/(E62+G62+H62)*F119)*$A$210 + ((E62+H62)/(E62+G62+H62)*D119 + (G62)/(E62+G62+H62)*F119)*$A$209*$D$210</f>
        <v>4.8311999123229405</v>
      </c>
    </row>
    <row r="218" spans="1:67" s="12" customFormat="1">
      <c r="B218" s="12" t="s">
        <v>232</v>
      </c>
      <c r="C218" s="12">
        <f>((E58+H58)/(E58+G58+H58)*D175 + (G58)/(E58+G58+H58)*F175)*$A$210 + ((E58+H58)/(E58+G58+H58)*D175 + (G58)/(E58+G58+H58)*F175)*$A$209*$D$210</f>
        <v>7.2797381959770053</v>
      </c>
      <c r="D218" s="12">
        <f>((E58+H58)/(E58+G58+H58)*D175 + (G58)/(E58+G58+H58)*F175)*$A$210 + ((E58+H58)/(E58+G58+H58)*D175 + (G58)/(E58+G58+H58)*F175)*$A$209*$D$210</f>
        <v>7.2797381959770053</v>
      </c>
      <c r="E218" s="12">
        <f>((E59+H59)/(E59+G59+H59)*D153 + (G59)/(E59+G59+H59)*F153)*$A$210 + ((E59+H59)/(E59+G59+H59)*D153 + (G59)/(E59+G59+H59)*F153)*$A$209*$D$210</f>
        <v>7.8823680543727104</v>
      </c>
      <c r="F218" s="12">
        <f>((E60+H60)/(E60+G60+H60)*D142 + (G60)/(E60+G60+H60)*F142)*$A$210 + ((E60+H60)/(E60+G60+H60)*D142 + (G60)/(E60+G60+H60)*F142)*$A$209*$D$210</f>
        <v>8.427545287519056</v>
      </c>
      <c r="G218" s="12">
        <f>((E61+H61)/(E61+G61+H61)*D131 + (G61)/(E61+G61+H61)*F131)*$A$210 + ((E61+H61)/(E61+G61+H61)*D131 + (G61)/(E61+G61+H61)*F131)*$A$209*$D$210</f>
        <v>8.8883422531800331</v>
      </c>
      <c r="H218" s="12">
        <f>((E62+H62)/(E62+G62+H62)*D120 + (G62)/(E62+G62+H62)*F120)*$A$210 + ((E62+H62)/(E62+G62+H62)*D120 + (G62)/(E62+G62+H62)*F120)*$A$209*$D$210</f>
        <v>9.2150664994307956</v>
      </c>
    </row>
    <row r="219" spans="1:67">
      <c r="A219" s="12"/>
      <c r="B219" s="12" t="s">
        <v>233</v>
      </c>
      <c r="C219" s="12">
        <f>((E58+H58)/(E58+G58+H58)*D176 + (G58)/(E58+G58+H58)*F176)*$A$210 + ((E58+H58)/(E58+G58+H58)*D176 + (G58)/(E58+G58+H58)*F176)*$A$209*$D$210</f>
        <v>16.648296889451039</v>
      </c>
      <c r="D219" s="12">
        <f>((E58+H58)/(E58+G58+H58)*D176 + (G58)/(E58+G58+H58)*F176)*$A$210 + ((E58+H58)/(E58+G58+H58)*D176 + (G58)/(E58+G58+H58)*F176)*$A$209*$D$210</f>
        <v>16.648296889451039</v>
      </c>
      <c r="E219" s="12">
        <f>((E59+H59)/(E59+G59+H59)*D154 + (G59)/(E59+G59+H59)*F154)*$A$210 + ((E59+H59)/(E59+G59+H59)*D154 + (G59)/(E59+G59+H59)*F154)*$A$209*$D$210</f>
        <v>17.624686125282178</v>
      </c>
      <c r="F219" s="12">
        <f>((E60+H60)/(E60+G60+H60)*D143 + (G60)/(E60+G60+H60)*F143)*$A$210 + ((E60+H60)/(E60+G60+H60)*D143 + (G60)/(E60+G60+H60)*F143)*$A$209*$D$210</f>
        <v>18.581439444356946</v>
      </c>
      <c r="G219" s="12">
        <f>((E61+H61)/(E61+G61+H61)*D132 + (G61)/(E61+G61+H61)*F132)*$A$210 + ((E61+H61)/(E61+G61+H61)*D132 + (G61)/(E61+G61+H61)*F132)*$A$209*$D$210</f>
        <v>19.846861645963454</v>
      </c>
      <c r="H219" s="12">
        <f>((E62+H62)/(E62+G62+H62)*D121 + (G62)/(E62+G62+H62)*F121)*$A$210 + ((E62+H62)/(E62+G62+H62)*D121 + (G62)/(E62+G62+H62)*F121)*$A$209*$D$210</f>
        <v>20.723020627268717</v>
      </c>
      <c r="I219" s="12"/>
      <c r="J219" s="12"/>
      <c r="K219" s="12"/>
    </row>
    <row r="220" spans="1:67">
      <c r="A220" s="12"/>
      <c r="B220" s="12" t="s">
        <v>234</v>
      </c>
      <c r="C220" s="12">
        <f>((E58+H58)/(E58+G58+H58)*D177 + (G58)/(E58+G58+H58)*F177)*$A$210 + ((E58+H58)/(E58+G58+H58)*D177 + (G58)/(E58+G58+H58)*F177)*$A$209*$D$210</f>
        <v>19.575930094736954</v>
      </c>
      <c r="D220" s="12">
        <f>((E58+H58)/(E58+G58+H58)*D177 + (G58)/(E58+G58+H58)*F177)*$A$210 + ((E58+H58)/(E58+G58+H58)*D177 + (G58)/(E58+G58+H58)*F177)*$A$209*$D$210</f>
        <v>19.575930094736954</v>
      </c>
      <c r="E220">
        <f>((E59+H59)/(E59+G59+H59)*D155 + (G59)/(E59+G59+H59)*F155)*$A$210 + ((E59+H59)/(E59+G59+H59)*D155 + (G59)/(E59+G59+H59)*F155)*$A$209*$D$210</f>
        <v>21.508935270079427</v>
      </c>
      <c r="F220">
        <f>((E60+H60)/(E60+G60+H60)*D144 + (G60)/(E60+G60+H60)*F144)*$A$210 + ((E60+H60)/(E60+G60+H60)*D144 + (G60)/(E60+G60+H60)*F144)*$A$209*$D$210</f>
        <v>22.984057387051624</v>
      </c>
      <c r="G220">
        <f>((E61+H61)/(E61+G61+H61)*D133 + (G61)/(E61+G61+H61)*F133)*$A$210 + ((E61+H61)/(E61+G61+H61)*D133 + (G61)/(E61+G61+H61)*F133)*$A$209*$D$210</f>
        <v>24.75201623940832</v>
      </c>
      <c r="H220">
        <f>((E62+H62)/(E62+G62+H62)*D122 + (G62)/(E62+G62+H62)*F122)*$A$210 + ((E62+H62)/(E62+G62+H62)*D122 + (G62)/(E62+G62+H62)*F122)*$A$209*$D$210</f>
        <v>26.161399747970908</v>
      </c>
    </row>
    <row r="221" spans="1:67">
      <c r="A221" s="19" t="s">
        <v>129</v>
      </c>
      <c r="B221" s="19"/>
      <c r="C221" s="19"/>
    </row>
    <row r="223" spans="1:67">
      <c r="A223" t="s">
        <v>188</v>
      </c>
      <c r="C223">
        <v>2010</v>
      </c>
      <c r="D223">
        <v>2011</v>
      </c>
      <c r="E223">
        <v>2012</v>
      </c>
      <c r="F223">
        <v>2013</v>
      </c>
      <c r="G223">
        <v>2014</v>
      </c>
      <c r="H223">
        <v>2015</v>
      </c>
      <c r="I223">
        <v>2016</v>
      </c>
      <c r="J223">
        <v>2017</v>
      </c>
      <c r="K223">
        <v>2018</v>
      </c>
      <c r="L223">
        <v>2019</v>
      </c>
      <c r="M223">
        <f>L223+1</f>
        <v>2020</v>
      </c>
      <c r="N223" s="12">
        <f t="shared" ref="N223:BK223" si="76">M223+1</f>
        <v>2021</v>
      </c>
      <c r="O223" s="12">
        <f t="shared" si="76"/>
        <v>2022</v>
      </c>
      <c r="P223" s="12">
        <f t="shared" si="76"/>
        <v>2023</v>
      </c>
      <c r="Q223" s="12">
        <f t="shared" si="76"/>
        <v>2024</v>
      </c>
      <c r="R223" s="12">
        <f t="shared" si="76"/>
        <v>2025</v>
      </c>
      <c r="S223" s="12">
        <f t="shared" si="76"/>
        <v>2026</v>
      </c>
      <c r="T223" s="12">
        <f t="shared" si="76"/>
        <v>2027</v>
      </c>
      <c r="U223" s="12">
        <f t="shared" si="76"/>
        <v>2028</v>
      </c>
      <c r="V223" s="12">
        <f t="shared" si="76"/>
        <v>2029</v>
      </c>
      <c r="W223" s="12">
        <f t="shared" si="76"/>
        <v>2030</v>
      </c>
      <c r="X223" s="12">
        <f t="shared" si="76"/>
        <v>2031</v>
      </c>
      <c r="Y223" s="12">
        <f t="shared" si="76"/>
        <v>2032</v>
      </c>
      <c r="Z223" s="12">
        <f t="shared" si="76"/>
        <v>2033</v>
      </c>
      <c r="AA223" s="12">
        <f t="shared" si="76"/>
        <v>2034</v>
      </c>
      <c r="AB223" s="12">
        <f t="shared" si="76"/>
        <v>2035</v>
      </c>
      <c r="AC223" s="12">
        <f t="shared" si="76"/>
        <v>2036</v>
      </c>
      <c r="AD223" s="12">
        <f t="shared" si="76"/>
        <v>2037</v>
      </c>
      <c r="AE223" s="12">
        <f t="shared" si="76"/>
        <v>2038</v>
      </c>
      <c r="AF223" s="12">
        <f t="shared" si="76"/>
        <v>2039</v>
      </c>
      <c r="AG223" s="12">
        <f t="shared" si="76"/>
        <v>2040</v>
      </c>
      <c r="AH223" s="12">
        <f t="shared" si="76"/>
        <v>2041</v>
      </c>
      <c r="AI223" s="12">
        <f t="shared" si="76"/>
        <v>2042</v>
      </c>
      <c r="AJ223" s="12">
        <f t="shared" si="76"/>
        <v>2043</v>
      </c>
      <c r="AK223" s="12">
        <f t="shared" si="76"/>
        <v>2044</v>
      </c>
      <c r="AL223" s="12">
        <f t="shared" si="76"/>
        <v>2045</v>
      </c>
      <c r="AM223" s="12">
        <f t="shared" si="76"/>
        <v>2046</v>
      </c>
      <c r="AN223" s="12">
        <f t="shared" si="76"/>
        <v>2047</v>
      </c>
      <c r="AO223" s="12">
        <f t="shared" si="76"/>
        <v>2048</v>
      </c>
      <c r="AP223" s="12">
        <f t="shared" si="76"/>
        <v>2049</v>
      </c>
      <c r="AQ223" s="12">
        <f t="shared" si="76"/>
        <v>2050</v>
      </c>
      <c r="AR223" s="12">
        <f>AQ223+1</f>
        <v>2051</v>
      </c>
      <c r="AS223" s="12">
        <f t="shared" si="76"/>
        <v>2052</v>
      </c>
      <c r="AT223" s="12">
        <f t="shared" si="76"/>
        <v>2053</v>
      </c>
      <c r="AU223" s="12">
        <f t="shared" si="76"/>
        <v>2054</v>
      </c>
      <c r="AV223" s="12">
        <f t="shared" si="76"/>
        <v>2055</v>
      </c>
      <c r="AW223" s="12">
        <f t="shared" si="76"/>
        <v>2056</v>
      </c>
      <c r="AX223" s="12">
        <f t="shared" si="76"/>
        <v>2057</v>
      </c>
      <c r="AY223" s="12">
        <f t="shared" si="76"/>
        <v>2058</v>
      </c>
      <c r="AZ223" s="12">
        <f t="shared" si="76"/>
        <v>2059</v>
      </c>
      <c r="BA223" s="12">
        <f t="shared" si="76"/>
        <v>2060</v>
      </c>
      <c r="BB223" s="12">
        <f t="shared" si="76"/>
        <v>2061</v>
      </c>
      <c r="BC223" s="12">
        <f t="shared" si="76"/>
        <v>2062</v>
      </c>
      <c r="BD223" s="12">
        <f t="shared" si="76"/>
        <v>2063</v>
      </c>
      <c r="BE223" s="12">
        <f t="shared" si="76"/>
        <v>2064</v>
      </c>
      <c r="BF223" s="12">
        <f t="shared" si="76"/>
        <v>2065</v>
      </c>
      <c r="BG223" s="12">
        <f t="shared" si="76"/>
        <v>2066</v>
      </c>
      <c r="BH223" s="12">
        <f t="shared" si="76"/>
        <v>2067</v>
      </c>
      <c r="BI223" s="12">
        <f t="shared" si="76"/>
        <v>2068</v>
      </c>
      <c r="BJ223" s="12">
        <f t="shared" si="76"/>
        <v>2069</v>
      </c>
      <c r="BK223" s="12">
        <f t="shared" si="76"/>
        <v>2070</v>
      </c>
      <c r="BL223" s="12"/>
      <c r="BM223" s="12"/>
      <c r="BN223" s="12"/>
      <c r="BO223" s="12"/>
    </row>
    <row r="224" spans="1:67">
      <c r="C224" s="12">
        <f>4.9*Variables!E3</f>
        <v>4.9000000000000004</v>
      </c>
      <c r="D224">
        <f>4.8*Variables!E3</f>
        <v>4.8</v>
      </c>
      <c r="E224">
        <f>3.1*Variables!E3</f>
        <v>3.1</v>
      </c>
      <c r="F224">
        <f>2.8*Variables!E3</f>
        <v>2.8</v>
      </c>
      <c r="G224">
        <f>2.7*Variables!E3</f>
        <v>2.7</v>
      </c>
      <c r="H224">
        <f>3.3*Variables!E3</f>
        <v>3.3</v>
      </c>
      <c r="I224">
        <f>3.6*Variables!E3</f>
        <v>3.6</v>
      </c>
      <c r="J224">
        <f>3.8*Variables!E3</f>
        <v>3.8</v>
      </c>
      <c r="K224">
        <f>3.9*Variables!E3</f>
        <v>3.9</v>
      </c>
      <c r="L224">
        <f>3.75*Variables!E3</f>
        <v>3.75</v>
      </c>
      <c r="M224">
        <f>3.6*Variables!E3</f>
        <v>3.6</v>
      </c>
      <c r="N224">
        <f>3.45*Variables!E3</f>
        <v>3.45</v>
      </c>
      <c r="O224">
        <f>3.3*Variables!E3</f>
        <v>3.3</v>
      </c>
      <c r="P224" s="12">
        <f>3.3*Variables!E3</f>
        <v>3.3</v>
      </c>
      <c r="Q224" s="12">
        <f>3.3*Variables!E3</f>
        <v>3.3</v>
      </c>
      <c r="R224" s="12">
        <f>3.3*Variables!E3</f>
        <v>3.3</v>
      </c>
      <c r="S224" s="12">
        <f>3.3*Variables!E3</f>
        <v>3.3</v>
      </c>
      <c r="T224" s="12">
        <f>3.3*Variables!E3</f>
        <v>3.3</v>
      </c>
      <c r="U224" s="12">
        <f>3.3*Variables!E3</f>
        <v>3.3</v>
      </c>
      <c r="V224" s="12">
        <f>3.5*Variables!E3</f>
        <v>3.5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  <c r="BD224" s="12">
        <v>0</v>
      </c>
      <c r="BE224" s="12">
        <v>0</v>
      </c>
      <c r="BF224" s="12">
        <v>0</v>
      </c>
      <c r="BG224" s="12">
        <v>0</v>
      </c>
      <c r="BH224" s="12">
        <v>0</v>
      </c>
      <c r="BI224" s="12">
        <v>0</v>
      </c>
      <c r="BJ224" s="12">
        <v>0</v>
      </c>
      <c r="BK224" s="12">
        <v>0</v>
      </c>
      <c r="BL224" s="12"/>
    </row>
    <row r="225" spans="1:64">
      <c r="A225" t="s">
        <v>132</v>
      </c>
      <c r="C225">
        <f>((C224+100)/(C267+100) - 1)*100</f>
        <v>2.2297587026858467</v>
      </c>
      <c r="D225" s="12">
        <f>((D224+100)/(D267+100) - 1)*100</f>
        <v>2.481860319571294</v>
      </c>
      <c r="E225" s="12">
        <f t="shared" ref="E225:W225" si="77">((E224+100)/(E267+100) - 1)*100</f>
        <v>1.9994261913948597</v>
      </c>
      <c r="F225" s="12">
        <f t="shared" si="77"/>
        <v>1.0577641461208653</v>
      </c>
      <c r="G225" s="12">
        <f t="shared" si="77"/>
        <v>0.48923679060666192</v>
      </c>
      <c r="H225" s="12">
        <f t="shared" si="77"/>
        <v>1.6732283464566899</v>
      </c>
      <c r="I225" s="12">
        <f t="shared" si="77"/>
        <v>1.6683022571148065</v>
      </c>
      <c r="J225" s="12">
        <f t="shared" si="77"/>
        <v>1.8645731108930308</v>
      </c>
      <c r="K225" s="12">
        <f t="shared" si="77"/>
        <v>1.8627450980392313</v>
      </c>
      <c r="L225" s="12">
        <f t="shared" si="77"/>
        <v>1.6658500734933801</v>
      </c>
      <c r="M225" s="12">
        <f t="shared" si="77"/>
        <v>1.4691478942213454</v>
      </c>
      <c r="N225" s="12">
        <f t="shared" si="77"/>
        <v>1.2726382770435585</v>
      </c>
      <c r="O225" s="12">
        <f t="shared" si="77"/>
        <v>1.0763209393346296</v>
      </c>
      <c r="P225" s="12">
        <f t="shared" si="77"/>
        <v>1.0763209393346296</v>
      </c>
      <c r="Q225" s="12">
        <f t="shared" si="77"/>
        <v>1.0763209393346296</v>
      </c>
      <c r="R225" s="12">
        <f t="shared" si="77"/>
        <v>1.0763209393346296</v>
      </c>
      <c r="S225" s="12">
        <f t="shared" si="77"/>
        <v>1.0763209393346296</v>
      </c>
      <c r="T225" s="12">
        <f t="shared" si="77"/>
        <v>1.0763209393346296</v>
      </c>
      <c r="U225" s="12">
        <f t="shared" si="77"/>
        <v>1.0763209393346296</v>
      </c>
      <c r="V225" s="12">
        <f t="shared" si="77"/>
        <v>1.2720156555773077</v>
      </c>
      <c r="W225" s="12">
        <f t="shared" si="77"/>
        <v>0</v>
      </c>
      <c r="X225" s="12">
        <f t="shared" ref="X225" si="78">((X224+100)/(X267+100) - 1)*100</f>
        <v>0</v>
      </c>
      <c r="Y225" s="12">
        <f t="shared" ref="Y225" si="79">((Y224+100)/(Y267+100) - 1)*100</f>
        <v>0</v>
      </c>
      <c r="Z225" s="12">
        <f t="shared" ref="Z225" si="80">((Z224+100)/(Z267+100) - 1)*100</f>
        <v>0</v>
      </c>
      <c r="AA225" s="12">
        <f t="shared" ref="AA225" si="81">((AA224+100)/(AA267+100) - 1)*100</f>
        <v>0</v>
      </c>
      <c r="AB225" s="12">
        <f t="shared" ref="AB225" si="82">((AB224+100)/(AB267+100) - 1)*100</f>
        <v>0</v>
      </c>
      <c r="AC225" s="12">
        <f t="shared" ref="AC225" si="83">((AC224+100)/(AC267+100) - 1)*100</f>
        <v>0</v>
      </c>
      <c r="AD225" s="12">
        <f t="shared" ref="AD225" si="84">((AD224+100)/(AD267+100) - 1)*100</f>
        <v>0</v>
      </c>
      <c r="AE225" s="12">
        <f t="shared" ref="AE225" si="85">((AE224+100)/(AE267+100) - 1)*100</f>
        <v>0</v>
      </c>
      <c r="AF225" s="12">
        <f t="shared" ref="AF225" si="86">((AF224+100)/(AF267+100) - 1)*100</f>
        <v>0</v>
      </c>
      <c r="AG225" s="12">
        <f t="shared" ref="AG225" si="87">((AG224+100)/(AG267+100) - 1)*100</f>
        <v>0</v>
      </c>
      <c r="AH225" s="12">
        <f t="shared" ref="AH225" si="88">((AH224+100)/(AH267+100) - 1)*100</f>
        <v>0</v>
      </c>
      <c r="AI225" s="12">
        <f t="shared" ref="AI225" si="89">((AI224+100)/(AI267+100) - 1)*100</f>
        <v>0</v>
      </c>
      <c r="AJ225" s="12">
        <f t="shared" ref="AJ225" si="90">((AJ224+100)/(AJ267+100) - 1)*100</f>
        <v>0</v>
      </c>
      <c r="AK225" s="12">
        <f t="shared" ref="AK225" si="91">((AK224+100)/(AK267+100) - 1)*100</f>
        <v>0</v>
      </c>
      <c r="AL225" s="12">
        <f t="shared" ref="AL225" si="92">((AL224+100)/(AL267+100) - 1)*100</f>
        <v>0</v>
      </c>
      <c r="AM225" s="12">
        <f t="shared" ref="AM225" si="93">((AM224+100)/(AM267+100) - 1)*100</f>
        <v>0</v>
      </c>
      <c r="AN225" s="12">
        <f t="shared" ref="AN225" si="94">((AN224+100)/(AN267+100) - 1)*100</f>
        <v>0</v>
      </c>
      <c r="AO225" s="12">
        <f t="shared" ref="AO225" si="95">((AO224+100)/(AO267+100) - 1)*100</f>
        <v>0</v>
      </c>
      <c r="AP225" s="12">
        <f t="shared" ref="AP225" si="96">((AP224+100)/(AP267+100) - 1)*100</f>
        <v>0</v>
      </c>
      <c r="AQ225" s="12">
        <f t="shared" ref="AQ225" si="97">((AQ224+100)/(AQ267+100) - 1)*100</f>
        <v>0</v>
      </c>
      <c r="AR225" s="12">
        <f t="shared" ref="AR225" si="98">((AR224+100)/(AR267+100) - 1)*100</f>
        <v>0</v>
      </c>
      <c r="AS225" s="12">
        <f t="shared" ref="AS225" si="99">((AS224+100)/(AS267+100) - 1)*100</f>
        <v>0</v>
      </c>
      <c r="AT225" s="12">
        <f t="shared" ref="AT225" si="100">((AT224+100)/(AT267+100) - 1)*100</f>
        <v>0</v>
      </c>
      <c r="AU225" s="12">
        <f t="shared" ref="AU225" si="101">((AU224+100)/(AU267+100) - 1)*100</f>
        <v>0</v>
      </c>
      <c r="AV225" s="12">
        <f t="shared" ref="AV225" si="102">((AV224+100)/(AV267+100) - 1)*100</f>
        <v>0</v>
      </c>
      <c r="AW225" s="12">
        <f t="shared" ref="AW225" si="103">((AW224+100)/(AW267+100) - 1)*100</f>
        <v>0</v>
      </c>
      <c r="AX225" s="12">
        <f t="shared" ref="AX225" si="104">((AX224+100)/(AX267+100) - 1)*100</f>
        <v>0</v>
      </c>
      <c r="AY225" s="12">
        <f t="shared" ref="AY225" si="105">((AY224+100)/(AY267+100) - 1)*100</f>
        <v>0</v>
      </c>
      <c r="AZ225" s="12">
        <f t="shared" ref="AZ225" si="106">((AZ224+100)/(AZ267+100) - 1)*100</f>
        <v>0</v>
      </c>
      <c r="BA225" s="12">
        <f t="shared" ref="BA225" si="107">((BA224+100)/(BA267+100) - 1)*100</f>
        <v>0</v>
      </c>
      <c r="BB225" s="12">
        <f t="shared" ref="BB225" si="108">((BB224+100)/(BB267+100) - 1)*100</f>
        <v>0</v>
      </c>
      <c r="BC225" s="12">
        <f t="shared" ref="BC225" si="109">((BC224+100)/(BC267+100) - 1)*100</f>
        <v>0</v>
      </c>
      <c r="BD225" s="12">
        <f t="shared" ref="BD225" si="110">((BD224+100)/(BD267+100) - 1)*100</f>
        <v>0</v>
      </c>
      <c r="BE225" s="12">
        <f t="shared" ref="BE225" si="111">((BE224+100)/(BE267+100) - 1)*100</f>
        <v>0</v>
      </c>
      <c r="BF225" s="12">
        <f t="shared" ref="BF225" si="112">((BF224+100)/(BF267+100) - 1)*100</f>
        <v>0</v>
      </c>
      <c r="BG225" s="12">
        <f t="shared" ref="BG225" si="113">((BG224+100)/(BG267+100) - 1)*100</f>
        <v>0</v>
      </c>
      <c r="BH225" s="12">
        <f t="shared" ref="BH225" si="114">((BH224+100)/(BH267+100) - 1)*100</f>
        <v>0</v>
      </c>
      <c r="BI225" s="12">
        <f t="shared" ref="BI225" si="115">((BI224+100)/(BI267+100) - 1)*100</f>
        <v>0</v>
      </c>
      <c r="BJ225" s="12">
        <f t="shared" ref="BJ225" si="116">((BJ224+100)/(BJ267+100) - 1)*100</f>
        <v>0</v>
      </c>
      <c r="BK225" s="12">
        <f t="shared" ref="BK225" si="117">((BK224+100)/(BK267+100) - 1)*100</f>
        <v>0</v>
      </c>
      <c r="BL225" s="12"/>
    </row>
    <row r="226" spans="1:64">
      <c r="A226" t="s">
        <v>133</v>
      </c>
    </row>
    <row r="228" spans="1:64">
      <c r="A228" s="12" t="s">
        <v>97</v>
      </c>
      <c r="C228">
        <v>2010</v>
      </c>
      <c r="D228">
        <f>D223</f>
        <v>2011</v>
      </c>
      <c r="E228" s="12">
        <f t="shared" ref="E228:BK228" si="118">E223</f>
        <v>2012</v>
      </c>
      <c r="F228" s="12">
        <f t="shared" si="118"/>
        <v>2013</v>
      </c>
      <c r="G228" s="12">
        <f t="shared" si="118"/>
        <v>2014</v>
      </c>
      <c r="H228" s="12">
        <f t="shared" si="118"/>
        <v>2015</v>
      </c>
      <c r="I228" s="12">
        <f t="shared" si="118"/>
        <v>2016</v>
      </c>
      <c r="J228" s="12">
        <f t="shared" si="118"/>
        <v>2017</v>
      </c>
      <c r="K228" s="12">
        <f t="shared" si="118"/>
        <v>2018</v>
      </c>
      <c r="L228" s="12">
        <f t="shared" si="118"/>
        <v>2019</v>
      </c>
      <c r="M228" s="12">
        <f t="shared" si="118"/>
        <v>2020</v>
      </c>
      <c r="N228" s="12">
        <f t="shared" si="118"/>
        <v>2021</v>
      </c>
      <c r="O228" s="12">
        <f t="shared" si="118"/>
        <v>2022</v>
      </c>
      <c r="P228" s="12">
        <f t="shared" si="118"/>
        <v>2023</v>
      </c>
      <c r="Q228" s="12">
        <f t="shared" si="118"/>
        <v>2024</v>
      </c>
      <c r="R228" s="12">
        <f t="shared" si="118"/>
        <v>2025</v>
      </c>
      <c r="S228" s="12">
        <f t="shared" si="118"/>
        <v>2026</v>
      </c>
      <c r="T228" s="12">
        <f t="shared" si="118"/>
        <v>2027</v>
      </c>
      <c r="U228" s="12">
        <f t="shared" si="118"/>
        <v>2028</v>
      </c>
      <c r="V228" s="12">
        <f t="shared" si="118"/>
        <v>2029</v>
      </c>
      <c r="W228" s="12">
        <f t="shared" si="118"/>
        <v>2030</v>
      </c>
      <c r="X228" s="12">
        <f t="shared" si="118"/>
        <v>2031</v>
      </c>
      <c r="Y228" s="12">
        <f t="shared" si="118"/>
        <v>2032</v>
      </c>
      <c r="Z228" s="12">
        <f t="shared" si="118"/>
        <v>2033</v>
      </c>
      <c r="AA228" s="12">
        <f t="shared" si="118"/>
        <v>2034</v>
      </c>
      <c r="AB228" s="12">
        <f t="shared" si="118"/>
        <v>2035</v>
      </c>
      <c r="AC228" s="12">
        <f t="shared" si="118"/>
        <v>2036</v>
      </c>
      <c r="AD228" s="12">
        <f t="shared" si="118"/>
        <v>2037</v>
      </c>
      <c r="AE228" s="12">
        <f t="shared" si="118"/>
        <v>2038</v>
      </c>
      <c r="AF228" s="12">
        <f t="shared" si="118"/>
        <v>2039</v>
      </c>
      <c r="AG228" s="12">
        <f t="shared" si="118"/>
        <v>2040</v>
      </c>
      <c r="AH228" s="12">
        <f t="shared" si="118"/>
        <v>2041</v>
      </c>
      <c r="AI228" s="12">
        <f t="shared" si="118"/>
        <v>2042</v>
      </c>
      <c r="AJ228" s="12">
        <f t="shared" si="118"/>
        <v>2043</v>
      </c>
      <c r="AK228" s="12">
        <f t="shared" si="118"/>
        <v>2044</v>
      </c>
      <c r="AL228" s="12">
        <f t="shared" si="118"/>
        <v>2045</v>
      </c>
      <c r="AM228" s="12">
        <f t="shared" si="118"/>
        <v>2046</v>
      </c>
      <c r="AN228" s="12">
        <f t="shared" si="118"/>
        <v>2047</v>
      </c>
      <c r="AO228" s="12">
        <f t="shared" si="118"/>
        <v>2048</v>
      </c>
      <c r="AP228" s="12">
        <f t="shared" si="118"/>
        <v>2049</v>
      </c>
      <c r="AQ228" s="12">
        <f t="shared" si="118"/>
        <v>2050</v>
      </c>
      <c r="AR228" s="12">
        <f t="shared" si="118"/>
        <v>2051</v>
      </c>
      <c r="AS228" s="12">
        <f t="shared" si="118"/>
        <v>2052</v>
      </c>
      <c r="AT228" s="12">
        <f t="shared" si="118"/>
        <v>2053</v>
      </c>
      <c r="AU228" s="12">
        <f t="shared" si="118"/>
        <v>2054</v>
      </c>
      <c r="AV228" s="12">
        <f t="shared" si="118"/>
        <v>2055</v>
      </c>
      <c r="AW228" s="12">
        <f t="shared" si="118"/>
        <v>2056</v>
      </c>
      <c r="AX228" s="12">
        <f t="shared" si="118"/>
        <v>2057</v>
      </c>
      <c r="AY228" s="12">
        <f t="shared" si="118"/>
        <v>2058</v>
      </c>
      <c r="AZ228" s="12">
        <f t="shared" si="118"/>
        <v>2059</v>
      </c>
      <c r="BA228" s="12">
        <f t="shared" si="118"/>
        <v>2060</v>
      </c>
      <c r="BB228" s="12">
        <f t="shared" si="118"/>
        <v>2061</v>
      </c>
      <c r="BC228" s="12">
        <f t="shared" si="118"/>
        <v>2062</v>
      </c>
      <c r="BD228" s="12">
        <f t="shared" si="118"/>
        <v>2063</v>
      </c>
      <c r="BE228" s="12">
        <f t="shared" si="118"/>
        <v>2064</v>
      </c>
      <c r="BF228" s="12">
        <f t="shared" si="118"/>
        <v>2065</v>
      </c>
      <c r="BG228" s="12">
        <f t="shared" si="118"/>
        <v>2066</v>
      </c>
      <c r="BH228" s="12">
        <f t="shared" si="118"/>
        <v>2067</v>
      </c>
      <c r="BI228" s="12">
        <f t="shared" si="118"/>
        <v>2068</v>
      </c>
      <c r="BJ228" s="12">
        <f t="shared" si="118"/>
        <v>2069</v>
      </c>
      <c r="BK228" s="12">
        <f t="shared" si="118"/>
        <v>2070</v>
      </c>
    </row>
    <row r="229" spans="1:64">
      <c r="A229" s="12" t="s">
        <v>230</v>
      </c>
      <c r="B229" s="12"/>
      <c r="C229">
        <f>D185</f>
        <v>13.227421946740128</v>
      </c>
      <c r="D229">
        <f>C229*(1+D$225/100)</f>
        <v>13.555708083338535</v>
      </c>
      <c r="E229" s="12">
        <f>D229*(1+E$225/100)</f>
        <v>13.826744461185836</v>
      </c>
      <c r="F229" s="12">
        <f t="shared" ref="F229:BK229" si="119">E229*(1+F$225/100)</f>
        <v>13.972998806672011</v>
      </c>
      <c r="G229" s="12">
        <f t="shared" si="119"/>
        <v>14.041359857585281</v>
      </c>
      <c r="H229" s="12">
        <f t="shared" si="119"/>
        <v>14.276303870950388</v>
      </c>
      <c r="I229" s="12">
        <f t="shared" si="119"/>
        <v>14.514475770662022</v>
      </c>
      <c r="J229" s="12">
        <f t="shared" si="119"/>
        <v>14.785108783068869</v>
      </c>
      <c r="K229" s="12">
        <f t="shared" si="119"/>
        <v>15.060517672165252</v>
      </c>
      <c r="L229" s="12">
        <f t="shared" si="119"/>
        <v>15.3114033168755</v>
      </c>
      <c r="M229" s="12">
        <f t="shared" si="119"/>
        <v>15.536350476281115</v>
      </c>
      <c r="N229" s="12">
        <f t="shared" si="119"/>
        <v>15.734072019297907</v>
      </c>
      <c r="O229" s="12">
        <f t="shared" si="119"/>
        <v>15.903421131051601</v>
      </c>
      <c r="P229" s="12">
        <f t="shared" si="119"/>
        <v>16.074592982755679</v>
      </c>
      <c r="Q229" s="12">
        <f t="shared" si="119"/>
        <v>16.247607192941892</v>
      </c>
      <c r="R229" s="12">
        <f t="shared" si="119"/>
        <v>16.422483591300367</v>
      </c>
      <c r="S229" s="12">
        <f t="shared" si="119"/>
        <v>16.599242220952327</v>
      </c>
      <c r="T229" s="12">
        <f t="shared" si="119"/>
        <v>16.777903340747311</v>
      </c>
      <c r="U229" s="12">
        <f t="shared" si="119"/>
        <v>16.958487427585098</v>
      </c>
      <c r="V229" s="12">
        <f t="shared" si="119"/>
        <v>17.174202042613089</v>
      </c>
      <c r="W229" s="12">
        <f t="shared" si="119"/>
        <v>17.174202042613089</v>
      </c>
      <c r="X229" s="12">
        <f t="shared" si="119"/>
        <v>17.174202042613089</v>
      </c>
      <c r="Y229" s="12">
        <f t="shared" si="119"/>
        <v>17.174202042613089</v>
      </c>
      <c r="Z229" s="12">
        <f t="shared" si="119"/>
        <v>17.174202042613089</v>
      </c>
      <c r="AA229" s="12">
        <f t="shared" si="119"/>
        <v>17.174202042613089</v>
      </c>
      <c r="AB229" s="12">
        <f t="shared" si="119"/>
        <v>17.174202042613089</v>
      </c>
      <c r="AC229" s="12">
        <f t="shared" si="119"/>
        <v>17.174202042613089</v>
      </c>
      <c r="AD229" s="12">
        <f t="shared" si="119"/>
        <v>17.174202042613089</v>
      </c>
      <c r="AE229" s="12">
        <f t="shared" si="119"/>
        <v>17.174202042613089</v>
      </c>
      <c r="AF229" s="12">
        <f t="shared" si="119"/>
        <v>17.174202042613089</v>
      </c>
      <c r="AG229" s="12">
        <f t="shared" si="119"/>
        <v>17.174202042613089</v>
      </c>
      <c r="AH229" s="12">
        <f t="shared" si="119"/>
        <v>17.174202042613089</v>
      </c>
      <c r="AI229" s="12">
        <f t="shared" si="119"/>
        <v>17.174202042613089</v>
      </c>
      <c r="AJ229" s="12">
        <f t="shared" si="119"/>
        <v>17.174202042613089</v>
      </c>
      <c r="AK229" s="12">
        <f t="shared" si="119"/>
        <v>17.174202042613089</v>
      </c>
      <c r="AL229" s="12">
        <f t="shared" si="119"/>
        <v>17.174202042613089</v>
      </c>
      <c r="AM229" s="12">
        <f t="shared" si="119"/>
        <v>17.174202042613089</v>
      </c>
      <c r="AN229" s="12">
        <f t="shared" si="119"/>
        <v>17.174202042613089</v>
      </c>
      <c r="AO229" s="12">
        <f t="shared" si="119"/>
        <v>17.174202042613089</v>
      </c>
      <c r="AP229" s="12">
        <f t="shared" si="119"/>
        <v>17.174202042613089</v>
      </c>
      <c r="AQ229" s="12">
        <f t="shared" si="119"/>
        <v>17.174202042613089</v>
      </c>
      <c r="AR229" s="12">
        <f t="shared" si="119"/>
        <v>17.174202042613089</v>
      </c>
      <c r="AS229" s="12">
        <f t="shared" si="119"/>
        <v>17.174202042613089</v>
      </c>
      <c r="AT229" s="12">
        <f t="shared" si="119"/>
        <v>17.174202042613089</v>
      </c>
      <c r="AU229" s="12">
        <f t="shared" si="119"/>
        <v>17.174202042613089</v>
      </c>
      <c r="AV229" s="12">
        <f t="shared" si="119"/>
        <v>17.174202042613089</v>
      </c>
      <c r="AW229" s="12">
        <f t="shared" si="119"/>
        <v>17.174202042613089</v>
      </c>
      <c r="AX229" s="12">
        <f t="shared" si="119"/>
        <v>17.174202042613089</v>
      </c>
      <c r="AY229" s="12">
        <f t="shared" si="119"/>
        <v>17.174202042613089</v>
      </c>
      <c r="AZ229" s="12">
        <f t="shared" si="119"/>
        <v>17.174202042613089</v>
      </c>
      <c r="BA229" s="12">
        <f t="shared" si="119"/>
        <v>17.174202042613089</v>
      </c>
      <c r="BB229" s="12">
        <f t="shared" si="119"/>
        <v>17.174202042613089</v>
      </c>
      <c r="BC229" s="12">
        <f t="shared" si="119"/>
        <v>17.174202042613089</v>
      </c>
      <c r="BD229" s="12">
        <f t="shared" si="119"/>
        <v>17.174202042613089</v>
      </c>
      <c r="BE229" s="12">
        <f t="shared" si="119"/>
        <v>17.174202042613089</v>
      </c>
      <c r="BF229" s="12">
        <f t="shared" si="119"/>
        <v>17.174202042613089</v>
      </c>
      <c r="BG229" s="12">
        <f t="shared" si="119"/>
        <v>17.174202042613089</v>
      </c>
      <c r="BH229" s="12">
        <f t="shared" si="119"/>
        <v>17.174202042613089</v>
      </c>
      <c r="BI229" s="12">
        <f t="shared" si="119"/>
        <v>17.174202042613089</v>
      </c>
      <c r="BJ229" s="12">
        <f t="shared" si="119"/>
        <v>17.174202042613089</v>
      </c>
      <c r="BK229" s="12">
        <f t="shared" si="119"/>
        <v>17.174202042613089</v>
      </c>
    </row>
    <row r="230" spans="1:64">
      <c r="A230" s="12" t="s">
        <v>231</v>
      </c>
      <c r="B230" s="12"/>
      <c r="C230" s="12">
        <f>D186</f>
        <v>10.46057162534435</v>
      </c>
      <c r="D230" s="12">
        <f>C230*(1+D$225/100)</f>
        <v>10.720188401714106</v>
      </c>
      <c r="E230" s="12">
        <f>D230*(1+E$225/100)</f>
        <v>10.934530656384851</v>
      </c>
      <c r="F230" s="12">
        <f t="shared" ref="E230:H237" si="120">E230*(1+F$225/100)</f>
        <v>11.050192201214685</v>
      </c>
      <c r="G230" s="12">
        <f t="shared" si="120"/>
        <v>11.104253806895775</v>
      </c>
      <c r="H230" s="12">
        <f t="shared" si="120"/>
        <v>11.290053329255251</v>
      </c>
      <c r="I230" s="12">
        <f t="shared" ref="I230:BK230" si="121">H230*(1+I$225/100)</f>
        <v>11.478405543776681</v>
      </c>
      <c r="J230" s="12">
        <f t="shared" si="121"/>
        <v>11.692428807105196</v>
      </c>
      <c r="K230" s="12">
        <f t="shared" si="121"/>
        <v>11.910228951551275</v>
      </c>
      <c r="L230" s="12">
        <f t="shared" si="121"/>
        <v>12.108635509293922</v>
      </c>
      <c r="M230" s="12">
        <f t="shared" si="121"/>
        <v>12.286529272897653</v>
      </c>
      <c r="N230" s="12">
        <f t="shared" si="121"/>
        <v>12.44289234734471</v>
      </c>
      <c r="O230" s="12">
        <f t="shared" si="121"/>
        <v>12.576817803138047</v>
      </c>
      <c r="P230" s="12">
        <f t="shared" si="121"/>
        <v>12.712184726655186</v>
      </c>
      <c r="Q230" s="12">
        <f t="shared" si="121"/>
        <v>12.849008632715075</v>
      </c>
      <c r="R230" s="12">
        <f t="shared" si="121"/>
        <v>12.987305203125901</v>
      </c>
      <c r="S230" s="12">
        <f t="shared" si="121"/>
        <v>13.127090288482441</v>
      </c>
      <c r="T230" s="12">
        <f t="shared" si="121"/>
        <v>13.268379909982739</v>
      </c>
      <c r="U230" s="12">
        <f t="shared" si="121"/>
        <v>13.411190261264354</v>
      </c>
      <c r="V230" s="12">
        <f t="shared" si="121"/>
        <v>13.581782700986896</v>
      </c>
      <c r="W230" s="12">
        <f t="shared" si="121"/>
        <v>13.581782700986896</v>
      </c>
      <c r="X230" s="12">
        <f t="shared" si="121"/>
        <v>13.581782700986896</v>
      </c>
      <c r="Y230" s="12">
        <f t="shared" si="121"/>
        <v>13.581782700986896</v>
      </c>
      <c r="Z230" s="12">
        <f t="shared" si="121"/>
        <v>13.581782700986896</v>
      </c>
      <c r="AA230" s="12">
        <f t="shared" si="121"/>
        <v>13.581782700986896</v>
      </c>
      <c r="AB230" s="12">
        <f t="shared" si="121"/>
        <v>13.581782700986896</v>
      </c>
      <c r="AC230" s="12">
        <f t="shared" si="121"/>
        <v>13.581782700986896</v>
      </c>
      <c r="AD230" s="12">
        <f t="shared" si="121"/>
        <v>13.581782700986896</v>
      </c>
      <c r="AE230" s="12">
        <f t="shared" si="121"/>
        <v>13.581782700986896</v>
      </c>
      <c r="AF230" s="12">
        <f t="shared" si="121"/>
        <v>13.581782700986896</v>
      </c>
      <c r="AG230" s="12">
        <f t="shared" si="121"/>
        <v>13.581782700986896</v>
      </c>
      <c r="AH230" s="12">
        <f t="shared" si="121"/>
        <v>13.581782700986896</v>
      </c>
      <c r="AI230" s="12">
        <f t="shared" si="121"/>
        <v>13.581782700986896</v>
      </c>
      <c r="AJ230" s="12">
        <f t="shared" si="121"/>
        <v>13.581782700986896</v>
      </c>
      <c r="AK230" s="12">
        <f t="shared" si="121"/>
        <v>13.581782700986896</v>
      </c>
      <c r="AL230" s="12">
        <f t="shared" si="121"/>
        <v>13.581782700986896</v>
      </c>
      <c r="AM230" s="12">
        <f t="shared" si="121"/>
        <v>13.581782700986896</v>
      </c>
      <c r="AN230" s="12">
        <f t="shared" si="121"/>
        <v>13.581782700986896</v>
      </c>
      <c r="AO230" s="12">
        <f t="shared" si="121"/>
        <v>13.581782700986896</v>
      </c>
      <c r="AP230" s="12">
        <f t="shared" si="121"/>
        <v>13.581782700986896</v>
      </c>
      <c r="AQ230" s="12">
        <f t="shared" si="121"/>
        <v>13.581782700986896</v>
      </c>
      <c r="AR230" s="12">
        <f t="shared" si="121"/>
        <v>13.581782700986896</v>
      </c>
      <c r="AS230" s="12">
        <f t="shared" si="121"/>
        <v>13.581782700986896</v>
      </c>
      <c r="AT230" s="12">
        <f t="shared" si="121"/>
        <v>13.581782700986896</v>
      </c>
      <c r="AU230" s="12">
        <f t="shared" si="121"/>
        <v>13.581782700986896</v>
      </c>
      <c r="AV230" s="12">
        <f t="shared" si="121"/>
        <v>13.581782700986896</v>
      </c>
      <c r="AW230" s="12">
        <f t="shared" si="121"/>
        <v>13.581782700986896</v>
      </c>
      <c r="AX230" s="12">
        <f t="shared" si="121"/>
        <v>13.581782700986896</v>
      </c>
      <c r="AY230" s="12">
        <f t="shared" si="121"/>
        <v>13.581782700986896</v>
      </c>
      <c r="AZ230" s="12">
        <f t="shared" si="121"/>
        <v>13.581782700986896</v>
      </c>
      <c r="BA230" s="12">
        <f t="shared" si="121"/>
        <v>13.581782700986896</v>
      </c>
      <c r="BB230" s="12">
        <f t="shared" si="121"/>
        <v>13.581782700986896</v>
      </c>
      <c r="BC230" s="12">
        <f t="shared" si="121"/>
        <v>13.581782700986896</v>
      </c>
      <c r="BD230" s="12">
        <f t="shared" si="121"/>
        <v>13.581782700986896</v>
      </c>
      <c r="BE230" s="12">
        <f t="shared" si="121"/>
        <v>13.581782700986896</v>
      </c>
      <c r="BF230" s="12">
        <f t="shared" si="121"/>
        <v>13.581782700986896</v>
      </c>
      <c r="BG230" s="12">
        <f t="shared" si="121"/>
        <v>13.581782700986896</v>
      </c>
      <c r="BH230" s="12">
        <f t="shared" si="121"/>
        <v>13.581782700986896</v>
      </c>
      <c r="BI230" s="12">
        <f t="shared" si="121"/>
        <v>13.581782700986896</v>
      </c>
      <c r="BJ230" s="12">
        <f t="shared" si="121"/>
        <v>13.581782700986896</v>
      </c>
      <c r="BK230" s="12">
        <f t="shared" si="121"/>
        <v>13.581782700986896</v>
      </c>
    </row>
    <row r="231" spans="1:64">
      <c r="A231" s="12" t="s">
        <v>232</v>
      </c>
      <c r="B231" s="12"/>
      <c r="C231" s="12">
        <f>D187</f>
        <v>10.46057162534435</v>
      </c>
      <c r="D231" s="12">
        <f t="shared" ref="D231:E237" si="122">C231*(1+D$225/100)</f>
        <v>10.720188401714106</v>
      </c>
      <c r="E231" s="12">
        <f>D231*(1+E$225/100)</f>
        <v>10.934530656384851</v>
      </c>
      <c r="F231" s="12">
        <f t="shared" si="120"/>
        <v>11.050192201214685</v>
      </c>
      <c r="G231" s="12">
        <f t="shared" si="120"/>
        <v>11.104253806895775</v>
      </c>
      <c r="H231" s="12">
        <f t="shared" si="120"/>
        <v>11.290053329255251</v>
      </c>
      <c r="I231" s="12">
        <f t="shared" ref="I231:BK231" si="123">H231*(1+I$225/100)</f>
        <v>11.478405543776681</v>
      </c>
      <c r="J231" s="12">
        <f t="shared" si="123"/>
        <v>11.692428807105196</v>
      </c>
      <c r="K231" s="12">
        <f t="shared" si="123"/>
        <v>11.910228951551275</v>
      </c>
      <c r="L231" s="12">
        <f t="shared" si="123"/>
        <v>12.108635509293922</v>
      </c>
      <c r="M231" s="12">
        <f t="shared" si="123"/>
        <v>12.286529272897653</v>
      </c>
      <c r="N231" s="12">
        <f t="shared" si="123"/>
        <v>12.44289234734471</v>
      </c>
      <c r="O231" s="12">
        <f t="shared" si="123"/>
        <v>12.576817803138047</v>
      </c>
      <c r="P231" s="12">
        <f t="shared" si="123"/>
        <v>12.712184726655186</v>
      </c>
      <c r="Q231" s="12">
        <f t="shared" si="123"/>
        <v>12.849008632715075</v>
      </c>
      <c r="R231" s="12">
        <f t="shared" si="123"/>
        <v>12.987305203125901</v>
      </c>
      <c r="S231" s="12">
        <f t="shared" si="123"/>
        <v>13.127090288482441</v>
      </c>
      <c r="T231" s="12">
        <f t="shared" si="123"/>
        <v>13.268379909982739</v>
      </c>
      <c r="U231" s="12">
        <f t="shared" si="123"/>
        <v>13.411190261264354</v>
      </c>
      <c r="V231" s="12">
        <f t="shared" si="123"/>
        <v>13.581782700986896</v>
      </c>
      <c r="W231" s="12">
        <f t="shared" si="123"/>
        <v>13.581782700986896</v>
      </c>
      <c r="X231" s="12">
        <f t="shared" si="123"/>
        <v>13.581782700986896</v>
      </c>
      <c r="Y231" s="12">
        <f t="shared" si="123"/>
        <v>13.581782700986896</v>
      </c>
      <c r="Z231" s="12">
        <f t="shared" si="123"/>
        <v>13.581782700986896</v>
      </c>
      <c r="AA231" s="12">
        <f t="shared" si="123"/>
        <v>13.581782700986896</v>
      </c>
      <c r="AB231" s="12">
        <f t="shared" si="123"/>
        <v>13.581782700986896</v>
      </c>
      <c r="AC231" s="12">
        <f t="shared" si="123"/>
        <v>13.581782700986896</v>
      </c>
      <c r="AD231" s="12">
        <f t="shared" si="123"/>
        <v>13.581782700986896</v>
      </c>
      <c r="AE231" s="12">
        <f t="shared" si="123"/>
        <v>13.581782700986896</v>
      </c>
      <c r="AF231" s="12">
        <f t="shared" si="123"/>
        <v>13.581782700986896</v>
      </c>
      <c r="AG231" s="12">
        <f t="shared" si="123"/>
        <v>13.581782700986896</v>
      </c>
      <c r="AH231" s="12">
        <f t="shared" si="123"/>
        <v>13.581782700986896</v>
      </c>
      <c r="AI231" s="12">
        <f t="shared" si="123"/>
        <v>13.581782700986896</v>
      </c>
      <c r="AJ231" s="12">
        <f t="shared" si="123"/>
        <v>13.581782700986896</v>
      </c>
      <c r="AK231" s="12">
        <f t="shared" si="123"/>
        <v>13.581782700986896</v>
      </c>
      <c r="AL231" s="12">
        <f t="shared" si="123"/>
        <v>13.581782700986896</v>
      </c>
      <c r="AM231" s="12">
        <f t="shared" si="123"/>
        <v>13.581782700986896</v>
      </c>
      <c r="AN231" s="12">
        <f t="shared" si="123"/>
        <v>13.581782700986896</v>
      </c>
      <c r="AO231" s="12">
        <f t="shared" si="123"/>
        <v>13.581782700986896</v>
      </c>
      <c r="AP231" s="12">
        <f t="shared" si="123"/>
        <v>13.581782700986896</v>
      </c>
      <c r="AQ231" s="12">
        <f t="shared" si="123"/>
        <v>13.581782700986896</v>
      </c>
      <c r="AR231" s="12">
        <f t="shared" si="123"/>
        <v>13.581782700986896</v>
      </c>
      <c r="AS231" s="12">
        <f t="shared" si="123"/>
        <v>13.581782700986896</v>
      </c>
      <c r="AT231" s="12">
        <f t="shared" si="123"/>
        <v>13.581782700986896</v>
      </c>
      <c r="AU231" s="12">
        <f t="shared" si="123"/>
        <v>13.581782700986896</v>
      </c>
      <c r="AV231" s="12">
        <f t="shared" si="123"/>
        <v>13.581782700986896</v>
      </c>
      <c r="AW231" s="12">
        <f t="shared" si="123"/>
        <v>13.581782700986896</v>
      </c>
      <c r="AX231" s="12">
        <f t="shared" si="123"/>
        <v>13.581782700986896</v>
      </c>
      <c r="AY231" s="12">
        <f t="shared" si="123"/>
        <v>13.581782700986896</v>
      </c>
      <c r="AZ231" s="12">
        <f t="shared" si="123"/>
        <v>13.581782700986896</v>
      </c>
      <c r="BA231" s="12">
        <f t="shared" si="123"/>
        <v>13.581782700986896</v>
      </c>
      <c r="BB231" s="12">
        <f t="shared" si="123"/>
        <v>13.581782700986896</v>
      </c>
      <c r="BC231" s="12">
        <f t="shared" si="123"/>
        <v>13.581782700986896</v>
      </c>
      <c r="BD231" s="12">
        <f t="shared" si="123"/>
        <v>13.581782700986896</v>
      </c>
      <c r="BE231" s="12">
        <f t="shared" si="123"/>
        <v>13.581782700986896</v>
      </c>
      <c r="BF231" s="12">
        <f t="shared" si="123"/>
        <v>13.581782700986896</v>
      </c>
      <c r="BG231" s="12">
        <f t="shared" si="123"/>
        <v>13.581782700986896</v>
      </c>
      <c r="BH231" s="12">
        <f t="shared" si="123"/>
        <v>13.581782700986896</v>
      </c>
      <c r="BI231" s="12">
        <f t="shared" si="123"/>
        <v>13.581782700986896</v>
      </c>
      <c r="BJ231" s="12">
        <f t="shared" si="123"/>
        <v>13.581782700986896</v>
      </c>
      <c r="BK231" s="12">
        <f t="shared" si="123"/>
        <v>13.581782700986896</v>
      </c>
    </row>
    <row r="232" spans="1:64">
      <c r="A232" s="12" t="s">
        <v>233</v>
      </c>
      <c r="B232" s="12"/>
      <c r="C232" s="12">
        <f>D188</f>
        <v>6.7240587695133147</v>
      </c>
      <c r="D232" s="12">
        <f t="shared" si="122"/>
        <v>6.8909405159785191</v>
      </c>
      <c r="E232" s="12">
        <f t="shared" si="120"/>
        <v>7.028719785488434</v>
      </c>
      <c r="F232" s="12">
        <f t="shared" si="120"/>
        <v>7.1030670633106343</v>
      </c>
      <c r="G232" s="12">
        <f t="shared" si="120"/>
        <v>7.1378178806458141</v>
      </c>
      <c r="H232" s="12">
        <f t="shared" si="120"/>
        <v>7.257249872743234</v>
      </c>
      <c r="I232" s="12">
        <f t="shared" ref="I232:BK235" si="124">H232*(1+I$225/100)</f>
        <v>7.3783227361746704</v>
      </c>
      <c r="J232" s="12">
        <f t="shared" si="124"/>
        <v>7.5158969579482902</v>
      </c>
      <c r="K232" s="12">
        <f t="shared" si="124"/>
        <v>7.6558989601061516</v>
      </c>
      <c r="L232" s="12">
        <f t="shared" si="124"/>
        <v>7.7834347585596584</v>
      </c>
      <c r="M232" s="12">
        <f t="shared" si="124"/>
        <v>7.8977849264131299</v>
      </c>
      <c r="N232" s="12">
        <f t="shared" si="124"/>
        <v>7.9982951604252399</v>
      </c>
      <c r="O232" s="12">
        <f t="shared" si="124"/>
        <v>8.0843824860266853</v>
      </c>
      <c r="P232" s="12">
        <f t="shared" si="124"/>
        <v>8.1713963875396924</v>
      </c>
      <c r="Q232" s="12">
        <f t="shared" si="124"/>
        <v>8.2593468378948156</v>
      </c>
      <c r="R232" s="12">
        <f t="shared" si="124"/>
        <v>8.3482439173633498</v>
      </c>
      <c r="S232" s="12">
        <f t="shared" si="124"/>
        <v>8.4380978147126608</v>
      </c>
      <c r="T232" s="12">
        <f t="shared" si="124"/>
        <v>8.5289188283739517</v>
      </c>
      <c r="U232" s="12">
        <f t="shared" si="124"/>
        <v>8.6207173676225946</v>
      </c>
      <c r="V232" s="12">
        <f t="shared" si="124"/>
        <v>8.730374242161826</v>
      </c>
      <c r="W232" s="12">
        <f t="shared" si="124"/>
        <v>8.730374242161826</v>
      </c>
      <c r="X232" s="12">
        <f t="shared" si="124"/>
        <v>8.730374242161826</v>
      </c>
      <c r="Y232" s="12">
        <f t="shared" si="124"/>
        <v>8.730374242161826</v>
      </c>
      <c r="Z232" s="12">
        <f t="shared" si="124"/>
        <v>8.730374242161826</v>
      </c>
      <c r="AA232" s="12">
        <f t="shared" si="124"/>
        <v>8.730374242161826</v>
      </c>
      <c r="AB232" s="12">
        <f t="shared" si="124"/>
        <v>8.730374242161826</v>
      </c>
      <c r="AC232" s="12">
        <f t="shared" si="124"/>
        <v>8.730374242161826</v>
      </c>
      <c r="AD232" s="12">
        <f t="shared" si="124"/>
        <v>8.730374242161826</v>
      </c>
      <c r="AE232" s="12">
        <f t="shared" si="124"/>
        <v>8.730374242161826</v>
      </c>
      <c r="AF232" s="12">
        <f t="shared" si="124"/>
        <v>8.730374242161826</v>
      </c>
      <c r="AG232" s="12">
        <f t="shared" si="124"/>
        <v>8.730374242161826</v>
      </c>
      <c r="AH232" s="12">
        <f t="shared" si="124"/>
        <v>8.730374242161826</v>
      </c>
      <c r="AI232" s="12">
        <f t="shared" si="124"/>
        <v>8.730374242161826</v>
      </c>
      <c r="AJ232" s="12">
        <f t="shared" si="124"/>
        <v>8.730374242161826</v>
      </c>
      <c r="AK232" s="12">
        <f t="shared" si="124"/>
        <v>8.730374242161826</v>
      </c>
      <c r="AL232" s="12">
        <f t="shared" si="124"/>
        <v>8.730374242161826</v>
      </c>
      <c r="AM232" s="12">
        <f t="shared" si="124"/>
        <v>8.730374242161826</v>
      </c>
      <c r="AN232" s="12">
        <f t="shared" si="124"/>
        <v>8.730374242161826</v>
      </c>
      <c r="AO232" s="12">
        <f t="shared" si="124"/>
        <v>8.730374242161826</v>
      </c>
      <c r="AP232" s="12">
        <f t="shared" si="124"/>
        <v>8.730374242161826</v>
      </c>
      <c r="AQ232" s="12">
        <f t="shared" si="124"/>
        <v>8.730374242161826</v>
      </c>
      <c r="AR232" s="12">
        <f t="shared" si="124"/>
        <v>8.730374242161826</v>
      </c>
      <c r="AS232" s="12">
        <f t="shared" si="124"/>
        <v>8.730374242161826</v>
      </c>
      <c r="AT232" s="12">
        <f t="shared" si="124"/>
        <v>8.730374242161826</v>
      </c>
      <c r="AU232" s="12">
        <f t="shared" si="124"/>
        <v>8.730374242161826</v>
      </c>
      <c r="AV232" s="12">
        <f t="shared" si="124"/>
        <v>8.730374242161826</v>
      </c>
      <c r="AW232" s="12">
        <f t="shared" si="124"/>
        <v>8.730374242161826</v>
      </c>
      <c r="AX232" s="12">
        <f t="shared" si="124"/>
        <v>8.730374242161826</v>
      </c>
      <c r="AY232" s="12">
        <f t="shared" si="124"/>
        <v>8.730374242161826</v>
      </c>
      <c r="AZ232" s="12">
        <f t="shared" si="124"/>
        <v>8.730374242161826</v>
      </c>
      <c r="BA232" s="12">
        <f t="shared" si="124"/>
        <v>8.730374242161826</v>
      </c>
      <c r="BB232" s="12">
        <f t="shared" si="124"/>
        <v>8.730374242161826</v>
      </c>
      <c r="BC232" s="12">
        <f t="shared" si="124"/>
        <v>8.730374242161826</v>
      </c>
      <c r="BD232" s="12">
        <f t="shared" si="124"/>
        <v>8.730374242161826</v>
      </c>
      <c r="BE232" s="12">
        <f t="shared" si="124"/>
        <v>8.730374242161826</v>
      </c>
      <c r="BF232" s="12">
        <f t="shared" si="124"/>
        <v>8.730374242161826</v>
      </c>
      <c r="BG232" s="12">
        <f t="shared" si="124"/>
        <v>8.730374242161826</v>
      </c>
      <c r="BH232" s="12">
        <f t="shared" si="124"/>
        <v>8.730374242161826</v>
      </c>
      <c r="BI232" s="12">
        <f t="shared" si="124"/>
        <v>8.730374242161826</v>
      </c>
      <c r="BJ232" s="12">
        <f t="shared" si="124"/>
        <v>8.730374242161826</v>
      </c>
      <c r="BK232" s="12">
        <f t="shared" si="124"/>
        <v>8.730374242161826</v>
      </c>
    </row>
    <row r="233" spans="1:64" s="12" customFormat="1">
      <c r="A233" s="12" t="s">
        <v>234</v>
      </c>
      <c r="C233" s="12">
        <f t="shared" ref="C233:C235" si="125">D189</f>
        <v>3.3324035812672168</v>
      </c>
      <c r="D233" s="12">
        <f>C233*(1+D$225/100)</f>
        <v>3.4151091834386604</v>
      </c>
      <c r="E233" s="12">
        <f t="shared" si="120"/>
        <v>3.4833917709170641</v>
      </c>
      <c r="F233" s="12">
        <f t="shared" si="120"/>
        <v>3.5202378401387495</v>
      </c>
      <c r="G233" s="12">
        <f t="shared" si="120"/>
        <v>3.5374601387695654</v>
      </c>
      <c r="H233" s="12">
        <f t="shared" si="120"/>
        <v>3.5966499245560639</v>
      </c>
      <c r="I233" s="12">
        <f t="shared" si="124"/>
        <v>3.6566529164279507</v>
      </c>
      <c r="J233" s="12">
        <f t="shared" si="124"/>
        <v>3.7248338834663519</v>
      </c>
      <c r="K233" s="12">
        <f t="shared" si="124"/>
        <v>3.7942180440407256</v>
      </c>
      <c r="L233" s="12">
        <f t="shared" si="124"/>
        <v>3.8574240281158771</v>
      </c>
      <c r="M233" s="12">
        <f t="shared" si="124"/>
        <v>3.9140952919961296</v>
      </c>
      <c r="N233" s="12">
        <f t="shared" si="124"/>
        <v>3.9639075668820323</v>
      </c>
      <c r="O233" s="12">
        <f t="shared" si="124"/>
        <v>4.0065719340402532</v>
      </c>
      <c r="P233" s="12">
        <f t="shared" si="124"/>
        <v>4.0496955067158327</v>
      </c>
      <c r="Q233" s="12">
        <f t="shared" si="124"/>
        <v>4.0932832274339086</v>
      </c>
      <c r="R233" s="12">
        <f t="shared" si="124"/>
        <v>4.1373400919170518</v>
      </c>
      <c r="S233" s="12">
        <f t="shared" si="124"/>
        <v>4.1818711496578418</v>
      </c>
      <c r="T233" s="12">
        <f t="shared" si="124"/>
        <v>4.2268815044976034</v>
      </c>
      <c r="U233" s="12">
        <f t="shared" si="124"/>
        <v>4.2723763152113738</v>
      </c>
      <c r="V233" s="12">
        <f t="shared" si="124"/>
        <v>4.3267216108060396</v>
      </c>
      <c r="W233" s="12">
        <f t="shared" si="124"/>
        <v>4.3267216108060396</v>
      </c>
      <c r="X233" s="12">
        <f t="shared" si="124"/>
        <v>4.3267216108060396</v>
      </c>
      <c r="Y233" s="12">
        <f t="shared" si="124"/>
        <v>4.3267216108060396</v>
      </c>
      <c r="Z233" s="12">
        <f t="shared" si="124"/>
        <v>4.3267216108060396</v>
      </c>
      <c r="AA233" s="12">
        <f t="shared" si="124"/>
        <v>4.3267216108060396</v>
      </c>
      <c r="AB233" s="12">
        <f t="shared" si="124"/>
        <v>4.3267216108060396</v>
      </c>
      <c r="AC233" s="12">
        <f t="shared" si="124"/>
        <v>4.3267216108060396</v>
      </c>
      <c r="AD233" s="12">
        <f t="shared" si="124"/>
        <v>4.3267216108060396</v>
      </c>
      <c r="AE233" s="12">
        <f t="shared" si="124"/>
        <v>4.3267216108060396</v>
      </c>
      <c r="AF233" s="12">
        <f t="shared" si="124"/>
        <v>4.3267216108060396</v>
      </c>
      <c r="AG233" s="12">
        <f t="shared" si="124"/>
        <v>4.3267216108060396</v>
      </c>
      <c r="AH233" s="12">
        <f t="shared" si="124"/>
        <v>4.3267216108060396</v>
      </c>
      <c r="AI233" s="12">
        <f t="shared" si="124"/>
        <v>4.3267216108060396</v>
      </c>
      <c r="AJ233" s="12">
        <f t="shared" si="124"/>
        <v>4.3267216108060396</v>
      </c>
      <c r="AK233" s="12">
        <f t="shared" si="124"/>
        <v>4.3267216108060396</v>
      </c>
      <c r="AL233" s="12">
        <f t="shared" si="124"/>
        <v>4.3267216108060396</v>
      </c>
      <c r="AM233" s="12">
        <f t="shared" si="124"/>
        <v>4.3267216108060396</v>
      </c>
      <c r="AN233" s="12">
        <f t="shared" si="124"/>
        <v>4.3267216108060396</v>
      </c>
      <c r="AO233" s="12">
        <f t="shared" si="124"/>
        <v>4.3267216108060396</v>
      </c>
      <c r="AP233" s="12">
        <f t="shared" si="124"/>
        <v>4.3267216108060396</v>
      </c>
      <c r="AQ233" s="12">
        <f t="shared" si="124"/>
        <v>4.3267216108060396</v>
      </c>
      <c r="AR233" s="12">
        <f t="shared" si="124"/>
        <v>4.3267216108060396</v>
      </c>
      <c r="AS233" s="12">
        <f t="shared" si="124"/>
        <v>4.3267216108060396</v>
      </c>
      <c r="AT233" s="12">
        <f t="shared" si="124"/>
        <v>4.3267216108060396</v>
      </c>
      <c r="AU233" s="12">
        <f t="shared" si="124"/>
        <v>4.3267216108060396</v>
      </c>
      <c r="AV233" s="12">
        <f t="shared" si="124"/>
        <v>4.3267216108060396</v>
      </c>
      <c r="AW233" s="12">
        <f t="shared" si="124"/>
        <v>4.3267216108060396</v>
      </c>
      <c r="AX233" s="12">
        <f t="shared" si="124"/>
        <v>4.3267216108060396</v>
      </c>
      <c r="AY233" s="12">
        <f t="shared" si="124"/>
        <v>4.3267216108060396</v>
      </c>
      <c r="AZ233" s="12">
        <f t="shared" si="124"/>
        <v>4.3267216108060396</v>
      </c>
      <c r="BA233" s="12">
        <f t="shared" si="124"/>
        <v>4.3267216108060396</v>
      </c>
      <c r="BB233" s="12">
        <f t="shared" si="124"/>
        <v>4.3267216108060396</v>
      </c>
      <c r="BC233" s="12">
        <f t="shared" si="124"/>
        <v>4.3267216108060396</v>
      </c>
      <c r="BD233" s="12">
        <f t="shared" si="124"/>
        <v>4.3267216108060396</v>
      </c>
      <c r="BE233" s="12">
        <f t="shared" si="124"/>
        <v>4.3267216108060396</v>
      </c>
      <c r="BF233" s="12">
        <f t="shared" si="124"/>
        <v>4.3267216108060396</v>
      </c>
      <c r="BG233" s="12">
        <f t="shared" si="124"/>
        <v>4.3267216108060396</v>
      </c>
      <c r="BH233" s="12">
        <f t="shared" si="124"/>
        <v>4.3267216108060396</v>
      </c>
      <c r="BI233" s="12">
        <f t="shared" si="124"/>
        <v>4.3267216108060396</v>
      </c>
      <c r="BJ233" s="12">
        <f t="shared" si="124"/>
        <v>4.3267216108060396</v>
      </c>
      <c r="BK233" s="12">
        <f t="shared" si="124"/>
        <v>4.3267216108060396</v>
      </c>
    </row>
    <row r="234" spans="1:64" s="12" customFormat="1">
      <c r="A234" s="12" t="s">
        <v>235</v>
      </c>
      <c r="B234" s="12" t="s">
        <v>231</v>
      </c>
      <c r="C234" s="12">
        <f t="shared" si="125"/>
        <v>1.9037075298438937</v>
      </c>
      <c r="D234" s="12">
        <f t="shared" si="122"/>
        <v>1.9509548916277801</v>
      </c>
      <c r="E234" s="12">
        <f t="shared" si="120"/>
        <v>1.9899627947132852</v>
      </c>
      <c r="F234" s="12">
        <f t="shared" si="120"/>
        <v>2.0110119076769073</v>
      </c>
      <c r="G234" s="12">
        <f t="shared" si="120"/>
        <v>2.0208505177927436</v>
      </c>
      <c r="H234" s="12">
        <f t="shared" si="120"/>
        <v>2.0546639614959687</v>
      </c>
      <c r="I234" s="12">
        <f t="shared" si="124"/>
        <v>2.0889419667417304</v>
      </c>
      <c r="J234" s="12">
        <f t="shared" si="124"/>
        <v>2.1278918169557568</v>
      </c>
      <c r="K234" s="12">
        <f t="shared" si="124"/>
        <v>2.167529017467678</v>
      </c>
      <c r="L234" s="12">
        <f t="shared" si="124"/>
        <v>2.2036368011981535</v>
      </c>
      <c r="M234" s="12">
        <f t="shared" si="124"/>
        <v>2.2360114848592429</v>
      </c>
      <c r="N234" s="12">
        <f t="shared" si="124"/>
        <v>2.2644678228946518</v>
      </c>
      <c r="O234" s="12">
        <f t="shared" si="124"/>
        <v>2.2888407642369617</v>
      </c>
      <c r="P234" s="12">
        <f t="shared" si="124"/>
        <v>2.3134760366504707</v>
      </c>
      <c r="Q234" s="12">
        <f t="shared" si="124"/>
        <v>2.3383764636594289</v>
      </c>
      <c r="R234" s="12">
        <f t="shared" si="124"/>
        <v>2.3635448991782679</v>
      </c>
      <c r="S234" s="12">
        <f t="shared" si="124"/>
        <v>2.3889842278386992</v>
      </c>
      <c r="T234" s="12">
        <f t="shared" si="124"/>
        <v>2.414697365320329</v>
      </c>
      <c r="U234" s="12">
        <f t="shared" si="124"/>
        <v>2.4406872586848332</v>
      </c>
      <c r="V234" s="12">
        <f t="shared" si="124"/>
        <v>2.4717331827189848</v>
      </c>
      <c r="W234" s="12">
        <f t="shared" si="124"/>
        <v>2.4717331827189848</v>
      </c>
      <c r="X234" s="12">
        <f t="shared" si="124"/>
        <v>2.4717331827189848</v>
      </c>
      <c r="Y234" s="12">
        <f t="shared" si="124"/>
        <v>2.4717331827189848</v>
      </c>
      <c r="Z234" s="12">
        <f t="shared" si="124"/>
        <v>2.4717331827189848</v>
      </c>
      <c r="AA234" s="12">
        <f t="shared" si="124"/>
        <v>2.4717331827189848</v>
      </c>
      <c r="AB234" s="12">
        <f t="shared" si="124"/>
        <v>2.4717331827189848</v>
      </c>
      <c r="AC234" s="12">
        <f t="shared" si="124"/>
        <v>2.4717331827189848</v>
      </c>
      <c r="AD234" s="12">
        <f t="shared" si="124"/>
        <v>2.4717331827189848</v>
      </c>
      <c r="AE234" s="12">
        <f t="shared" si="124"/>
        <v>2.4717331827189848</v>
      </c>
      <c r="AF234" s="12">
        <f t="shared" si="124"/>
        <v>2.4717331827189848</v>
      </c>
      <c r="AG234" s="12">
        <f t="shared" si="124"/>
        <v>2.4717331827189848</v>
      </c>
      <c r="AH234" s="12">
        <f t="shared" si="124"/>
        <v>2.4717331827189848</v>
      </c>
      <c r="AI234" s="12">
        <f t="shared" si="124"/>
        <v>2.4717331827189848</v>
      </c>
      <c r="AJ234" s="12">
        <f t="shared" si="124"/>
        <v>2.4717331827189848</v>
      </c>
      <c r="AK234" s="12">
        <f t="shared" si="124"/>
        <v>2.4717331827189848</v>
      </c>
      <c r="AL234" s="12">
        <f t="shared" si="124"/>
        <v>2.4717331827189848</v>
      </c>
      <c r="AM234" s="12">
        <f t="shared" si="124"/>
        <v>2.4717331827189848</v>
      </c>
      <c r="AN234" s="12">
        <f t="shared" si="124"/>
        <v>2.4717331827189848</v>
      </c>
      <c r="AO234" s="12">
        <f t="shared" si="124"/>
        <v>2.4717331827189848</v>
      </c>
      <c r="AP234" s="12">
        <f t="shared" si="124"/>
        <v>2.4717331827189848</v>
      </c>
      <c r="AQ234" s="12">
        <f t="shared" si="124"/>
        <v>2.4717331827189848</v>
      </c>
      <c r="AR234" s="12">
        <f t="shared" si="124"/>
        <v>2.4717331827189848</v>
      </c>
      <c r="AS234" s="12">
        <f t="shared" si="124"/>
        <v>2.4717331827189848</v>
      </c>
      <c r="AT234" s="12">
        <f t="shared" si="124"/>
        <v>2.4717331827189848</v>
      </c>
      <c r="AU234" s="12">
        <f t="shared" si="124"/>
        <v>2.4717331827189848</v>
      </c>
      <c r="AV234" s="12">
        <f t="shared" si="124"/>
        <v>2.4717331827189848</v>
      </c>
      <c r="AW234" s="12">
        <f t="shared" si="124"/>
        <v>2.4717331827189848</v>
      </c>
      <c r="AX234" s="12">
        <f t="shared" si="124"/>
        <v>2.4717331827189848</v>
      </c>
      <c r="AY234" s="12">
        <f t="shared" si="124"/>
        <v>2.4717331827189848</v>
      </c>
      <c r="AZ234" s="12">
        <f t="shared" si="124"/>
        <v>2.4717331827189848</v>
      </c>
      <c r="BA234" s="12">
        <f t="shared" si="124"/>
        <v>2.4717331827189848</v>
      </c>
      <c r="BB234" s="12">
        <f t="shared" si="124"/>
        <v>2.4717331827189848</v>
      </c>
      <c r="BC234" s="12">
        <f t="shared" si="124"/>
        <v>2.4717331827189848</v>
      </c>
      <c r="BD234" s="12">
        <f t="shared" si="124"/>
        <v>2.4717331827189848</v>
      </c>
      <c r="BE234" s="12">
        <f t="shared" si="124"/>
        <v>2.4717331827189848</v>
      </c>
      <c r="BF234" s="12">
        <f t="shared" si="124"/>
        <v>2.4717331827189848</v>
      </c>
      <c r="BG234" s="12">
        <f t="shared" si="124"/>
        <v>2.4717331827189848</v>
      </c>
      <c r="BH234" s="12">
        <f t="shared" si="124"/>
        <v>2.4717331827189848</v>
      </c>
      <c r="BI234" s="12">
        <f t="shared" si="124"/>
        <v>2.4717331827189848</v>
      </c>
      <c r="BJ234" s="12">
        <f t="shared" si="124"/>
        <v>2.4717331827189848</v>
      </c>
      <c r="BK234" s="12">
        <f t="shared" si="124"/>
        <v>2.4717331827189848</v>
      </c>
    </row>
    <row r="235" spans="1:64" s="12" customFormat="1">
      <c r="B235" s="12" t="s">
        <v>232</v>
      </c>
      <c r="C235" s="12">
        <f t="shared" si="125"/>
        <v>3.6939049586776864</v>
      </c>
      <c r="D235" s="12">
        <f>C235*(1+D$225/100)</f>
        <v>3.7855825200897844</v>
      </c>
      <c r="E235" s="12">
        <f t="shared" si="120"/>
        <v>3.8612724484933252</v>
      </c>
      <c r="F235" s="12">
        <f t="shared" si="120"/>
        <v>3.9021156040375309</v>
      </c>
      <c r="G235" s="12">
        <f t="shared" si="120"/>
        <v>3.921206189184486</v>
      </c>
      <c r="H235" s="12">
        <f t="shared" si="120"/>
        <v>3.9868169226649348</v>
      </c>
      <c r="I235" s="12">
        <f t="shared" si="124"/>
        <v>4.053329079372789</v>
      </c>
      <c r="J235" s="12">
        <f t="shared" si="124"/>
        <v>4.1289063634827823</v>
      </c>
      <c r="K235" s="12">
        <f t="shared" si="124"/>
        <v>4.205817364371188</v>
      </c>
      <c r="L235" s="12">
        <f t="shared" si="124"/>
        <v>4.2758799760265624</v>
      </c>
      <c r="M235" s="12">
        <f t="shared" si="124"/>
        <v>4.3386989766537889</v>
      </c>
      <c r="N235" s="12">
        <f t="shared" si="124"/>
        <v>4.3939149205563819</v>
      </c>
      <c r="O235" s="12">
        <f t="shared" si="124"/>
        <v>4.4412075469028789</v>
      </c>
      <c r="P235" s="12">
        <f t="shared" si="124"/>
        <v>4.4890091936895047</v>
      </c>
      <c r="Q235" s="12">
        <f t="shared" si="124"/>
        <v>4.5373253396098416</v>
      </c>
      <c r="R235" s="12">
        <f t="shared" si="124"/>
        <v>4.5861615223257983</v>
      </c>
      <c r="S235" s="12">
        <f t="shared" si="124"/>
        <v>4.6355233391022983</v>
      </c>
      <c r="T235" s="12">
        <f t="shared" si="124"/>
        <v>4.6854164474487998</v>
      </c>
      <c r="U235" s="12">
        <f t="shared" si="124"/>
        <v>4.7358465657677202</v>
      </c>
      <c r="V235" s="12">
        <f t="shared" si="124"/>
        <v>4.7960872755084063</v>
      </c>
      <c r="W235" s="12">
        <f t="shared" si="124"/>
        <v>4.7960872755084063</v>
      </c>
      <c r="X235" s="12">
        <f t="shared" si="124"/>
        <v>4.7960872755084063</v>
      </c>
      <c r="Y235" s="12">
        <f t="shared" si="124"/>
        <v>4.7960872755084063</v>
      </c>
      <c r="Z235" s="12">
        <f t="shared" si="124"/>
        <v>4.7960872755084063</v>
      </c>
      <c r="AA235" s="12">
        <f t="shared" si="124"/>
        <v>4.7960872755084063</v>
      </c>
      <c r="AB235" s="12">
        <f t="shared" si="124"/>
        <v>4.7960872755084063</v>
      </c>
      <c r="AC235" s="12">
        <f t="shared" si="124"/>
        <v>4.7960872755084063</v>
      </c>
      <c r="AD235" s="12">
        <f t="shared" si="124"/>
        <v>4.7960872755084063</v>
      </c>
      <c r="AE235" s="12">
        <f t="shared" si="124"/>
        <v>4.7960872755084063</v>
      </c>
      <c r="AF235" s="12">
        <f t="shared" si="124"/>
        <v>4.7960872755084063</v>
      </c>
      <c r="AG235" s="12">
        <f t="shared" si="124"/>
        <v>4.7960872755084063</v>
      </c>
      <c r="AH235" s="12">
        <f t="shared" si="124"/>
        <v>4.7960872755084063</v>
      </c>
      <c r="AI235" s="12">
        <f t="shared" si="124"/>
        <v>4.7960872755084063</v>
      </c>
      <c r="AJ235" s="12">
        <f t="shared" si="124"/>
        <v>4.7960872755084063</v>
      </c>
      <c r="AK235" s="12">
        <f t="shared" si="124"/>
        <v>4.7960872755084063</v>
      </c>
      <c r="AL235" s="12">
        <f t="shared" si="124"/>
        <v>4.7960872755084063</v>
      </c>
      <c r="AM235" s="12">
        <f t="shared" si="124"/>
        <v>4.7960872755084063</v>
      </c>
      <c r="AN235" s="12">
        <f t="shared" si="124"/>
        <v>4.7960872755084063</v>
      </c>
      <c r="AO235" s="12">
        <f t="shared" si="124"/>
        <v>4.7960872755084063</v>
      </c>
      <c r="AP235" s="12">
        <f t="shared" si="124"/>
        <v>4.7960872755084063</v>
      </c>
      <c r="AQ235" s="12">
        <f t="shared" si="124"/>
        <v>4.7960872755084063</v>
      </c>
      <c r="AR235" s="12">
        <f t="shared" si="124"/>
        <v>4.7960872755084063</v>
      </c>
      <c r="AS235" s="12">
        <f t="shared" si="124"/>
        <v>4.7960872755084063</v>
      </c>
      <c r="AT235" s="12">
        <f t="shared" si="124"/>
        <v>4.7960872755084063</v>
      </c>
      <c r="AU235" s="12">
        <f t="shared" si="124"/>
        <v>4.7960872755084063</v>
      </c>
      <c r="AV235" s="12">
        <f t="shared" si="124"/>
        <v>4.7960872755084063</v>
      </c>
      <c r="AW235" s="12">
        <f t="shared" si="124"/>
        <v>4.7960872755084063</v>
      </c>
      <c r="AX235" s="12">
        <f t="shared" si="124"/>
        <v>4.7960872755084063</v>
      </c>
      <c r="AY235" s="12">
        <f t="shared" si="124"/>
        <v>4.7960872755084063</v>
      </c>
      <c r="AZ235" s="12">
        <f t="shared" si="124"/>
        <v>4.7960872755084063</v>
      </c>
      <c r="BA235" s="12">
        <f t="shared" si="124"/>
        <v>4.7960872755084063</v>
      </c>
      <c r="BB235" s="12">
        <f t="shared" si="124"/>
        <v>4.7960872755084063</v>
      </c>
      <c r="BC235" s="12">
        <f t="shared" si="124"/>
        <v>4.7960872755084063</v>
      </c>
      <c r="BD235" s="12">
        <f t="shared" si="124"/>
        <v>4.7960872755084063</v>
      </c>
      <c r="BE235" s="12">
        <f t="shared" si="124"/>
        <v>4.7960872755084063</v>
      </c>
      <c r="BF235" s="12">
        <f t="shared" si="124"/>
        <v>4.7960872755084063</v>
      </c>
      <c r="BG235" s="12">
        <f t="shared" si="124"/>
        <v>4.7960872755084063</v>
      </c>
      <c r="BH235" s="12">
        <f t="shared" si="124"/>
        <v>4.7960872755084063</v>
      </c>
      <c r="BI235" s="12">
        <f t="shared" si="124"/>
        <v>4.7960872755084063</v>
      </c>
      <c r="BJ235" s="12">
        <f t="shared" si="124"/>
        <v>4.7960872755084063</v>
      </c>
      <c r="BK235" s="12">
        <f t="shared" si="124"/>
        <v>4.7960872755084063</v>
      </c>
    </row>
    <row r="236" spans="1:64">
      <c r="A236" s="12"/>
      <c r="B236" s="12" t="s">
        <v>233</v>
      </c>
      <c r="C236" s="12">
        <f>D192</f>
        <v>7.533275941230487</v>
      </c>
      <c r="D236" s="12">
        <f t="shared" si="122"/>
        <v>7.7202413275796973</v>
      </c>
      <c r="E236" s="12">
        <f t="shared" si="120"/>
        <v>7.8746018547222159</v>
      </c>
      <c r="F236" s="12">
        <f t="shared" si="120"/>
        <v>7.9578965697912363</v>
      </c>
      <c r="G236" s="12">
        <f t="shared" si="120"/>
        <v>7.9968295275690808</v>
      </c>
      <c r="H236" s="12">
        <f t="shared" si="120"/>
        <v>8.1306347460421851</v>
      </c>
      <c r="I236" s="12">
        <f t="shared" ref="I236:BJ237" si="126">H236*(1+I$225/100)</f>
        <v>8.2662783090281682</v>
      </c>
      <c r="J236" s="12">
        <f t="shared" si="126"/>
        <v>8.4204091116498905</v>
      </c>
      <c r="K236" s="12">
        <f t="shared" si="126"/>
        <v>8.5772598696119982</v>
      </c>
      <c r="L236" s="12">
        <f t="shared" si="126"/>
        <v>8.720144159453648</v>
      </c>
      <c r="M236" s="12">
        <f t="shared" si="126"/>
        <v>8.8482559737453261</v>
      </c>
      <c r="N236" s="12">
        <f t="shared" si="126"/>
        <v>8.9608622661180029</v>
      </c>
      <c r="O236" s="12">
        <f t="shared" si="126"/>
        <v>9.0573099030331665</v>
      </c>
      <c r="P236" s="12">
        <f t="shared" si="126"/>
        <v>9.1547956260599417</v>
      </c>
      <c r="Q236" s="12">
        <f t="shared" si="126"/>
        <v>9.2533306083365154</v>
      </c>
      <c r="R236" s="12">
        <f t="shared" si="126"/>
        <v>9.3529261432599018</v>
      </c>
      <c r="S236" s="12">
        <f t="shared" si="126"/>
        <v>9.4535936457803107</v>
      </c>
      <c r="T236" s="12">
        <f t="shared" si="126"/>
        <v>9.5553446537094526</v>
      </c>
      <c r="U236" s="12">
        <f t="shared" si="126"/>
        <v>9.658190829042919</v>
      </c>
      <c r="V236" s="12">
        <f t="shared" si="126"/>
        <v>9.7810445284338776</v>
      </c>
      <c r="W236" s="12">
        <f t="shared" si="126"/>
        <v>9.7810445284338776</v>
      </c>
      <c r="X236" s="12">
        <f t="shared" si="126"/>
        <v>9.7810445284338776</v>
      </c>
      <c r="Y236" s="12">
        <f t="shared" si="126"/>
        <v>9.7810445284338776</v>
      </c>
      <c r="Z236" s="12">
        <f t="shared" si="126"/>
        <v>9.7810445284338776</v>
      </c>
      <c r="AA236" s="12">
        <f t="shared" si="126"/>
        <v>9.7810445284338776</v>
      </c>
      <c r="AB236" s="12">
        <f t="shared" si="126"/>
        <v>9.7810445284338776</v>
      </c>
      <c r="AC236" s="12">
        <f t="shared" si="126"/>
        <v>9.7810445284338776</v>
      </c>
      <c r="AD236" s="12">
        <f t="shared" si="126"/>
        <v>9.7810445284338776</v>
      </c>
      <c r="AE236" s="12">
        <f t="shared" si="126"/>
        <v>9.7810445284338776</v>
      </c>
      <c r="AF236" s="12">
        <f t="shared" si="126"/>
        <v>9.7810445284338776</v>
      </c>
      <c r="AG236" s="12">
        <f t="shared" si="126"/>
        <v>9.7810445284338776</v>
      </c>
      <c r="AH236" s="12">
        <f t="shared" si="126"/>
        <v>9.7810445284338776</v>
      </c>
      <c r="AI236" s="12">
        <f t="shared" si="126"/>
        <v>9.7810445284338776</v>
      </c>
      <c r="AJ236" s="12">
        <f t="shared" si="126"/>
        <v>9.7810445284338776</v>
      </c>
      <c r="AK236" s="12">
        <f t="shared" si="126"/>
        <v>9.7810445284338776</v>
      </c>
      <c r="AL236" s="12">
        <f t="shared" si="126"/>
        <v>9.7810445284338776</v>
      </c>
      <c r="AM236" s="12">
        <f t="shared" si="126"/>
        <v>9.7810445284338776</v>
      </c>
      <c r="AN236" s="12">
        <f t="shared" si="126"/>
        <v>9.7810445284338776</v>
      </c>
      <c r="AO236" s="12">
        <f t="shared" si="126"/>
        <v>9.7810445284338776</v>
      </c>
      <c r="AP236" s="12">
        <f t="shared" si="126"/>
        <v>9.7810445284338776</v>
      </c>
      <c r="AQ236" s="12">
        <f t="shared" si="126"/>
        <v>9.7810445284338776</v>
      </c>
      <c r="AR236" s="12">
        <f t="shared" si="126"/>
        <v>9.7810445284338776</v>
      </c>
      <c r="AS236" s="12">
        <f t="shared" si="126"/>
        <v>9.7810445284338776</v>
      </c>
      <c r="AT236" s="12">
        <f t="shared" si="126"/>
        <v>9.7810445284338776</v>
      </c>
      <c r="AU236" s="12">
        <f t="shared" si="126"/>
        <v>9.7810445284338776</v>
      </c>
      <c r="AV236" s="12">
        <f t="shared" si="126"/>
        <v>9.7810445284338776</v>
      </c>
      <c r="AW236" s="12">
        <f t="shared" si="126"/>
        <v>9.7810445284338776</v>
      </c>
      <c r="AX236" s="12">
        <f t="shared" si="126"/>
        <v>9.7810445284338776</v>
      </c>
      <c r="AY236" s="12">
        <f t="shared" si="126"/>
        <v>9.7810445284338776</v>
      </c>
      <c r="AZ236" s="12">
        <f t="shared" si="126"/>
        <v>9.7810445284338776</v>
      </c>
      <c r="BA236" s="12">
        <f t="shared" si="126"/>
        <v>9.7810445284338776</v>
      </c>
      <c r="BB236" s="12">
        <f t="shared" si="126"/>
        <v>9.7810445284338776</v>
      </c>
      <c r="BC236" s="12">
        <f t="shared" si="126"/>
        <v>9.7810445284338776</v>
      </c>
      <c r="BD236" s="12">
        <f t="shared" si="126"/>
        <v>9.7810445284338776</v>
      </c>
      <c r="BE236" s="12">
        <f t="shared" si="126"/>
        <v>9.7810445284338776</v>
      </c>
      <c r="BF236" s="12">
        <f t="shared" si="126"/>
        <v>9.7810445284338776</v>
      </c>
      <c r="BG236" s="12">
        <f t="shared" si="126"/>
        <v>9.7810445284338776</v>
      </c>
      <c r="BH236" s="12">
        <f t="shared" si="126"/>
        <v>9.7810445284338776</v>
      </c>
      <c r="BI236" s="12">
        <f t="shared" si="126"/>
        <v>9.7810445284338776</v>
      </c>
      <c r="BJ236" s="12">
        <f t="shared" si="126"/>
        <v>9.7810445284338776</v>
      </c>
      <c r="BK236" s="12">
        <f>BJ236*(1+BK$225/100)</f>
        <v>9.7810445284338776</v>
      </c>
    </row>
    <row r="237" spans="1:64">
      <c r="A237" s="12"/>
      <c r="B237" s="12" t="s">
        <v>234</v>
      </c>
      <c r="C237" s="12">
        <f>D193</f>
        <v>9.9121915927334197</v>
      </c>
      <c r="D237" s="12">
        <f t="shared" si="122"/>
        <v>10.158198342673352</v>
      </c>
      <c r="E237" s="12">
        <f t="shared" si="122"/>
        <v>10.361304020910602</v>
      </c>
      <c r="F237" s="12">
        <f t="shared" si="120"/>
        <v>10.470902179914374</v>
      </c>
      <c r="G237" s="12">
        <f t="shared" si="120"/>
        <v>10.52212968568695</v>
      </c>
      <c r="H237" s="12">
        <f t="shared" si="120"/>
        <v>10.698188942238799</v>
      </c>
      <c r="I237" s="12">
        <f t="shared" si="126"/>
        <v>10.876667069832575</v>
      </c>
      <c r="J237" s="12">
        <f t="shared" si="126"/>
        <v>11.079470479378029</v>
      </c>
      <c r="K237" s="12">
        <f t="shared" si="126"/>
        <v>11.285852772621347</v>
      </c>
      <c r="L237" s="12">
        <f t="shared" si="126"/>
        <v>11.473858159328413</v>
      </c>
      <c r="M237" s="12">
        <f t="shared" si="126"/>
        <v>11.64242610486213</v>
      </c>
      <c r="N237" s="12">
        <f t="shared" si="126"/>
        <v>11.790592075849117</v>
      </c>
      <c r="O237" s="12">
        <f t="shared" si="126"/>
        <v>11.917496687233012</v>
      </c>
      <c r="P237" s="12">
        <f t="shared" si="126"/>
        <v>12.045767199522212</v>
      </c>
      <c r="Q237" s="12">
        <f t="shared" si="126"/>
        <v>12.175418314194172</v>
      </c>
      <c r="R237" s="12">
        <f t="shared" si="126"/>
        <v>12.306464890961427</v>
      </c>
      <c r="S237" s="12">
        <f t="shared" si="126"/>
        <v>12.438921949474709</v>
      </c>
      <c r="T237" s="12">
        <f t="shared" si="126"/>
        <v>12.572804671044397</v>
      </c>
      <c r="U237" s="12">
        <f t="shared" si="126"/>
        <v>12.70812840038049</v>
      </c>
      <c r="V237" s="12">
        <f t="shared" si="126"/>
        <v>12.869777783164196</v>
      </c>
      <c r="W237" s="12">
        <f t="shared" si="126"/>
        <v>12.869777783164196</v>
      </c>
      <c r="X237" s="12">
        <f t="shared" si="126"/>
        <v>12.869777783164196</v>
      </c>
      <c r="Y237" s="12">
        <f t="shared" si="126"/>
        <v>12.869777783164196</v>
      </c>
      <c r="Z237" s="12">
        <f t="shared" si="126"/>
        <v>12.869777783164196</v>
      </c>
      <c r="AA237" s="12">
        <f t="shared" si="126"/>
        <v>12.869777783164196</v>
      </c>
      <c r="AB237" s="12">
        <f t="shared" si="126"/>
        <v>12.869777783164196</v>
      </c>
      <c r="AC237" s="12">
        <f t="shared" si="126"/>
        <v>12.869777783164196</v>
      </c>
      <c r="AD237" s="12">
        <f t="shared" si="126"/>
        <v>12.869777783164196</v>
      </c>
      <c r="AE237" s="12">
        <f t="shared" si="126"/>
        <v>12.869777783164196</v>
      </c>
      <c r="AF237" s="12">
        <f t="shared" si="126"/>
        <v>12.869777783164196</v>
      </c>
      <c r="AG237" s="12">
        <f t="shared" si="126"/>
        <v>12.869777783164196</v>
      </c>
      <c r="AH237" s="12">
        <f t="shared" si="126"/>
        <v>12.869777783164196</v>
      </c>
      <c r="AI237" s="12">
        <f t="shared" si="126"/>
        <v>12.869777783164196</v>
      </c>
      <c r="AJ237" s="12">
        <f t="shared" si="126"/>
        <v>12.869777783164196</v>
      </c>
      <c r="AK237" s="12">
        <f t="shared" si="126"/>
        <v>12.869777783164196</v>
      </c>
      <c r="AL237" s="12">
        <f t="shared" si="126"/>
        <v>12.869777783164196</v>
      </c>
      <c r="AM237" s="12">
        <f t="shared" si="126"/>
        <v>12.869777783164196</v>
      </c>
      <c r="AN237" s="12">
        <f t="shared" si="126"/>
        <v>12.869777783164196</v>
      </c>
      <c r="AO237" s="12">
        <f t="shared" si="126"/>
        <v>12.869777783164196</v>
      </c>
      <c r="AP237" s="12">
        <f t="shared" si="126"/>
        <v>12.869777783164196</v>
      </c>
      <c r="AQ237" s="12">
        <f t="shared" si="126"/>
        <v>12.869777783164196</v>
      </c>
      <c r="AR237" s="12">
        <f t="shared" si="126"/>
        <v>12.869777783164196</v>
      </c>
      <c r="AS237" s="12">
        <f t="shared" si="126"/>
        <v>12.869777783164196</v>
      </c>
      <c r="AT237" s="12">
        <f t="shared" si="126"/>
        <v>12.869777783164196</v>
      </c>
      <c r="AU237" s="12">
        <f t="shared" si="126"/>
        <v>12.869777783164196</v>
      </c>
      <c r="AV237" s="12">
        <f t="shared" si="126"/>
        <v>12.869777783164196</v>
      </c>
      <c r="AW237" s="12">
        <f t="shared" si="126"/>
        <v>12.869777783164196</v>
      </c>
      <c r="AX237" s="12">
        <f t="shared" si="126"/>
        <v>12.869777783164196</v>
      </c>
      <c r="AY237" s="12">
        <f t="shared" si="126"/>
        <v>12.869777783164196</v>
      </c>
      <c r="AZ237" s="12">
        <f t="shared" si="126"/>
        <v>12.869777783164196</v>
      </c>
      <c r="BA237" s="12">
        <f t="shared" si="126"/>
        <v>12.869777783164196</v>
      </c>
      <c r="BB237" s="12">
        <f t="shared" si="126"/>
        <v>12.869777783164196</v>
      </c>
      <c r="BC237" s="12">
        <f t="shared" si="126"/>
        <v>12.869777783164196</v>
      </c>
      <c r="BD237" s="12">
        <f t="shared" si="126"/>
        <v>12.869777783164196</v>
      </c>
      <c r="BE237" s="12">
        <f t="shared" si="126"/>
        <v>12.869777783164196</v>
      </c>
      <c r="BF237" s="12">
        <f t="shared" si="126"/>
        <v>12.869777783164196</v>
      </c>
      <c r="BG237" s="12">
        <f t="shared" si="126"/>
        <v>12.869777783164196</v>
      </c>
      <c r="BH237" s="12">
        <f t="shared" si="126"/>
        <v>12.869777783164196</v>
      </c>
      <c r="BI237" s="12">
        <f t="shared" si="126"/>
        <v>12.869777783164196</v>
      </c>
      <c r="BJ237" s="12">
        <f t="shared" si="126"/>
        <v>12.869777783164196</v>
      </c>
      <c r="BK237" s="12">
        <f t="shared" ref="BK237" si="127">BJ237*(1+BK$225/100)</f>
        <v>12.869777783164196</v>
      </c>
    </row>
    <row r="238" spans="1:64">
      <c r="A238" s="12"/>
      <c r="C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</row>
    <row r="239" spans="1:64">
      <c r="A239" s="12"/>
      <c r="C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</row>
    <row r="240" spans="1:64">
      <c r="A240" s="12" t="s">
        <v>98</v>
      </c>
      <c r="C240" s="12">
        <f>D197</f>
        <v>2010</v>
      </c>
      <c r="D240">
        <f>D223</f>
        <v>2011</v>
      </c>
      <c r="E240" s="12">
        <f t="shared" ref="E240:BK240" si="128">E223</f>
        <v>2012</v>
      </c>
      <c r="F240" s="12">
        <f t="shared" si="128"/>
        <v>2013</v>
      </c>
      <c r="G240" s="12">
        <f t="shared" si="128"/>
        <v>2014</v>
      </c>
      <c r="H240" s="12">
        <f t="shared" si="128"/>
        <v>2015</v>
      </c>
      <c r="I240" s="12">
        <f t="shared" si="128"/>
        <v>2016</v>
      </c>
      <c r="J240" s="12">
        <f t="shared" si="128"/>
        <v>2017</v>
      </c>
      <c r="K240" s="12">
        <f t="shared" si="128"/>
        <v>2018</v>
      </c>
      <c r="L240" s="12">
        <f t="shared" si="128"/>
        <v>2019</v>
      </c>
      <c r="M240" s="12">
        <f t="shared" si="128"/>
        <v>2020</v>
      </c>
      <c r="N240" s="12">
        <f t="shared" si="128"/>
        <v>2021</v>
      </c>
      <c r="O240" s="12">
        <f t="shared" si="128"/>
        <v>2022</v>
      </c>
      <c r="P240" s="12">
        <f t="shared" si="128"/>
        <v>2023</v>
      </c>
      <c r="Q240" s="12">
        <f t="shared" si="128"/>
        <v>2024</v>
      </c>
      <c r="R240" s="12">
        <f t="shared" si="128"/>
        <v>2025</v>
      </c>
      <c r="S240" s="12">
        <f t="shared" si="128"/>
        <v>2026</v>
      </c>
      <c r="T240" s="12">
        <f t="shared" si="128"/>
        <v>2027</v>
      </c>
      <c r="U240" s="12">
        <f t="shared" si="128"/>
        <v>2028</v>
      </c>
      <c r="V240" s="12">
        <f t="shared" si="128"/>
        <v>2029</v>
      </c>
      <c r="W240" s="12">
        <f t="shared" si="128"/>
        <v>2030</v>
      </c>
      <c r="X240" s="12">
        <f t="shared" si="128"/>
        <v>2031</v>
      </c>
      <c r="Y240" s="12">
        <f t="shared" si="128"/>
        <v>2032</v>
      </c>
      <c r="Z240" s="12">
        <f t="shared" si="128"/>
        <v>2033</v>
      </c>
      <c r="AA240" s="12">
        <f t="shared" si="128"/>
        <v>2034</v>
      </c>
      <c r="AB240" s="12">
        <f t="shared" si="128"/>
        <v>2035</v>
      </c>
      <c r="AC240" s="12">
        <f t="shared" si="128"/>
        <v>2036</v>
      </c>
      <c r="AD240" s="12">
        <f t="shared" si="128"/>
        <v>2037</v>
      </c>
      <c r="AE240" s="12">
        <f t="shared" si="128"/>
        <v>2038</v>
      </c>
      <c r="AF240" s="12">
        <f t="shared" si="128"/>
        <v>2039</v>
      </c>
      <c r="AG240" s="12">
        <f t="shared" si="128"/>
        <v>2040</v>
      </c>
      <c r="AH240" s="12">
        <f t="shared" si="128"/>
        <v>2041</v>
      </c>
      <c r="AI240" s="12">
        <f t="shared" si="128"/>
        <v>2042</v>
      </c>
      <c r="AJ240" s="12">
        <f t="shared" si="128"/>
        <v>2043</v>
      </c>
      <c r="AK240" s="12">
        <f t="shared" si="128"/>
        <v>2044</v>
      </c>
      <c r="AL240" s="12">
        <f t="shared" si="128"/>
        <v>2045</v>
      </c>
      <c r="AM240" s="12">
        <f t="shared" si="128"/>
        <v>2046</v>
      </c>
      <c r="AN240" s="12">
        <f t="shared" si="128"/>
        <v>2047</v>
      </c>
      <c r="AO240" s="12">
        <f t="shared" si="128"/>
        <v>2048</v>
      </c>
      <c r="AP240" s="12">
        <f t="shared" si="128"/>
        <v>2049</v>
      </c>
      <c r="AQ240" s="12">
        <f t="shared" si="128"/>
        <v>2050</v>
      </c>
      <c r="AR240" s="12">
        <f t="shared" si="128"/>
        <v>2051</v>
      </c>
      <c r="AS240" s="12">
        <f t="shared" si="128"/>
        <v>2052</v>
      </c>
      <c r="AT240" s="12">
        <f t="shared" si="128"/>
        <v>2053</v>
      </c>
      <c r="AU240" s="12">
        <f t="shared" si="128"/>
        <v>2054</v>
      </c>
      <c r="AV240" s="12">
        <f t="shared" si="128"/>
        <v>2055</v>
      </c>
      <c r="AW240" s="12">
        <f t="shared" si="128"/>
        <v>2056</v>
      </c>
      <c r="AX240" s="12">
        <f t="shared" si="128"/>
        <v>2057</v>
      </c>
      <c r="AY240" s="12">
        <f t="shared" si="128"/>
        <v>2058</v>
      </c>
      <c r="AZ240" s="12">
        <f t="shared" si="128"/>
        <v>2059</v>
      </c>
      <c r="BA240" s="12">
        <f t="shared" si="128"/>
        <v>2060</v>
      </c>
      <c r="BB240" s="12">
        <f t="shared" si="128"/>
        <v>2061</v>
      </c>
      <c r="BC240" s="12">
        <f t="shared" si="128"/>
        <v>2062</v>
      </c>
      <c r="BD240" s="12">
        <f t="shared" si="128"/>
        <v>2063</v>
      </c>
      <c r="BE240" s="12">
        <f t="shared" si="128"/>
        <v>2064</v>
      </c>
      <c r="BF240" s="12">
        <f t="shared" si="128"/>
        <v>2065</v>
      </c>
      <c r="BG240" s="12">
        <f t="shared" si="128"/>
        <v>2066</v>
      </c>
      <c r="BH240" s="12">
        <f t="shared" si="128"/>
        <v>2067</v>
      </c>
      <c r="BI240" s="12">
        <f t="shared" si="128"/>
        <v>2068</v>
      </c>
      <c r="BJ240" s="12">
        <f t="shared" si="128"/>
        <v>2069</v>
      </c>
      <c r="BK240" s="12">
        <f t="shared" si="128"/>
        <v>2070</v>
      </c>
    </row>
    <row r="241" spans="1:63">
      <c r="A241" s="12" t="s">
        <v>230</v>
      </c>
      <c r="B241" s="12"/>
      <c r="C241" s="12">
        <f>D198</f>
        <v>44.600511799829398</v>
      </c>
      <c r="D241">
        <f>C241*(1+D$225/100)</f>
        <v>45.707434204515074</v>
      </c>
      <c r="E241" s="12">
        <f t="shared" ref="E241:BK248" si="129">D241*(1+E$225/100)</f>
        <v>46.621320615414724</v>
      </c>
      <c r="F241" s="12">
        <f t="shared" si="129"/>
        <v>47.11446422933264</v>
      </c>
      <c r="G241" s="12">
        <f t="shared" si="129"/>
        <v>47.34496552203975</v>
      </c>
      <c r="H241" s="12">
        <f t="shared" si="129"/>
        <v>48.137154905774665</v>
      </c>
      <c r="I241" s="12">
        <f t="shared" si="129"/>
        <v>48.940228147578551</v>
      </c>
      <c r="J241" s="12">
        <f t="shared" si="129"/>
        <v>49.852754482028004</v>
      </c>
      <c r="K241" s="12">
        <f t="shared" si="129"/>
        <v>50.781384222379515</v>
      </c>
      <c r="L241" s="12">
        <f t="shared" si="129"/>
        <v>51.627325948768977</v>
      </c>
      <c r="M241" s="12">
        <f t="shared" si="129"/>
        <v>52.385807720788108</v>
      </c>
      <c r="N241" s="12">
        <f t="shared" si="129"/>
        <v>53.052489561581297</v>
      </c>
      <c r="O241" s="12">
        <f t="shared" si="129"/>
        <v>53.623504615570916</v>
      </c>
      <c r="P241" s="12">
        <f t="shared" si="129"/>
        <v>54.20066562415338</v>
      </c>
      <c r="Q241" s="12">
        <f t="shared" si="129"/>
        <v>54.784038737524888</v>
      </c>
      <c r="R241" s="12">
        <f t="shared" si="129"/>
        <v>55.373690817870063</v>
      </c>
      <c r="S241" s="12">
        <f t="shared" si="129"/>
        <v>55.969689447025218</v>
      </c>
      <c r="T241" s="12">
        <f t="shared" si="129"/>
        <v>56.572102934224112</v>
      </c>
      <c r="U241" s="12">
        <f t="shared" si="129"/>
        <v>57.181000323927108</v>
      </c>
      <c r="V241" s="12">
        <f t="shared" si="129"/>
        <v>57.90835160006317</v>
      </c>
      <c r="W241" s="12">
        <f t="shared" si="129"/>
        <v>57.90835160006317</v>
      </c>
      <c r="X241" s="12">
        <f t="shared" si="129"/>
        <v>57.90835160006317</v>
      </c>
      <c r="Y241" s="12">
        <f t="shared" si="129"/>
        <v>57.90835160006317</v>
      </c>
      <c r="Z241" s="12">
        <f t="shared" si="129"/>
        <v>57.90835160006317</v>
      </c>
      <c r="AA241" s="12">
        <f t="shared" si="129"/>
        <v>57.90835160006317</v>
      </c>
      <c r="AB241" s="12">
        <f t="shared" si="129"/>
        <v>57.90835160006317</v>
      </c>
      <c r="AC241" s="12">
        <f t="shared" si="129"/>
        <v>57.90835160006317</v>
      </c>
      <c r="AD241" s="12">
        <f t="shared" si="129"/>
        <v>57.90835160006317</v>
      </c>
      <c r="AE241" s="12">
        <f t="shared" si="129"/>
        <v>57.90835160006317</v>
      </c>
      <c r="AF241" s="12">
        <f t="shared" si="129"/>
        <v>57.90835160006317</v>
      </c>
      <c r="AG241" s="12">
        <f t="shared" si="129"/>
        <v>57.90835160006317</v>
      </c>
      <c r="AH241" s="12">
        <f t="shared" si="129"/>
        <v>57.90835160006317</v>
      </c>
      <c r="AI241" s="12">
        <f t="shared" si="129"/>
        <v>57.90835160006317</v>
      </c>
      <c r="AJ241" s="12">
        <f t="shared" si="129"/>
        <v>57.90835160006317</v>
      </c>
      <c r="AK241" s="12">
        <f t="shared" si="129"/>
        <v>57.90835160006317</v>
      </c>
      <c r="AL241" s="12">
        <f t="shared" si="129"/>
        <v>57.90835160006317</v>
      </c>
      <c r="AM241" s="12">
        <f t="shared" si="129"/>
        <v>57.90835160006317</v>
      </c>
      <c r="AN241" s="12">
        <f t="shared" si="129"/>
        <v>57.90835160006317</v>
      </c>
      <c r="AO241" s="12">
        <f t="shared" si="129"/>
        <v>57.90835160006317</v>
      </c>
      <c r="AP241" s="12">
        <f t="shared" si="129"/>
        <v>57.90835160006317</v>
      </c>
      <c r="AQ241" s="12">
        <f t="shared" si="129"/>
        <v>57.90835160006317</v>
      </c>
      <c r="AR241" s="12">
        <f t="shared" si="129"/>
        <v>57.90835160006317</v>
      </c>
      <c r="AS241" s="12">
        <f t="shared" si="129"/>
        <v>57.90835160006317</v>
      </c>
      <c r="AT241" s="12">
        <f t="shared" si="129"/>
        <v>57.90835160006317</v>
      </c>
      <c r="AU241" s="12">
        <f t="shared" si="129"/>
        <v>57.90835160006317</v>
      </c>
      <c r="AV241" s="12">
        <f t="shared" si="129"/>
        <v>57.90835160006317</v>
      </c>
      <c r="AW241" s="12">
        <f t="shared" si="129"/>
        <v>57.90835160006317</v>
      </c>
      <c r="AX241" s="12">
        <f t="shared" si="129"/>
        <v>57.90835160006317</v>
      </c>
      <c r="AY241" s="12">
        <f t="shared" si="129"/>
        <v>57.90835160006317</v>
      </c>
      <c r="AZ241" s="12">
        <f t="shared" si="129"/>
        <v>57.90835160006317</v>
      </c>
      <c r="BA241" s="12">
        <f t="shared" si="129"/>
        <v>57.90835160006317</v>
      </c>
      <c r="BB241" s="12">
        <f t="shared" si="129"/>
        <v>57.90835160006317</v>
      </c>
      <c r="BC241" s="12">
        <f t="shared" si="129"/>
        <v>57.90835160006317</v>
      </c>
      <c r="BD241" s="12">
        <f t="shared" si="129"/>
        <v>57.90835160006317</v>
      </c>
      <c r="BE241" s="12">
        <f t="shared" si="129"/>
        <v>57.90835160006317</v>
      </c>
      <c r="BF241" s="12">
        <f t="shared" si="129"/>
        <v>57.90835160006317</v>
      </c>
      <c r="BG241" s="12">
        <f t="shared" si="129"/>
        <v>57.90835160006317</v>
      </c>
      <c r="BH241" s="12">
        <f t="shared" si="129"/>
        <v>57.90835160006317</v>
      </c>
      <c r="BI241" s="12">
        <f t="shared" si="129"/>
        <v>57.90835160006317</v>
      </c>
      <c r="BJ241" s="12">
        <f t="shared" si="129"/>
        <v>57.90835160006317</v>
      </c>
      <c r="BK241" s="12">
        <f t="shared" si="129"/>
        <v>57.90835160006317</v>
      </c>
    </row>
    <row r="242" spans="1:63">
      <c r="A242" s="12" t="s">
        <v>231</v>
      </c>
      <c r="B242" s="12"/>
      <c r="C242" s="12">
        <f>D199</f>
        <v>43.809866363377871</v>
      </c>
      <c r="D242" s="12">
        <f>C242*(1+D$225/100)</f>
        <v>44.89716605270776</v>
      </c>
      <c r="E242" s="12">
        <f t="shared" ref="D242:S249" si="130">D242*(1+E$225/100)</f>
        <v>45.794851749959641</v>
      </c>
      <c r="F242" s="12">
        <f t="shared" si="130"/>
        <v>46.279253272539918</v>
      </c>
      <c r="G242" s="12">
        <f t="shared" si="130"/>
        <v>46.505668405967221</v>
      </c>
      <c r="H242" s="12">
        <f t="shared" si="130"/>
        <v>47.28381443244502</v>
      </c>
      <c r="I242" s="12">
        <f t="shared" si="130"/>
        <v>48.07265137587148</v>
      </c>
      <c r="J242" s="12">
        <f t="shared" si="130"/>
        <v>48.969001107119325</v>
      </c>
      <c r="K242" s="12">
        <f t="shared" si="130"/>
        <v>49.881168774800969</v>
      </c>
      <c r="L242" s="12">
        <f t="shared" si="130"/>
        <v>50.712114261495351</v>
      </c>
      <c r="M242" s="12">
        <f t="shared" si="130"/>
        <v>51.457150220283232</v>
      </c>
      <c r="N242" s="12">
        <f t="shared" si="130"/>
        <v>52.112013610262359</v>
      </c>
      <c r="O242" s="12">
        <f t="shared" si="130"/>
        <v>52.672906124658525</v>
      </c>
      <c r="P242" s="12">
        <f t="shared" si="130"/>
        <v>53.239835642634297</v>
      </c>
      <c r="Q242" s="12">
        <f t="shared" si="130"/>
        <v>53.812867141723309</v>
      </c>
      <c r="R242" s="12">
        <f t="shared" si="130"/>
        <v>54.392066298826002</v>
      </c>
      <c r="S242" s="12">
        <f t="shared" si="130"/>
        <v>54.977499497737043</v>
      </c>
      <c r="T242" s="12">
        <f t="shared" si="129"/>
        <v>55.569233836753774</v>
      </c>
      <c r="U242" s="12">
        <f t="shared" si="129"/>
        <v>56.167337136366577</v>
      </c>
      <c r="V242" s="12">
        <f t="shared" si="129"/>
        <v>56.881794458062046</v>
      </c>
      <c r="W242" s="12">
        <f t="shared" si="129"/>
        <v>56.881794458062046</v>
      </c>
      <c r="X242" s="12">
        <f t="shared" si="129"/>
        <v>56.881794458062046</v>
      </c>
      <c r="Y242" s="12">
        <f t="shared" si="129"/>
        <v>56.881794458062046</v>
      </c>
      <c r="Z242" s="12">
        <f t="shared" si="129"/>
        <v>56.881794458062046</v>
      </c>
      <c r="AA242" s="12">
        <f t="shared" si="129"/>
        <v>56.881794458062046</v>
      </c>
      <c r="AB242" s="12">
        <f t="shared" si="129"/>
        <v>56.881794458062046</v>
      </c>
      <c r="AC242" s="12">
        <f t="shared" si="129"/>
        <v>56.881794458062046</v>
      </c>
      <c r="AD242" s="12">
        <f t="shared" si="129"/>
        <v>56.881794458062046</v>
      </c>
      <c r="AE242" s="12">
        <f t="shared" si="129"/>
        <v>56.881794458062046</v>
      </c>
      <c r="AF242" s="12">
        <f t="shared" si="129"/>
        <v>56.881794458062046</v>
      </c>
      <c r="AG242" s="12">
        <f t="shared" si="129"/>
        <v>56.881794458062046</v>
      </c>
      <c r="AH242" s="12">
        <f t="shared" si="129"/>
        <v>56.881794458062046</v>
      </c>
      <c r="AI242" s="12">
        <f t="shared" si="129"/>
        <v>56.881794458062046</v>
      </c>
      <c r="AJ242" s="12">
        <f t="shared" si="129"/>
        <v>56.881794458062046</v>
      </c>
      <c r="AK242" s="12">
        <f t="shared" si="129"/>
        <v>56.881794458062046</v>
      </c>
      <c r="AL242" s="12">
        <f t="shared" si="129"/>
        <v>56.881794458062046</v>
      </c>
      <c r="AM242" s="12">
        <f t="shared" si="129"/>
        <v>56.881794458062046</v>
      </c>
      <c r="AN242" s="12">
        <f t="shared" si="129"/>
        <v>56.881794458062046</v>
      </c>
      <c r="AO242" s="12">
        <f t="shared" si="129"/>
        <v>56.881794458062046</v>
      </c>
      <c r="AP242" s="12">
        <f t="shared" si="129"/>
        <v>56.881794458062046</v>
      </c>
      <c r="AQ242" s="12">
        <f t="shared" si="129"/>
        <v>56.881794458062046</v>
      </c>
      <c r="AR242" s="12">
        <f t="shared" si="129"/>
        <v>56.881794458062046</v>
      </c>
      <c r="AS242" s="12">
        <f t="shared" si="129"/>
        <v>56.881794458062046</v>
      </c>
      <c r="AT242" s="12">
        <f t="shared" si="129"/>
        <v>56.881794458062046</v>
      </c>
      <c r="AU242" s="12">
        <f t="shared" si="129"/>
        <v>56.881794458062046</v>
      </c>
      <c r="AV242" s="12">
        <f t="shared" si="129"/>
        <v>56.881794458062046</v>
      </c>
      <c r="AW242" s="12">
        <f t="shared" si="129"/>
        <v>56.881794458062046</v>
      </c>
      <c r="AX242" s="12">
        <f t="shared" si="129"/>
        <v>56.881794458062046</v>
      </c>
      <c r="AY242" s="12">
        <f t="shared" si="129"/>
        <v>56.881794458062046</v>
      </c>
      <c r="AZ242" s="12">
        <f t="shared" si="129"/>
        <v>56.881794458062046</v>
      </c>
      <c r="BA242" s="12">
        <f t="shared" si="129"/>
        <v>56.881794458062046</v>
      </c>
      <c r="BB242" s="12">
        <f t="shared" si="129"/>
        <v>56.881794458062046</v>
      </c>
      <c r="BC242" s="12">
        <f t="shared" si="129"/>
        <v>56.881794458062046</v>
      </c>
      <c r="BD242" s="12">
        <f t="shared" si="129"/>
        <v>56.881794458062046</v>
      </c>
      <c r="BE242" s="12">
        <f t="shared" si="129"/>
        <v>56.881794458062046</v>
      </c>
      <c r="BF242" s="12">
        <f t="shared" si="129"/>
        <v>56.881794458062046</v>
      </c>
      <c r="BG242" s="12">
        <f t="shared" si="129"/>
        <v>56.881794458062046</v>
      </c>
      <c r="BH242" s="12">
        <f t="shared" si="129"/>
        <v>56.881794458062046</v>
      </c>
      <c r="BI242" s="12">
        <f t="shared" si="129"/>
        <v>56.881794458062046</v>
      </c>
      <c r="BJ242" s="12">
        <f t="shared" si="129"/>
        <v>56.881794458062046</v>
      </c>
      <c r="BK242" s="12">
        <f t="shared" si="129"/>
        <v>56.881794458062046</v>
      </c>
    </row>
    <row r="243" spans="1:63">
      <c r="A243" s="12" t="s">
        <v>232</v>
      </c>
      <c r="B243" s="12"/>
      <c r="C243" s="12">
        <f>D200</f>
        <v>33.746369064543643</v>
      </c>
      <c r="D243" s="12">
        <f t="shared" si="130"/>
        <v>34.583906807652632</v>
      </c>
      <c r="E243" s="12">
        <f>D243*(1+E$225/100)</f>
        <v>35.275386498372427</v>
      </c>
      <c r="F243" s="12">
        <f t="shared" si="129"/>
        <v>35.648516889157769</v>
      </c>
      <c r="G243" s="12">
        <f t="shared" si="129"/>
        <v>35.822922549085156</v>
      </c>
      <c r="H243" s="12">
        <f t="shared" si="129"/>
        <v>36.422321843705674</v>
      </c>
      <c r="I243" s="12">
        <f t="shared" si="129"/>
        <v>37.029956261117839</v>
      </c>
      <c r="J243" s="12">
        <f t="shared" si="129"/>
        <v>37.720406868538092</v>
      </c>
      <c r="K243" s="12">
        <f t="shared" si="129"/>
        <v>38.423041898442236</v>
      </c>
      <c r="L243" s="12">
        <f t="shared" si="129"/>
        <v>39.063112170145828</v>
      </c>
      <c r="M243" s="12">
        <f t="shared" si="129"/>
        <v>39.637007060010845</v>
      </c>
      <c r="N243" s="12">
        <f t="shared" si="129"/>
        <v>40.141442783731001</v>
      </c>
      <c r="O243" s="12">
        <f t="shared" si="129"/>
        <v>40.573493537763326</v>
      </c>
      <c r="P243" s="12">
        <f t="shared" si="129"/>
        <v>41.010194544529853</v>
      </c>
      <c r="Q243" s="12">
        <f t="shared" si="129"/>
        <v>41.451595855674498</v>
      </c>
      <c r="R243" s="12">
        <f t="shared" si="129"/>
        <v>41.897748061557486</v>
      </c>
      <c r="S243" s="12">
        <f t="shared" si="129"/>
        <v>42.348702297053698</v>
      </c>
      <c r="T243" s="12">
        <f t="shared" si="129"/>
        <v>42.804510247413376</v>
      </c>
      <c r="U243" s="12">
        <f t="shared" si="129"/>
        <v>43.265224154185923</v>
      </c>
      <c r="V243" s="12">
        <f t="shared" si="129"/>
        <v>43.815564578847784</v>
      </c>
      <c r="W243" s="12">
        <f t="shared" si="129"/>
        <v>43.815564578847784</v>
      </c>
      <c r="X243" s="12">
        <f t="shared" si="129"/>
        <v>43.815564578847784</v>
      </c>
      <c r="Y243" s="12">
        <f t="shared" si="129"/>
        <v>43.815564578847784</v>
      </c>
      <c r="Z243" s="12">
        <f t="shared" si="129"/>
        <v>43.815564578847784</v>
      </c>
      <c r="AA243" s="12">
        <f t="shared" si="129"/>
        <v>43.815564578847784</v>
      </c>
      <c r="AB243" s="12">
        <f t="shared" si="129"/>
        <v>43.815564578847784</v>
      </c>
      <c r="AC243" s="12">
        <f t="shared" si="129"/>
        <v>43.815564578847784</v>
      </c>
      <c r="AD243" s="12">
        <f t="shared" si="129"/>
        <v>43.815564578847784</v>
      </c>
      <c r="AE243" s="12">
        <f t="shared" si="129"/>
        <v>43.815564578847784</v>
      </c>
      <c r="AF243" s="12">
        <f t="shared" si="129"/>
        <v>43.815564578847784</v>
      </c>
      <c r="AG243" s="12">
        <f t="shared" si="129"/>
        <v>43.815564578847784</v>
      </c>
      <c r="AH243" s="12">
        <f t="shared" si="129"/>
        <v>43.815564578847784</v>
      </c>
      <c r="AI243" s="12">
        <f t="shared" si="129"/>
        <v>43.815564578847784</v>
      </c>
      <c r="AJ243" s="12">
        <f t="shared" si="129"/>
        <v>43.815564578847784</v>
      </c>
      <c r="AK243" s="12">
        <f t="shared" si="129"/>
        <v>43.815564578847784</v>
      </c>
      <c r="AL243" s="12">
        <f t="shared" si="129"/>
        <v>43.815564578847784</v>
      </c>
      <c r="AM243" s="12">
        <f t="shared" si="129"/>
        <v>43.815564578847784</v>
      </c>
      <c r="AN243" s="12">
        <f t="shared" si="129"/>
        <v>43.815564578847784</v>
      </c>
      <c r="AO243" s="12">
        <f t="shared" si="129"/>
        <v>43.815564578847784</v>
      </c>
      <c r="AP243" s="12">
        <f t="shared" si="129"/>
        <v>43.815564578847784</v>
      </c>
      <c r="AQ243" s="12">
        <f t="shared" si="129"/>
        <v>43.815564578847784</v>
      </c>
      <c r="AR243" s="12">
        <f t="shared" si="129"/>
        <v>43.815564578847784</v>
      </c>
      <c r="AS243" s="12">
        <f t="shared" si="129"/>
        <v>43.815564578847784</v>
      </c>
      <c r="AT243" s="12">
        <f t="shared" si="129"/>
        <v>43.815564578847784</v>
      </c>
      <c r="AU243" s="12">
        <f t="shared" si="129"/>
        <v>43.815564578847784</v>
      </c>
      <c r="AV243" s="12">
        <f t="shared" si="129"/>
        <v>43.815564578847784</v>
      </c>
      <c r="AW243" s="12">
        <f t="shared" si="129"/>
        <v>43.815564578847784</v>
      </c>
      <c r="AX243" s="12">
        <f t="shared" si="129"/>
        <v>43.815564578847784</v>
      </c>
      <c r="AY243" s="12">
        <f t="shared" si="129"/>
        <v>43.815564578847784</v>
      </c>
      <c r="AZ243" s="12">
        <f t="shared" si="129"/>
        <v>43.815564578847784</v>
      </c>
      <c r="BA243" s="12">
        <f t="shared" si="129"/>
        <v>43.815564578847784</v>
      </c>
      <c r="BB243" s="12">
        <f t="shared" si="129"/>
        <v>43.815564578847784</v>
      </c>
      <c r="BC243" s="12">
        <f t="shared" si="129"/>
        <v>43.815564578847784</v>
      </c>
      <c r="BD243" s="12">
        <f t="shared" si="129"/>
        <v>43.815564578847784</v>
      </c>
      <c r="BE243" s="12">
        <f t="shared" si="129"/>
        <v>43.815564578847784</v>
      </c>
      <c r="BF243" s="12">
        <f t="shared" si="129"/>
        <v>43.815564578847784</v>
      </c>
      <c r="BG243" s="12">
        <f t="shared" si="129"/>
        <v>43.815564578847784</v>
      </c>
      <c r="BH243" s="12">
        <f t="shared" si="129"/>
        <v>43.815564578847784</v>
      </c>
      <c r="BI243" s="12">
        <f t="shared" si="129"/>
        <v>43.815564578847784</v>
      </c>
      <c r="BJ243" s="12">
        <f>BI243*(1+BJ$225/100)</f>
        <v>43.815564578847784</v>
      </c>
      <c r="BK243" s="12">
        <f>BJ243*(1+BK$225/100)</f>
        <v>43.815564578847784</v>
      </c>
    </row>
    <row r="244" spans="1:63">
      <c r="A244" s="12" t="s">
        <v>233</v>
      </c>
      <c r="B244" s="12"/>
      <c r="C244" s="12">
        <f>D201</f>
        <v>21.254171168609616</v>
      </c>
      <c r="D244" s="12">
        <f t="shared" si="130"/>
        <v>21.781670009097102</v>
      </c>
      <c r="E244" s="12">
        <f t="shared" si="129"/>
        <v>22.217178424182187</v>
      </c>
      <c r="F244" s="12">
        <f>E244*(1+F$225/100)</f>
        <v>22.452183771832885</v>
      </c>
      <c r="G244" s="12">
        <f t="shared" si="129"/>
        <v>22.562028115139309</v>
      </c>
      <c r="H244" s="12">
        <f t="shared" si="129"/>
        <v>22.939542365097349</v>
      </c>
      <c r="I244" s="12">
        <f t="shared" si="129"/>
        <v>23.322243268146075</v>
      </c>
      <c r="J244" s="12">
        <f t="shared" si="129"/>
        <v>23.757103544980986</v>
      </c>
      <c r="K244" s="12">
        <f t="shared" si="129"/>
        <v>24.199637826701224</v>
      </c>
      <c r="L244" s="12">
        <f t="shared" si="129"/>
        <v>24.602767511222456</v>
      </c>
      <c r="M244" s="12">
        <f t="shared" si="129"/>
        <v>24.964218552033753</v>
      </c>
      <c r="N244" s="12">
        <f t="shared" si="129"/>
        <v>25.281922752891745</v>
      </c>
      <c r="O244" s="12">
        <f t="shared" si="129"/>
        <v>25.554037381347523</v>
      </c>
      <c r="P244" s="12">
        <f t="shared" si="129"/>
        <v>25.829080836528366</v>
      </c>
      <c r="Q244" s="12">
        <f t="shared" si="129"/>
        <v>26.107084642009589</v>
      </c>
      <c r="R244" s="12">
        <f t="shared" si="129"/>
        <v>26.388080660661352</v>
      </c>
      <c r="S244" s="12">
        <f t="shared" si="129"/>
        <v>26.672101098300562</v>
      </c>
      <c r="T244" s="12">
        <f t="shared" si="129"/>
        <v>26.959178507382074</v>
      </c>
      <c r="U244" s="12">
        <f t="shared" si="129"/>
        <v>27.249345790729627</v>
      </c>
      <c r="V244" s="12">
        <f t="shared" si="129"/>
        <v>27.595961735230105</v>
      </c>
      <c r="W244" s="12">
        <f t="shared" si="129"/>
        <v>27.595961735230105</v>
      </c>
      <c r="X244" s="12">
        <f t="shared" si="129"/>
        <v>27.595961735230105</v>
      </c>
      <c r="Y244" s="12">
        <f t="shared" si="129"/>
        <v>27.595961735230105</v>
      </c>
      <c r="Z244" s="12">
        <f t="shared" si="129"/>
        <v>27.595961735230105</v>
      </c>
      <c r="AA244" s="12">
        <f t="shared" si="129"/>
        <v>27.595961735230105</v>
      </c>
      <c r="AB244" s="12">
        <f t="shared" si="129"/>
        <v>27.595961735230105</v>
      </c>
      <c r="AC244" s="12">
        <f t="shared" si="129"/>
        <v>27.595961735230105</v>
      </c>
      <c r="AD244" s="12">
        <f t="shared" si="129"/>
        <v>27.595961735230105</v>
      </c>
      <c r="AE244" s="12">
        <f t="shared" si="129"/>
        <v>27.595961735230105</v>
      </c>
      <c r="AF244" s="12">
        <f t="shared" si="129"/>
        <v>27.595961735230105</v>
      </c>
      <c r="AG244" s="12">
        <f t="shared" si="129"/>
        <v>27.595961735230105</v>
      </c>
      <c r="AH244" s="12">
        <f t="shared" si="129"/>
        <v>27.595961735230105</v>
      </c>
      <c r="AI244" s="12">
        <f t="shared" si="129"/>
        <v>27.595961735230105</v>
      </c>
      <c r="AJ244" s="12">
        <f t="shared" si="129"/>
        <v>27.595961735230105</v>
      </c>
      <c r="AK244" s="12">
        <f t="shared" si="129"/>
        <v>27.595961735230105</v>
      </c>
      <c r="AL244" s="12">
        <f t="shared" si="129"/>
        <v>27.595961735230105</v>
      </c>
      <c r="AM244" s="12">
        <f t="shared" si="129"/>
        <v>27.595961735230105</v>
      </c>
      <c r="AN244" s="12">
        <f t="shared" si="129"/>
        <v>27.595961735230105</v>
      </c>
      <c r="AO244" s="12">
        <f t="shared" si="129"/>
        <v>27.595961735230105</v>
      </c>
      <c r="AP244" s="12">
        <f t="shared" si="129"/>
        <v>27.595961735230105</v>
      </c>
      <c r="AQ244" s="12">
        <f t="shared" si="129"/>
        <v>27.595961735230105</v>
      </c>
      <c r="AR244" s="12">
        <f t="shared" si="129"/>
        <v>27.595961735230105</v>
      </c>
      <c r="AS244" s="12">
        <f t="shared" si="129"/>
        <v>27.595961735230105</v>
      </c>
      <c r="AT244" s="12">
        <f t="shared" si="129"/>
        <v>27.595961735230105</v>
      </c>
      <c r="AU244" s="12">
        <f t="shared" si="129"/>
        <v>27.595961735230105</v>
      </c>
      <c r="AV244" s="12">
        <f t="shared" si="129"/>
        <v>27.595961735230105</v>
      </c>
      <c r="AW244" s="12">
        <f t="shared" si="129"/>
        <v>27.595961735230105</v>
      </c>
      <c r="AX244" s="12">
        <f t="shared" si="129"/>
        <v>27.595961735230105</v>
      </c>
      <c r="AY244" s="12">
        <f t="shared" si="129"/>
        <v>27.595961735230105</v>
      </c>
      <c r="AZ244" s="12">
        <f t="shared" si="129"/>
        <v>27.595961735230105</v>
      </c>
      <c r="BA244" s="12">
        <f t="shared" si="129"/>
        <v>27.595961735230105</v>
      </c>
      <c r="BB244" s="12">
        <f t="shared" si="129"/>
        <v>27.595961735230105</v>
      </c>
      <c r="BC244" s="12">
        <f t="shared" si="129"/>
        <v>27.595961735230105</v>
      </c>
      <c r="BD244" s="12">
        <f t="shared" si="129"/>
        <v>27.595961735230105</v>
      </c>
      <c r="BE244" s="12">
        <f t="shared" si="129"/>
        <v>27.595961735230105</v>
      </c>
      <c r="BF244" s="12">
        <f t="shared" si="129"/>
        <v>27.595961735230105</v>
      </c>
      <c r="BG244" s="12">
        <f t="shared" si="129"/>
        <v>27.595961735230105</v>
      </c>
      <c r="BH244" s="12">
        <f t="shared" si="129"/>
        <v>27.595961735230105</v>
      </c>
      <c r="BI244" s="12">
        <f t="shared" si="129"/>
        <v>27.595961735230105</v>
      </c>
      <c r="BJ244" s="12">
        <f t="shared" si="129"/>
        <v>27.595961735230105</v>
      </c>
      <c r="BK244" s="12">
        <f t="shared" si="129"/>
        <v>27.595961735230105</v>
      </c>
    </row>
    <row r="245" spans="1:63" s="12" customFormat="1">
      <c r="A245" s="12" t="s">
        <v>234</v>
      </c>
      <c r="C245" s="12">
        <f t="shared" ref="C245:C247" si="131">D202</f>
        <v>8.9930850156383286</v>
      </c>
      <c r="D245" s="12">
        <f t="shared" si="130"/>
        <v>9.216280824146768</v>
      </c>
      <c r="E245" s="12">
        <f t="shared" si="129"/>
        <v>9.4005535568172611</v>
      </c>
      <c r="F245" s="12">
        <f t="shared" ref="F245:F247" si="132">E245*(1+F$225/100)</f>
        <v>9.4999892418781631</v>
      </c>
      <c r="G245" s="12">
        <f t="shared" si="129"/>
        <v>9.5464666843531063</v>
      </c>
      <c r="H245" s="12">
        <f t="shared" si="129"/>
        <v>9.7062008710007461</v>
      </c>
      <c r="I245" s="12">
        <f t="shared" si="129"/>
        <v>9.8681296392117481</v>
      </c>
      <c r="J245" s="12">
        <f t="shared" ref="J245:J247" si="133">I245*(1+J$225/100)</f>
        <v>10.052128131012555</v>
      </c>
      <c r="K245" s="12">
        <f t="shared" ref="K245:K247" si="134">J245*(1+K$225/100)</f>
        <v>10.239373655021614</v>
      </c>
      <c r="L245" s="12">
        <f t="shared" ref="L245:L247" si="135">K245*(1+L$225/100)</f>
        <v>10.409946268579054</v>
      </c>
      <c r="M245" s="12">
        <f t="shared" ref="M245:M247" si="136">L245*(1+M$225/100)</f>
        <v>10.562883774973457</v>
      </c>
      <c r="N245" s="12">
        <f t="shared" ref="N245:N247" si="137">M245*(1+N$225/100)</f>
        <v>10.697311077053392</v>
      </c>
      <c r="O245" s="12">
        <f t="shared" ref="O245:O247" si="138">N245*(1+O$225/100)</f>
        <v>10.81244847612148</v>
      </c>
      <c r="P245" s="12">
        <f t="shared" ref="P245:P247" si="139">O245*(1+P$225/100)</f>
        <v>10.928825123124744</v>
      </c>
      <c r="Q245" s="12">
        <f t="shared" ref="Q245:Q247" si="140">P245*(1+Q$225/100)</f>
        <v>11.0464543563482</v>
      </c>
      <c r="R245" s="12">
        <f t="shared" ref="R245:R247" si="141">Q245*(1+R$225/100)</f>
        <v>11.165349657639618</v>
      </c>
      <c r="S245" s="12">
        <f t="shared" ref="S245:S247" si="142">R245*(1+S$225/100)</f>
        <v>11.28552465395472</v>
      </c>
      <c r="T245" s="12">
        <f t="shared" ref="T245:T247" si="143">S245*(1+T$225/100)</f>
        <v>11.406993118919006</v>
      </c>
      <c r="U245" s="12">
        <f t="shared" ref="U245:U247" si="144">T245*(1+U$225/100)</f>
        <v>11.529768974406391</v>
      </c>
      <c r="V245" s="12">
        <f t="shared" ref="V245:V247" si="145">U245*(1+V$225/100)</f>
        <v>11.676429440812736</v>
      </c>
      <c r="W245" s="12">
        <f t="shared" ref="W245:W247" si="146">V245*(1+W$225/100)</f>
        <v>11.676429440812736</v>
      </c>
      <c r="X245" s="12">
        <f t="shared" ref="X245:X247" si="147">W245*(1+X$225/100)</f>
        <v>11.676429440812736</v>
      </c>
      <c r="Y245" s="12">
        <f t="shared" ref="Y245:Y247" si="148">X245*(1+Y$225/100)</f>
        <v>11.676429440812736</v>
      </c>
      <c r="Z245" s="12">
        <f t="shared" ref="Z245:Z247" si="149">Y245*(1+Z$225/100)</f>
        <v>11.676429440812736</v>
      </c>
      <c r="AA245" s="12">
        <f t="shared" ref="AA245:AA247" si="150">Z245*(1+AA$225/100)</f>
        <v>11.676429440812736</v>
      </c>
      <c r="AB245" s="12">
        <f t="shared" ref="AB245:AB247" si="151">AA245*(1+AB$225/100)</f>
        <v>11.676429440812736</v>
      </c>
      <c r="AC245" s="12">
        <f t="shared" ref="AC245:AC247" si="152">AB245*(1+AC$225/100)</f>
        <v>11.676429440812736</v>
      </c>
      <c r="AD245" s="12">
        <f t="shared" ref="AD245:AD247" si="153">AC245*(1+AD$225/100)</f>
        <v>11.676429440812736</v>
      </c>
      <c r="AE245" s="12">
        <f t="shared" ref="AE245:AE247" si="154">AD245*(1+AE$225/100)</f>
        <v>11.676429440812736</v>
      </c>
      <c r="AF245" s="12">
        <f t="shared" ref="AF245:AF247" si="155">AE245*(1+AF$225/100)</f>
        <v>11.676429440812736</v>
      </c>
      <c r="AG245" s="12">
        <f t="shared" ref="AG245:AG247" si="156">AF245*(1+AG$225/100)</f>
        <v>11.676429440812736</v>
      </c>
      <c r="AH245" s="12">
        <f t="shared" ref="AH245:AH247" si="157">AG245*(1+AH$225/100)</f>
        <v>11.676429440812736</v>
      </c>
      <c r="AI245" s="12">
        <f t="shared" ref="AI245:AI247" si="158">AH245*(1+AI$225/100)</f>
        <v>11.676429440812736</v>
      </c>
      <c r="AJ245" s="12">
        <f t="shared" ref="AJ245:AJ247" si="159">AI245*(1+AJ$225/100)</f>
        <v>11.676429440812736</v>
      </c>
      <c r="AK245" s="12">
        <f t="shared" ref="AK245:AK247" si="160">AJ245*(1+AK$225/100)</f>
        <v>11.676429440812736</v>
      </c>
      <c r="AL245" s="12">
        <f t="shared" ref="AL245:AL247" si="161">AK245*(1+AL$225/100)</f>
        <v>11.676429440812736</v>
      </c>
      <c r="AM245" s="12">
        <f t="shared" ref="AM245:AM247" si="162">AL245*(1+AM$225/100)</f>
        <v>11.676429440812736</v>
      </c>
      <c r="AN245" s="12">
        <f t="shared" ref="AN245:AN247" si="163">AM245*(1+AN$225/100)</f>
        <v>11.676429440812736</v>
      </c>
      <c r="AO245" s="12">
        <f t="shared" ref="AO245:AO247" si="164">AN245*(1+AO$225/100)</f>
        <v>11.676429440812736</v>
      </c>
      <c r="AP245" s="12">
        <f t="shared" ref="AP245:AP247" si="165">AO245*(1+AP$225/100)</f>
        <v>11.676429440812736</v>
      </c>
      <c r="AQ245" s="12">
        <f t="shared" ref="AQ245:AQ247" si="166">AP245*(1+AQ$225/100)</f>
        <v>11.676429440812736</v>
      </c>
      <c r="AR245" s="12">
        <f t="shared" ref="AR245:AR247" si="167">AQ245*(1+AR$225/100)</f>
        <v>11.676429440812736</v>
      </c>
      <c r="AS245" s="12">
        <f t="shared" ref="AS245:AS247" si="168">AR245*(1+AS$225/100)</f>
        <v>11.676429440812736</v>
      </c>
      <c r="AT245" s="12">
        <f t="shared" ref="AT245:AT247" si="169">AS245*(1+AT$225/100)</f>
        <v>11.676429440812736</v>
      </c>
      <c r="AU245" s="12">
        <f t="shared" ref="AU245:AU247" si="170">AT245*(1+AU$225/100)</f>
        <v>11.676429440812736</v>
      </c>
      <c r="AV245" s="12">
        <f t="shared" ref="AV245:AV247" si="171">AU245*(1+AV$225/100)</f>
        <v>11.676429440812736</v>
      </c>
      <c r="AW245" s="12">
        <f t="shared" ref="AW245:AW247" si="172">AV245*(1+AW$225/100)</f>
        <v>11.676429440812736</v>
      </c>
      <c r="AX245" s="12">
        <f t="shared" ref="AX245:AX247" si="173">AW245*(1+AX$225/100)</f>
        <v>11.676429440812736</v>
      </c>
      <c r="AY245" s="12">
        <f t="shared" ref="AY245:AY247" si="174">AX245*(1+AY$225/100)</f>
        <v>11.676429440812736</v>
      </c>
      <c r="AZ245" s="12">
        <f t="shared" ref="AZ245:AZ247" si="175">AY245*(1+AZ$225/100)</f>
        <v>11.676429440812736</v>
      </c>
      <c r="BA245" s="12">
        <f t="shared" ref="BA245:BA247" si="176">AZ245*(1+BA$225/100)</f>
        <v>11.676429440812736</v>
      </c>
      <c r="BB245" s="12">
        <f t="shared" ref="BB245:BB247" si="177">BA245*(1+BB$225/100)</f>
        <v>11.676429440812736</v>
      </c>
      <c r="BC245" s="12">
        <f t="shared" ref="BC245:BC247" si="178">BB245*(1+BC$225/100)</f>
        <v>11.676429440812736</v>
      </c>
      <c r="BD245" s="12">
        <f t="shared" ref="BD245:BD247" si="179">BC245*(1+BD$225/100)</f>
        <v>11.676429440812736</v>
      </c>
      <c r="BE245" s="12">
        <f t="shared" ref="BE245:BE247" si="180">BD245*(1+BE$225/100)</f>
        <v>11.676429440812736</v>
      </c>
      <c r="BF245" s="12">
        <f t="shared" ref="BF245:BF247" si="181">BE245*(1+BF$225/100)</f>
        <v>11.676429440812736</v>
      </c>
      <c r="BG245" s="12">
        <f t="shared" ref="BG245:BG247" si="182">BF245*(1+BG$225/100)</f>
        <v>11.676429440812736</v>
      </c>
      <c r="BH245" s="12">
        <f t="shared" ref="BH245:BH247" si="183">BG245*(1+BH$225/100)</f>
        <v>11.676429440812736</v>
      </c>
      <c r="BI245" s="12">
        <f t="shared" ref="BI245:BI247" si="184">BH245*(1+BI$225/100)</f>
        <v>11.676429440812736</v>
      </c>
      <c r="BJ245" s="12">
        <f t="shared" ref="BJ245:BJ247" si="185">BI245*(1+BJ$225/100)</f>
        <v>11.676429440812736</v>
      </c>
      <c r="BK245" s="12">
        <f t="shared" ref="BK245:BK247" si="186">BJ245*(1+BK$225/100)</f>
        <v>11.676429440812736</v>
      </c>
    </row>
    <row r="246" spans="1:63" s="12" customFormat="1">
      <c r="A246" s="12" t="s">
        <v>235</v>
      </c>
      <c r="B246" s="12" t="s">
        <v>231</v>
      </c>
      <c r="C246" s="12">
        <f t="shared" si="131"/>
        <v>4.6952175149274957</v>
      </c>
      <c r="D246" s="12">
        <f t="shared" si="130"/>
        <v>4.8117462553480426</v>
      </c>
      <c r="E246" s="12">
        <f t="shared" ref="E246:E247" si="187">D246*(1+E$225/100)</f>
        <v>4.9079535702409327</v>
      </c>
      <c r="F246" s="12">
        <f t="shared" si="132"/>
        <v>4.9598681434151999</v>
      </c>
      <c r="G246" s="12">
        <f t="shared" ref="G246:G247" si="188">F246*(1+G$225/100)</f>
        <v>4.9841336431383665</v>
      </c>
      <c r="H246" s="12">
        <f t="shared" ref="H246:H247" si="189">G246*(1+H$225/100)</f>
        <v>5.0675295800806426</v>
      </c>
      <c r="I246" s="12">
        <f t="shared" ref="I246:I247" si="190">H246*(1+I$225/100)</f>
        <v>5.1520712904450887</v>
      </c>
      <c r="J246" s="12">
        <f t="shared" si="133"/>
        <v>5.2481354263807676</v>
      </c>
      <c r="K246" s="12">
        <f t="shared" si="134"/>
        <v>5.3458948117741354</v>
      </c>
      <c r="L246" s="12">
        <f t="shared" si="135"/>
        <v>5.4349494044249536</v>
      </c>
      <c r="M246" s="12">
        <f t="shared" si="136"/>
        <v>5.5147968491520585</v>
      </c>
      <c r="N246" s="12">
        <f t="shared" si="137"/>
        <v>5.5849802647555595</v>
      </c>
      <c r="O246" s="12">
        <f t="shared" si="138"/>
        <v>5.6450925768028304</v>
      </c>
      <c r="P246" s="12">
        <f t="shared" si="139"/>
        <v>5.7058518902517843</v>
      </c>
      <c r="Q246" s="12">
        <f t="shared" si="140"/>
        <v>5.7672651689139851</v>
      </c>
      <c r="R246" s="12">
        <f t="shared" si="141"/>
        <v>5.8293394515539587</v>
      </c>
      <c r="S246" s="12">
        <f t="shared" si="142"/>
        <v>5.8920818526959282</v>
      </c>
      <c r="T246" s="12">
        <f t="shared" si="143"/>
        <v>5.95549956343923</v>
      </c>
      <c r="U246" s="12">
        <f t="shared" si="144"/>
        <v>6.0195998522825089</v>
      </c>
      <c r="V246" s="12">
        <f t="shared" si="145"/>
        <v>6.0961701048066512</v>
      </c>
      <c r="W246" s="12">
        <f t="shared" si="146"/>
        <v>6.0961701048066512</v>
      </c>
      <c r="X246" s="12">
        <f t="shared" si="147"/>
        <v>6.0961701048066512</v>
      </c>
      <c r="Y246" s="12">
        <f t="shared" si="148"/>
        <v>6.0961701048066512</v>
      </c>
      <c r="Z246" s="12">
        <f t="shared" si="149"/>
        <v>6.0961701048066512</v>
      </c>
      <c r="AA246" s="12">
        <f t="shared" si="150"/>
        <v>6.0961701048066512</v>
      </c>
      <c r="AB246" s="12">
        <f t="shared" si="151"/>
        <v>6.0961701048066512</v>
      </c>
      <c r="AC246" s="12">
        <f t="shared" si="152"/>
        <v>6.0961701048066512</v>
      </c>
      <c r="AD246" s="12">
        <f t="shared" si="153"/>
        <v>6.0961701048066512</v>
      </c>
      <c r="AE246" s="12">
        <f t="shared" si="154"/>
        <v>6.0961701048066512</v>
      </c>
      <c r="AF246" s="12">
        <f t="shared" si="155"/>
        <v>6.0961701048066512</v>
      </c>
      <c r="AG246" s="12">
        <f t="shared" si="156"/>
        <v>6.0961701048066512</v>
      </c>
      <c r="AH246" s="12">
        <f t="shared" si="157"/>
        <v>6.0961701048066512</v>
      </c>
      <c r="AI246" s="12">
        <f t="shared" si="158"/>
        <v>6.0961701048066512</v>
      </c>
      <c r="AJ246" s="12">
        <f t="shared" si="159"/>
        <v>6.0961701048066512</v>
      </c>
      <c r="AK246" s="12">
        <f t="shared" si="160"/>
        <v>6.0961701048066512</v>
      </c>
      <c r="AL246" s="12">
        <f t="shared" si="161"/>
        <v>6.0961701048066512</v>
      </c>
      <c r="AM246" s="12">
        <f t="shared" si="162"/>
        <v>6.0961701048066512</v>
      </c>
      <c r="AN246" s="12">
        <f t="shared" si="163"/>
        <v>6.0961701048066512</v>
      </c>
      <c r="AO246" s="12">
        <f t="shared" si="164"/>
        <v>6.0961701048066512</v>
      </c>
      <c r="AP246" s="12">
        <f t="shared" si="165"/>
        <v>6.0961701048066512</v>
      </c>
      <c r="AQ246" s="12">
        <f t="shared" si="166"/>
        <v>6.0961701048066512</v>
      </c>
      <c r="AR246" s="12">
        <f t="shared" si="167"/>
        <v>6.0961701048066512</v>
      </c>
      <c r="AS246" s="12">
        <f t="shared" si="168"/>
        <v>6.0961701048066512</v>
      </c>
      <c r="AT246" s="12">
        <f t="shared" si="169"/>
        <v>6.0961701048066512</v>
      </c>
      <c r="AU246" s="12">
        <f t="shared" si="170"/>
        <v>6.0961701048066512</v>
      </c>
      <c r="AV246" s="12">
        <f t="shared" si="171"/>
        <v>6.0961701048066512</v>
      </c>
      <c r="AW246" s="12">
        <f t="shared" si="172"/>
        <v>6.0961701048066512</v>
      </c>
      <c r="AX246" s="12">
        <f t="shared" si="173"/>
        <v>6.0961701048066512</v>
      </c>
      <c r="AY246" s="12">
        <f t="shared" si="174"/>
        <v>6.0961701048066512</v>
      </c>
      <c r="AZ246" s="12">
        <f t="shared" si="175"/>
        <v>6.0961701048066512</v>
      </c>
      <c r="BA246" s="12">
        <f t="shared" si="176"/>
        <v>6.0961701048066512</v>
      </c>
      <c r="BB246" s="12">
        <f t="shared" si="177"/>
        <v>6.0961701048066512</v>
      </c>
      <c r="BC246" s="12">
        <f t="shared" si="178"/>
        <v>6.0961701048066512</v>
      </c>
      <c r="BD246" s="12">
        <f t="shared" si="179"/>
        <v>6.0961701048066512</v>
      </c>
      <c r="BE246" s="12">
        <f t="shared" si="180"/>
        <v>6.0961701048066512</v>
      </c>
      <c r="BF246" s="12">
        <f t="shared" si="181"/>
        <v>6.0961701048066512</v>
      </c>
      <c r="BG246" s="12">
        <f t="shared" si="182"/>
        <v>6.0961701048066512</v>
      </c>
      <c r="BH246" s="12">
        <f t="shared" si="183"/>
        <v>6.0961701048066512</v>
      </c>
      <c r="BI246" s="12">
        <f t="shared" si="184"/>
        <v>6.0961701048066512</v>
      </c>
      <c r="BJ246" s="12">
        <f t="shared" si="185"/>
        <v>6.0961701048066512</v>
      </c>
      <c r="BK246" s="12">
        <f t="shared" si="186"/>
        <v>6.0961701048066512</v>
      </c>
    </row>
    <row r="247" spans="1:63" s="12" customFormat="1">
      <c r="B247" s="12" t="s">
        <v>232</v>
      </c>
      <c r="C247" s="12">
        <f t="shared" si="131"/>
        <v>8.9119931760022748</v>
      </c>
      <c r="D247" s="12">
        <f t="shared" si="130"/>
        <v>9.1331763983203764</v>
      </c>
      <c r="E247" s="12">
        <f t="shared" si="187"/>
        <v>9.3157875193346875</v>
      </c>
      <c r="F247" s="12">
        <f t="shared" si="132"/>
        <v>9.4143265796430118</v>
      </c>
      <c r="G247" s="12">
        <f t="shared" si="188"/>
        <v>9.4603849288584865</v>
      </c>
      <c r="H247" s="12">
        <f t="shared" si="189"/>
        <v>9.618678771172064</v>
      </c>
      <c r="I247" s="12">
        <f t="shared" si="190"/>
        <v>9.7791474062161505</v>
      </c>
      <c r="J247" s="12">
        <f t="shared" si="133"/>
        <v>9.96148675922705</v>
      </c>
      <c r="K247" s="12">
        <f t="shared" si="134"/>
        <v>10.147043865526379</v>
      </c>
      <c r="L247" s="12">
        <f t="shared" si="135"/>
        <v>10.316078403217656</v>
      </c>
      <c r="M247" s="12">
        <f t="shared" si="136"/>
        <v>10.467636851844752</v>
      </c>
      <c r="N247" s="12">
        <f t="shared" si="137"/>
        <v>10.600852005123246</v>
      </c>
      <c r="O247" s="12">
        <f t="shared" si="138"/>
        <v>10.714951195002262</v>
      </c>
      <c r="P247" s="12">
        <f t="shared" si="139"/>
        <v>10.830278458353558</v>
      </c>
      <c r="Q247" s="12">
        <f t="shared" si="140"/>
        <v>10.946847013189064</v>
      </c>
      <c r="R247" s="12">
        <f t="shared" si="141"/>
        <v>11.064670219788946</v>
      </c>
      <c r="S247" s="12">
        <f t="shared" si="142"/>
        <v>11.183761582232858</v>
      </c>
      <c r="T247" s="12">
        <f t="shared" si="143"/>
        <v>11.304134749947693</v>
      </c>
      <c r="U247" s="12">
        <f t="shared" si="144"/>
        <v>11.425803519271982</v>
      </c>
      <c r="V247" s="12">
        <f t="shared" si="145"/>
        <v>11.571141528812625</v>
      </c>
      <c r="W247" s="12">
        <f t="shared" si="146"/>
        <v>11.571141528812625</v>
      </c>
      <c r="X247" s="12">
        <f t="shared" si="147"/>
        <v>11.571141528812625</v>
      </c>
      <c r="Y247" s="12">
        <f t="shared" si="148"/>
        <v>11.571141528812625</v>
      </c>
      <c r="Z247" s="12">
        <f t="shared" si="149"/>
        <v>11.571141528812625</v>
      </c>
      <c r="AA247" s="12">
        <f t="shared" si="150"/>
        <v>11.571141528812625</v>
      </c>
      <c r="AB247" s="12">
        <f t="shared" si="151"/>
        <v>11.571141528812625</v>
      </c>
      <c r="AC247" s="12">
        <f t="shared" si="152"/>
        <v>11.571141528812625</v>
      </c>
      <c r="AD247" s="12">
        <f t="shared" si="153"/>
        <v>11.571141528812625</v>
      </c>
      <c r="AE247" s="12">
        <f t="shared" si="154"/>
        <v>11.571141528812625</v>
      </c>
      <c r="AF247" s="12">
        <f t="shared" si="155"/>
        <v>11.571141528812625</v>
      </c>
      <c r="AG247" s="12">
        <f t="shared" si="156"/>
        <v>11.571141528812625</v>
      </c>
      <c r="AH247" s="12">
        <f t="shared" si="157"/>
        <v>11.571141528812625</v>
      </c>
      <c r="AI247" s="12">
        <f t="shared" si="158"/>
        <v>11.571141528812625</v>
      </c>
      <c r="AJ247" s="12">
        <f t="shared" si="159"/>
        <v>11.571141528812625</v>
      </c>
      <c r="AK247" s="12">
        <f t="shared" si="160"/>
        <v>11.571141528812625</v>
      </c>
      <c r="AL247" s="12">
        <f t="shared" si="161"/>
        <v>11.571141528812625</v>
      </c>
      <c r="AM247" s="12">
        <f t="shared" si="162"/>
        <v>11.571141528812625</v>
      </c>
      <c r="AN247" s="12">
        <f t="shared" si="163"/>
        <v>11.571141528812625</v>
      </c>
      <c r="AO247" s="12">
        <f t="shared" si="164"/>
        <v>11.571141528812625</v>
      </c>
      <c r="AP247" s="12">
        <f t="shared" si="165"/>
        <v>11.571141528812625</v>
      </c>
      <c r="AQ247" s="12">
        <f t="shared" si="166"/>
        <v>11.571141528812625</v>
      </c>
      <c r="AR247" s="12">
        <f t="shared" si="167"/>
        <v>11.571141528812625</v>
      </c>
      <c r="AS247" s="12">
        <f t="shared" si="168"/>
        <v>11.571141528812625</v>
      </c>
      <c r="AT247" s="12">
        <f t="shared" si="169"/>
        <v>11.571141528812625</v>
      </c>
      <c r="AU247" s="12">
        <f t="shared" si="170"/>
        <v>11.571141528812625</v>
      </c>
      <c r="AV247" s="12">
        <f t="shared" si="171"/>
        <v>11.571141528812625</v>
      </c>
      <c r="AW247" s="12">
        <f t="shared" si="172"/>
        <v>11.571141528812625</v>
      </c>
      <c r="AX247" s="12">
        <f t="shared" si="173"/>
        <v>11.571141528812625</v>
      </c>
      <c r="AY247" s="12">
        <f t="shared" si="174"/>
        <v>11.571141528812625</v>
      </c>
      <c r="AZ247" s="12">
        <f t="shared" si="175"/>
        <v>11.571141528812625</v>
      </c>
      <c r="BA247" s="12">
        <f t="shared" si="176"/>
        <v>11.571141528812625</v>
      </c>
      <c r="BB247" s="12">
        <f t="shared" si="177"/>
        <v>11.571141528812625</v>
      </c>
      <c r="BC247" s="12">
        <f t="shared" si="178"/>
        <v>11.571141528812625</v>
      </c>
      <c r="BD247" s="12">
        <f t="shared" si="179"/>
        <v>11.571141528812625</v>
      </c>
      <c r="BE247" s="12">
        <f t="shared" si="180"/>
        <v>11.571141528812625</v>
      </c>
      <c r="BF247" s="12">
        <f t="shared" si="181"/>
        <v>11.571141528812625</v>
      </c>
      <c r="BG247" s="12">
        <f t="shared" si="182"/>
        <v>11.571141528812625</v>
      </c>
      <c r="BH247" s="12">
        <f t="shared" si="183"/>
        <v>11.571141528812625</v>
      </c>
      <c r="BI247" s="12">
        <f t="shared" si="184"/>
        <v>11.571141528812625</v>
      </c>
      <c r="BJ247" s="12">
        <f t="shared" si="185"/>
        <v>11.571141528812625</v>
      </c>
      <c r="BK247" s="12">
        <f t="shared" si="186"/>
        <v>11.571141528812625</v>
      </c>
    </row>
    <row r="248" spans="1:63">
      <c r="A248" s="12"/>
      <c r="B248" s="12" t="s">
        <v>233</v>
      </c>
      <c r="C248" s="12">
        <f>D205</f>
        <v>27.490133636622119</v>
      </c>
      <c r="D248" s="12">
        <f t="shared" si="130"/>
        <v>28.172400355146564</v>
      </c>
      <c r="E248" s="12">
        <f t="shared" si="129"/>
        <v>28.735686706591984</v>
      </c>
      <c r="F248" s="12">
        <f t="shared" si="129"/>
        <v>29.039642497715935</v>
      </c>
      <c r="G248" s="12">
        <f t="shared" si="129"/>
        <v>29.181715112675409</v>
      </c>
      <c r="H248" s="12">
        <f t="shared" si="129"/>
        <v>29.669991841922929</v>
      </c>
      <c r="I248" s="12">
        <f t="shared" si="129"/>
        <v>30.164976985507508</v>
      </c>
      <c r="J248" s="12">
        <f t="shared" si="129"/>
        <v>30.727425035286352</v>
      </c>
      <c r="K248" s="12">
        <f t="shared" si="129"/>
        <v>31.299798638884827</v>
      </c>
      <c r="L248" s="12">
        <f t="shared" si="129"/>
        <v>31.821206357513969</v>
      </c>
      <c r="M248" s="12">
        <f t="shared" si="129"/>
        <v>32.288706940631215</v>
      </c>
      <c r="N248" s="12">
        <f t="shared" si="129"/>
        <v>32.699625384320107</v>
      </c>
      <c r="O248" s="12">
        <f t="shared" si="129"/>
        <v>33.051578299415524</v>
      </c>
      <c r="P248" s="12">
        <f t="shared" si="129"/>
        <v>33.407319357432712</v>
      </c>
      <c r="Q248" s="12">
        <f t="shared" si="129"/>
        <v>33.766889330947151</v>
      </c>
      <c r="R248" s="12">
        <f t="shared" si="129"/>
        <v>34.130329431378087</v>
      </c>
      <c r="S248" s="12">
        <f t="shared" si="129"/>
        <v>34.497681313711901</v>
      </c>
      <c r="T248" s="12">
        <f t="shared" si="129"/>
        <v>34.868987081276309</v>
      </c>
      <c r="U248" s="12">
        <f t="shared" si="129"/>
        <v>35.244289290565973</v>
      </c>
      <c r="V248" s="12">
        <f t="shared" si="129"/>
        <v>35.692602168038931</v>
      </c>
      <c r="W248" s="12">
        <f t="shared" si="129"/>
        <v>35.692602168038931</v>
      </c>
      <c r="X248" s="12">
        <f t="shared" si="129"/>
        <v>35.692602168038931</v>
      </c>
      <c r="Y248" s="12">
        <f t="shared" si="129"/>
        <v>35.692602168038931</v>
      </c>
      <c r="Z248" s="12">
        <f t="shared" si="129"/>
        <v>35.692602168038931</v>
      </c>
      <c r="AA248" s="12">
        <f t="shared" si="129"/>
        <v>35.692602168038931</v>
      </c>
      <c r="AB248" s="12">
        <f t="shared" si="129"/>
        <v>35.692602168038931</v>
      </c>
      <c r="AC248" s="12">
        <f t="shared" si="129"/>
        <v>35.692602168038931</v>
      </c>
      <c r="AD248" s="12">
        <f t="shared" si="129"/>
        <v>35.692602168038931</v>
      </c>
      <c r="AE248" s="12">
        <f t="shared" si="129"/>
        <v>35.692602168038931</v>
      </c>
      <c r="AF248" s="12">
        <f t="shared" si="129"/>
        <v>35.692602168038931</v>
      </c>
      <c r="AG248" s="12">
        <f t="shared" si="129"/>
        <v>35.692602168038931</v>
      </c>
      <c r="AH248" s="12">
        <f t="shared" si="129"/>
        <v>35.692602168038931</v>
      </c>
      <c r="AI248" s="12">
        <f t="shared" si="129"/>
        <v>35.692602168038931</v>
      </c>
      <c r="AJ248" s="12">
        <f t="shared" si="129"/>
        <v>35.692602168038931</v>
      </c>
      <c r="AK248" s="12">
        <f t="shared" si="129"/>
        <v>35.692602168038931</v>
      </c>
      <c r="AL248" s="12">
        <f t="shared" si="129"/>
        <v>35.692602168038931</v>
      </c>
      <c r="AM248" s="12">
        <f t="shared" ref="AM248:BK249" si="191">AL248*(1+AM$225/100)</f>
        <v>35.692602168038931</v>
      </c>
      <c r="AN248" s="12">
        <f t="shared" si="191"/>
        <v>35.692602168038931</v>
      </c>
      <c r="AO248" s="12">
        <f t="shared" si="191"/>
        <v>35.692602168038931</v>
      </c>
      <c r="AP248" s="12">
        <f t="shared" si="191"/>
        <v>35.692602168038931</v>
      </c>
      <c r="AQ248" s="12">
        <f t="shared" si="191"/>
        <v>35.692602168038931</v>
      </c>
      <c r="AR248" s="12">
        <f t="shared" si="191"/>
        <v>35.692602168038931</v>
      </c>
      <c r="AS248" s="12">
        <f t="shared" si="191"/>
        <v>35.692602168038931</v>
      </c>
      <c r="AT248" s="12">
        <f t="shared" si="191"/>
        <v>35.692602168038931</v>
      </c>
      <c r="AU248" s="12">
        <f t="shared" si="191"/>
        <v>35.692602168038931</v>
      </c>
      <c r="AV248" s="12">
        <f t="shared" si="191"/>
        <v>35.692602168038931</v>
      </c>
      <c r="AW248" s="12">
        <f t="shared" si="191"/>
        <v>35.692602168038931</v>
      </c>
      <c r="AX248" s="12">
        <f t="shared" si="191"/>
        <v>35.692602168038931</v>
      </c>
      <c r="AY248" s="12">
        <f t="shared" si="191"/>
        <v>35.692602168038931</v>
      </c>
      <c r="AZ248" s="12">
        <f t="shared" si="191"/>
        <v>35.692602168038931</v>
      </c>
      <c r="BA248" s="12">
        <f t="shared" si="191"/>
        <v>35.692602168038931</v>
      </c>
      <c r="BB248" s="12">
        <f t="shared" si="191"/>
        <v>35.692602168038931</v>
      </c>
      <c r="BC248" s="12">
        <f t="shared" si="191"/>
        <v>35.692602168038931</v>
      </c>
      <c r="BD248" s="12">
        <f t="shared" si="191"/>
        <v>35.692602168038931</v>
      </c>
      <c r="BE248" s="12">
        <f t="shared" si="191"/>
        <v>35.692602168038931</v>
      </c>
      <c r="BF248" s="12">
        <f t="shared" si="191"/>
        <v>35.692602168038931</v>
      </c>
      <c r="BG248" s="12">
        <f t="shared" si="191"/>
        <v>35.692602168038931</v>
      </c>
      <c r="BH248" s="12">
        <f t="shared" si="191"/>
        <v>35.692602168038931</v>
      </c>
      <c r="BI248" s="12">
        <f t="shared" si="191"/>
        <v>35.692602168038931</v>
      </c>
      <c r="BJ248" s="12">
        <f t="shared" si="191"/>
        <v>35.692602168038931</v>
      </c>
      <c r="BK248" s="12">
        <f t="shared" si="191"/>
        <v>35.692602168038931</v>
      </c>
    </row>
    <row r="249" spans="1:63">
      <c r="A249" s="12"/>
      <c r="B249" s="12" t="s">
        <v>234</v>
      </c>
      <c r="C249" s="12">
        <f>D206</f>
        <v>33.847305389221553</v>
      </c>
      <c r="D249" s="12">
        <f t="shared" si="130"/>
        <v>34.687348230920762</v>
      </c>
      <c r="E249" s="12">
        <f t="shared" ref="E249" si="192">D249*(1+E$225/100)</f>
        <v>35.380896156550136</v>
      </c>
      <c r="F249" s="12">
        <f t="shared" ref="F249" si="193">E249*(1+F$225/100)</f>
        <v>35.755142590670381</v>
      </c>
      <c r="G249" s="12">
        <f t="shared" ref="G249" si="194">F249*(1+G$225/100)</f>
        <v>35.930069902757815</v>
      </c>
      <c r="H249" s="12">
        <f t="shared" ref="H249" si="195">G249*(1+H$225/100)</f>
        <v>36.531262017272461</v>
      </c>
      <c r="I249" s="12">
        <f t="shared" ref="I249" si="196">H249*(1+I$225/100)</f>
        <v>37.140713886059139</v>
      </c>
      <c r="J249" s="12">
        <f t="shared" ref="J249" si="197">I249*(1+J$225/100)</f>
        <v>37.83322965037231</v>
      </c>
      <c r="K249" s="12">
        <f t="shared" ref="K249" si="198">J249*(1+K$225/100)</f>
        <v>38.537966281114542</v>
      </c>
      <c r="L249" s="12">
        <f t="shared" ref="L249" si="199">K249*(1+L$225/100)</f>
        <v>39.179951020731345</v>
      </c>
      <c r="M249" s="12">
        <f t="shared" ref="M249" si="200">L249*(1+M$225/100)</f>
        <v>39.755562446109373</v>
      </c>
      <c r="N249" s="12">
        <f t="shared" ref="N249" si="201">M249*(1+N$225/100)</f>
        <v>40.261506951052517</v>
      </c>
      <c r="O249" s="12">
        <f t="shared" ref="O249" si="202">N249*(1+O$225/100)</f>
        <v>40.694849980858365</v>
      </c>
      <c r="P249" s="12">
        <f t="shared" ref="P249" si="203">O249*(1+P$225/100)</f>
        <v>41.132857172433155</v>
      </c>
      <c r="Q249" s="12">
        <f t="shared" ref="Q249" si="204">P249*(1+Q$225/100)</f>
        <v>41.575578727126661</v>
      </c>
      <c r="R249" s="12">
        <f t="shared" ref="R249" si="205">Q249*(1+R$225/100)</f>
        <v>42.023065386616281</v>
      </c>
      <c r="S249" s="12">
        <f t="shared" ref="S249" si="206">R249*(1+S$225/100)</f>
        <v>42.475368438722718</v>
      </c>
      <c r="T249" s="12">
        <f t="shared" ref="T249" si="207">S249*(1+T$225/100)</f>
        <v>42.932539723288222</v>
      </c>
      <c r="U249" s="12">
        <f t="shared" ref="U249" si="208">T249*(1+U$225/100)</f>
        <v>43.394631638118135</v>
      </c>
      <c r="V249" s="12">
        <f t="shared" ref="V249" si="209">U249*(1+V$225/100)</f>
        <v>43.946618146235103</v>
      </c>
      <c r="W249" s="12">
        <f t="shared" ref="W249" si="210">V249*(1+W$225/100)</f>
        <v>43.946618146235103</v>
      </c>
      <c r="X249" s="12">
        <f t="shared" ref="X249" si="211">W249*(1+X$225/100)</f>
        <v>43.946618146235103</v>
      </c>
      <c r="Y249" s="12">
        <f t="shared" ref="Y249" si="212">X249*(1+Y$225/100)</f>
        <v>43.946618146235103</v>
      </c>
      <c r="Z249" s="12">
        <f t="shared" ref="Z249" si="213">Y249*(1+Z$225/100)</f>
        <v>43.946618146235103</v>
      </c>
      <c r="AA249" s="12">
        <f t="shared" ref="AA249" si="214">Z249*(1+AA$225/100)</f>
        <v>43.946618146235103</v>
      </c>
      <c r="AB249" s="12">
        <f t="shared" ref="AB249" si="215">AA249*(1+AB$225/100)</f>
        <v>43.946618146235103</v>
      </c>
      <c r="AC249" s="12">
        <f t="shared" ref="AC249" si="216">AB249*(1+AC$225/100)</f>
        <v>43.946618146235103</v>
      </c>
      <c r="AD249" s="12">
        <f t="shared" ref="AD249" si="217">AC249*(1+AD$225/100)</f>
        <v>43.946618146235103</v>
      </c>
      <c r="AE249" s="12">
        <f t="shared" ref="AE249" si="218">AD249*(1+AE$225/100)</f>
        <v>43.946618146235103</v>
      </c>
      <c r="AF249" s="12">
        <f t="shared" ref="AF249" si="219">AE249*(1+AF$225/100)</f>
        <v>43.946618146235103</v>
      </c>
      <c r="AG249" s="12">
        <f t="shared" ref="AG249" si="220">AF249*(1+AG$225/100)</f>
        <v>43.946618146235103</v>
      </c>
      <c r="AH249" s="12">
        <f t="shared" ref="AH249" si="221">AG249*(1+AH$225/100)</f>
        <v>43.946618146235103</v>
      </c>
      <c r="AI249" s="12">
        <f t="shared" ref="AI249" si="222">AH249*(1+AI$225/100)</f>
        <v>43.946618146235103</v>
      </c>
      <c r="AJ249" s="12">
        <f t="shared" ref="AJ249" si="223">AI249*(1+AJ$225/100)</f>
        <v>43.946618146235103</v>
      </c>
      <c r="AK249" s="12">
        <f t="shared" ref="AK249" si="224">AJ249*(1+AK$225/100)</f>
        <v>43.946618146235103</v>
      </c>
      <c r="AL249" s="12">
        <f t="shared" ref="AL249" si="225">AK249*(1+AL$225/100)</f>
        <v>43.946618146235103</v>
      </c>
      <c r="AM249" s="12">
        <f t="shared" si="191"/>
        <v>43.946618146235103</v>
      </c>
      <c r="AN249" s="12">
        <f t="shared" si="191"/>
        <v>43.946618146235103</v>
      </c>
      <c r="AO249" s="12">
        <f t="shared" si="191"/>
        <v>43.946618146235103</v>
      </c>
      <c r="AP249" s="12">
        <f t="shared" si="191"/>
        <v>43.946618146235103</v>
      </c>
      <c r="AQ249" s="12">
        <f t="shared" si="191"/>
        <v>43.946618146235103</v>
      </c>
      <c r="AR249" s="12">
        <f t="shared" si="191"/>
        <v>43.946618146235103</v>
      </c>
      <c r="AS249" s="12">
        <f t="shared" si="191"/>
        <v>43.946618146235103</v>
      </c>
      <c r="AT249" s="12">
        <f t="shared" si="191"/>
        <v>43.946618146235103</v>
      </c>
      <c r="AU249" s="12">
        <f t="shared" si="191"/>
        <v>43.946618146235103</v>
      </c>
      <c r="AV249" s="12">
        <f t="shared" si="191"/>
        <v>43.946618146235103</v>
      </c>
      <c r="AW249" s="12">
        <f t="shared" si="191"/>
        <v>43.946618146235103</v>
      </c>
      <c r="AX249" s="12">
        <f t="shared" si="191"/>
        <v>43.946618146235103</v>
      </c>
      <c r="AY249" s="12">
        <f t="shared" si="191"/>
        <v>43.946618146235103</v>
      </c>
      <c r="AZ249" s="12">
        <f t="shared" si="191"/>
        <v>43.946618146235103</v>
      </c>
      <c r="BA249" s="12">
        <f t="shared" si="191"/>
        <v>43.946618146235103</v>
      </c>
      <c r="BB249" s="12">
        <f t="shared" si="191"/>
        <v>43.946618146235103</v>
      </c>
      <c r="BC249" s="12">
        <f t="shared" si="191"/>
        <v>43.946618146235103</v>
      </c>
      <c r="BD249" s="12">
        <f t="shared" si="191"/>
        <v>43.946618146235103</v>
      </c>
      <c r="BE249" s="12">
        <f t="shared" si="191"/>
        <v>43.946618146235103</v>
      </c>
      <c r="BF249" s="12">
        <f t="shared" si="191"/>
        <v>43.946618146235103</v>
      </c>
      <c r="BG249" s="12">
        <f t="shared" si="191"/>
        <v>43.946618146235103</v>
      </c>
      <c r="BH249" s="12">
        <f t="shared" si="191"/>
        <v>43.946618146235103</v>
      </c>
      <c r="BI249" s="12">
        <f t="shared" si="191"/>
        <v>43.946618146235103</v>
      </c>
      <c r="BJ249" s="12">
        <f t="shared" si="191"/>
        <v>43.946618146235103</v>
      </c>
      <c r="BK249" s="12">
        <f t="shared" si="191"/>
        <v>43.946618146235103</v>
      </c>
    </row>
    <row r="250" spans="1:63">
      <c r="A250" s="12"/>
      <c r="C250" s="12"/>
    </row>
    <row r="251" spans="1:63">
      <c r="A251" s="2"/>
      <c r="C251" s="12"/>
    </row>
    <row r="252" spans="1:63">
      <c r="A252" s="2"/>
      <c r="C252" s="12"/>
    </row>
    <row r="253" spans="1:63">
      <c r="A253" s="12" t="s">
        <v>101</v>
      </c>
      <c r="C253" s="12">
        <f>D211</f>
        <v>2010</v>
      </c>
      <c r="D253">
        <f>D223</f>
        <v>2011</v>
      </c>
      <c r="E253" s="12">
        <f t="shared" ref="E253:BK253" si="226">E223</f>
        <v>2012</v>
      </c>
      <c r="F253" s="12">
        <f t="shared" si="226"/>
        <v>2013</v>
      </c>
      <c r="G253" s="12">
        <f t="shared" si="226"/>
        <v>2014</v>
      </c>
      <c r="H253" s="12">
        <f t="shared" si="226"/>
        <v>2015</v>
      </c>
      <c r="I253" s="12">
        <f t="shared" si="226"/>
        <v>2016</v>
      </c>
      <c r="J253" s="12">
        <f t="shared" si="226"/>
        <v>2017</v>
      </c>
      <c r="K253" s="12">
        <f t="shared" si="226"/>
        <v>2018</v>
      </c>
      <c r="L253" s="12">
        <f t="shared" si="226"/>
        <v>2019</v>
      </c>
      <c r="M253" s="12">
        <f t="shared" si="226"/>
        <v>2020</v>
      </c>
      <c r="N253" s="12">
        <f t="shared" si="226"/>
        <v>2021</v>
      </c>
      <c r="O253" s="12">
        <f t="shared" si="226"/>
        <v>2022</v>
      </c>
      <c r="P253" s="12">
        <f t="shared" si="226"/>
        <v>2023</v>
      </c>
      <c r="Q253" s="12">
        <f t="shared" si="226"/>
        <v>2024</v>
      </c>
      <c r="R253" s="12">
        <f t="shared" si="226"/>
        <v>2025</v>
      </c>
      <c r="S253" s="12">
        <f t="shared" si="226"/>
        <v>2026</v>
      </c>
      <c r="T253" s="12">
        <f t="shared" si="226"/>
        <v>2027</v>
      </c>
      <c r="U253" s="12">
        <f t="shared" si="226"/>
        <v>2028</v>
      </c>
      <c r="V253" s="12">
        <f t="shared" si="226"/>
        <v>2029</v>
      </c>
      <c r="W253" s="12">
        <f t="shared" si="226"/>
        <v>2030</v>
      </c>
      <c r="X253" s="12">
        <f t="shared" si="226"/>
        <v>2031</v>
      </c>
      <c r="Y253" s="12">
        <f t="shared" si="226"/>
        <v>2032</v>
      </c>
      <c r="Z253" s="12">
        <f t="shared" si="226"/>
        <v>2033</v>
      </c>
      <c r="AA253" s="12">
        <f t="shared" si="226"/>
        <v>2034</v>
      </c>
      <c r="AB253" s="12">
        <f t="shared" si="226"/>
        <v>2035</v>
      </c>
      <c r="AC253" s="12">
        <f t="shared" si="226"/>
        <v>2036</v>
      </c>
      <c r="AD253" s="12">
        <f t="shared" si="226"/>
        <v>2037</v>
      </c>
      <c r="AE253" s="12">
        <f t="shared" si="226"/>
        <v>2038</v>
      </c>
      <c r="AF253" s="12">
        <f t="shared" si="226"/>
        <v>2039</v>
      </c>
      <c r="AG253" s="12">
        <f t="shared" si="226"/>
        <v>2040</v>
      </c>
      <c r="AH253" s="12">
        <f t="shared" si="226"/>
        <v>2041</v>
      </c>
      <c r="AI253" s="12">
        <f t="shared" si="226"/>
        <v>2042</v>
      </c>
      <c r="AJ253" s="12">
        <f t="shared" si="226"/>
        <v>2043</v>
      </c>
      <c r="AK253" s="12">
        <f t="shared" si="226"/>
        <v>2044</v>
      </c>
      <c r="AL253" s="12">
        <f t="shared" si="226"/>
        <v>2045</v>
      </c>
      <c r="AM253" s="12">
        <f t="shared" si="226"/>
        <v>2046</v>
      </c>
      <c r="AN253" s="12">
        <f t="shared" si="226"/>
        <v>2047</v>
      </c>
      <c r="AO253" s="12">
        <f t="shared" si="226"/>
        <v>2048</v>
      </c>
      <c r="AP253" s="12">
        <f t="shared" si="226"/>
        <v>2049</v>
      </c>
      <c r="AQ253" s="12">
        <f t="shared" si="226"/>
        <v>2050</v>
      </c>
      <c r="AR253" s="12">
        <f t="shared" si="226"/>
        <v>2051</v>
      </c>
      <c r="AS253" s="12">
        <f t="shared" si="226"/>
        <v>2052</v>
      </c>
      <c r="AT253" s="12">
        <f t="shared" si="226"/>
        <v>2053</v>
      </c>
      <c r="AU253" s="12">
        <f t="shared" si="226"/>
        <v>2054</v>
      </c>
      <c r="AV253" s="12">
        <f t="shared" si="226"/>
        <v>2055</v>
      </c>
      <c r="AW253" s="12">
        <f t="shared" si="226"/>
        <v>2056</v>
      </c>
      <c r="AX253" s="12">
        <f t="shared" si="226"/>
        <v>2057</v>
      </c>
      <c r="AY253" s="12">
        <f t="shared" si="226"/>
        <v>2058</v>
      </c>
      <c r="AZ253" s="12">
        <f t="shared" si="226"/>
        <v>2059</v>
      </c>
      <c r="BA253" s="12">
        <f t="shared" si="226"/>
        <v>2060</v>
      </c>
      <c r="BB253" s="12">
        <f t="shared" si="226"/>
        <v>2061</v>
      </c>
      <c r="BC253" s="12">
        <f t="shared" si="226"/>
        <v>2062</v>
      </c>
      <c r="BD253" s="12">
        <f t="shared" si="226"/>
        <v>2063</v>
      </c>
      <c r="BE253" s="12">
        <f t="shared" si="226"/>
        <v>2064</v>
      </c>
      <c r="BF253" s="12">
        <f t="shared" si="226"/>
        <v>2065</v>
      </c>
      <c r="BG253" s="12">
        <f t="shared" si="226"/>
        <v>2066</v>
      </c>
      <c r="BH253" s="12">
        <f t="shared" si="226"/>
        <v>2067</v>
      </c>
      <c r="BI253" s="12">
        <f t="shared" si="226"/>
        <v>2068</v>
      </c>
      <c r="BJ253" s="12">
        <f t="shared" si="226"/>
        <v>2069</v>
      </c>
      <c r="BK253" s="12">
        <f t="shared" si="226"/>
        <v>2070</v>
      </c>
    </row>
    <row r="254" spans="1:63">
      <c r="A254" s="12" t="s">
        <v>230</v>
      </c>
      <c r="B254" s="12"/>
      <c r="C254" s="12">
        <f>D212</f>
        <v>32.416427378764197</v>
      </c>
      <c r="D254" s="12">
        <f>C254*(1+D$225/100)</f>
        <v>33.220957826900388</v>
      </c>
      <c r="E254" s="12">
        <f>D254*(1+E$225/100)</f>
        <v>33.885186358723672</v>
      </c>
      <c r="F254" s="12">
        <f t="shared" ref="F254:BK254" si="227">E254*(1+F$225/100)</f>
        <v>34.243611710872493</v>
      </c>
      <c r="G254" s="12">
        <f t="shared" si="227"/>
        <v>34.411144057794573</v>
      </c>
      <c r="H254" s="12">
        <f t="shared" si="227"/>
        <v>34.986921074509638</v>
      </c>
      <c r="I254" s="12">
        <f t="shared" si="227"/>
        <v>35.570608668490657</v>
      </c>
      <c r="J254" s="12">
        <f t="shared" si="227"/>
        <v>36.233848673104319</v>
      </c>
      <c r="K254" s="12">
        <f t="shared" si="227"/>
        <v>36.908792913093521</v>
      </c>
      <c r="L254" s="12">
        <f t="shared" si="227"/>
        <v>37.523638066961809</v>
      </c>
      <c r="M254" s="12">
        <f t="shared" si="227"/>
        <v>38.07491580545782</v>
      </c>
      <c r="N254" s="12">
        <f t="shared" si="227"/>
        <v>38.559471757950185</v>
      </c>
      <c r="O254" s="12">
        <f t="shared" si="227"/>
        <v>38.974495426577825</v>
      </c>
      <c r="P254" s="12">
        <f t="shared" si="227"/>
        <v>39.393986081854102</v>
      </c>
      <c r="Q254" s="12">
        <f t="shared" si="227"/>
        <v>39.817991802891669</v>
      </c>
      <c r="R254" s="12">
        <f t="shared" si="227"/>
        <v>40.246561186288737</v>
      </c>
      <c r="S254" s="12">
        <f t="shared" si="227"/>
        <v>40.679743351698889</v>
      </c>
      <c r="T254" s="12">
        <f t="shared" si="227"/>
        <v>41.117587947460812</v>
      </c>
      <c r="U254" s="12">
        <f t="shared" si="227"/>
        <v>41.560145156288662</v>
      </c>
      <c r="V254" s="12">
        <f t="shared" si="227"/>
        <v>42.088796709157307</v>
      </c>
      <c r="W254" s="12">
        <f t="shared" si="227"/>
        <v>42.088796709157307</v>
      </c>
      <c r="X254" s="12">
        <f t="shared" si="227"/>
        <v>42.088796709157307</v>
      </c>
      <c r="Y254" s="12">
        <f t="shared" si="227"/>
        <v>42.088796709157307</v>
      </c>
      <c r="Z254" s="12">
        <f t="shared" si="227"/>
        <v>42.088796709157307</v>
      </c>
      <c r="AA254" s="12">
        <f t="shared" si="227"/>
        <v>42.088796709157307</v>
      </c>
      <c r="AB254" s="12">
        <f t="shared" si="227"/>
        <v>42.088796709157307</v>
      </c>
      <c r="AC254" s="12">
        <f t="shared" si="227"/>
        <v>42.088796709157307</v>
      </c>
      <c r="AD254" s="12">
        <f t="shared" si="227"/>
        <v>42.088796709157307</v>
      </c>
      <c r="AE254" s="12">
        <f t="shared" si="227"/>
        <v>42.088796709157307</v>
      </c>
      <c r="AF254" s="12">
        <f t="shared" si="227"/>
        <v>42.088796709157307</v>
      </c>
      <c r="AG254" s="12">
        <f t="shared" si="227"/>
        <v>42.088796709157307</v>
      </c>
      <c r="AH254" s="12">
        <f t="shared" si="227"/>
        <v>42.088796709157307</v>
      </c>
      <c r="AI254" s="12">
        <f t="shared" si="227"/>
        <v>42.088796709157307</v>
      </c>
      <c r="AJ254" s="12">
        <f t="shared" si="227"/>
        <v>42.088796709157307</v>
      </c>
      <c r="AK254" s="12">
        <f t="shared" si="227"/>
        <v>42.088796709157307</v>
      </c>
      <c r="AL254" s="12">
        <f t="shared" si="227"/>
        <v>42.088796709157307</v>
      </c>
      <c r="AM254" s="12">
        <f t="shared" si="227"/>
        <v>42.088796709157307</v>
      </c>
      <c r="AN254" s="12">
        <f t="shared" si="227"/>
        <v>42.088796709157307</v>
      </c>
      <c r="AO254" s="12">
        <f t="shared" si="227"/>
        <v>42.088796709157307</v>
      </c>
      <c r="AP254" s="12">
        <f t="shared" si="227"/>
        <v>42.088796709157307</v>
      </c>
      <c r="AQ254" s="12">
        <f t="shared" si="227"/>
        <v>42.088796709157307</v>
      </c>
      <c r="AR254" s="12">
        <f t="shared" si="227"/>
        <v>42.088796709157307</v>
      </c>
      <c r="AS254" s="12">
        <f t="shared" si="227"/>
        <v>42.088796709157307</v>
      </c>
      <c r="AT254" s="12">
        <f t="shared" si="227"/>
        <v>42.088796709157307</v>
      </c>
      <c r="AU254" s="12">
        <f t="shared" si="227"/>
        <v>42.088796709157307</v>
      </c>
      <c r="AV254" s="12">
        <f t="shared" si="227"/>
        <v>42.088796709157307</v>
      </c>
      <c r="AW254" s="12">
        <f t="shared" si="227"/>
        <v>42.088796709157307</v>
      </c>
      <c r="AX254" s="12">
        <f t="shared" si="227"/>
        <v>42.088796709157307</v>
      </c>
      <c r="AY254" s="12">
        <f t="shared" si="227"/>
        <v>42.088796709157307</v>
      </c>
      <c r="AZ254" s="12">
        <f t="shared" si="227"/>
        <v>42.088796709157307</v>
      </c>
      <c r="BA254" s="12">
        <f t="shared" si="227"/>
        <v>42.088796709157307</v>
      </c>
      <c r="BB254" s="12">
        <f t="shared" si="227"/>
        <v>42.088796709157307</v>
      </c>
      <c r="BC254" s="12">
        <f t="shared" si="227"/>
        <v>42.088796709157307</v>
      </c>
      <c r="BD254" s="12">
        <f t="shared" si="227"/>
        <v>42.088796709157307</v>
      </c>
      <c r="BE254" s="12">
        <f t="shared" si="227"/>
        <v>42.088796709157307</v>
      </c>
      <c r="BF254" s="12">
        <f t="shared" si="227"/>
        <v>42.088796709157307</v>
      </c>
      <c r="BG254" s="12">
        <f t="shared" si="227"/>
        <v>42.088796709157307</v>
      </c>
      <c r="BH254" s="12">
        <f t="shared" si="227"/>
        <v>42.088796709157307</v>
      </c>
      <c r="BI254" s="12">
        <f t="shared" si="227"/>
        <v>42.088796709157307</v>
      </c>
      <c r="BJ254" s="12">
        <f t="shared" si="227"/>
        <v>42.088796709157307</v>
      </c>
      <c r="BK254" s="12">
        <f t="shared" si="227"/>
        <v>42.088796709157307</v>
      </c>
    </row>
    <row r="255" spans="1:63">
      <c r="A255" s="12" t="s">
        <v>231</v>
      </c>
      <c r="B255" s="12"/>
      <c r="C255" s="12">
        <f>D213</f>
        <v>24.832042589115403</v>
      </c>
      <c r="D255" s="12">
        <f t="shared" ref="D255:E262" si="228">C255*(1+D$225/100)</f>
        <v>25.448339200673704</v>
      </c>
      <c r="E255" s="12">
        <f t="shared" si="228"/>
        <v>25.95715995992698</v>
      </c>
      <c r="F255" s="12">
        <f t="shared" ref="F255:BK255" si="229">E255*(1+F$225/100)</f>
        <v>26.231725491334327</v>
      </c>
      <c r="G255" s="12">
        <f t="shared" si="229"/>
        <v>26.36006074324888</v>
      </c>
      <c r="H255" s="12">
        <f t="shared" si="229"/>
        <v>26.801124751748123</v>
      </c>
      <c r="I255" s="12">
        <f t="shared" si="229"/>
        <v>27.248248520913691</v>
      </c>
      <c r="J255" s="12">
        <f t="shared" si="229"/>
        <v>27.756312036023957</v>
      </c>
      <c r="K255" s="12">
        <f t="shared" si="229"/>
        <v>28.273341377871468</v>
      </c>
      <c r="L255" s="12">
        <f t="shared" si="229"/>
        <v>28.744332855993775</v>
      </c>
      <c r="M255" s="12">
        <f t="shared" si="229"/>
        <v>29.166629616855584</v>
      </c>
      <c r="N255" s="12">
        <f t="shared" si="229"/>
        <v>29.537815309483211</v>
      </c>
      <c r="O255" s="12">
        <f t="shared" si="229"/>
        <v>29.85573700068117</v>
      </c>
      <c r="P255" s="12">
        <f t="shared" si="229"/>
        <v>30.177080549612178</v>
      </c>
      <c r="Q255" s="12">
        <f t="shared" si="229"/>
        <v>30.501882786447531</v>
      </c>
      <c r="R255" s="12">
        <f t="shared" si="229"/>
        <v>30.83018093776937</v>
      </c>
      <c r="S255" s="12">
        <f t="shared" si="229"/>
        <v>31.162012630837335</v>
      </c>
      <c r="T255" s="12">
        <f t="shared" si="229"/>
        <v>31.497415897901138</v>
      </c>
      <c r="U255" s="12">
        <f t="shared" si="229"/>
        <v>31.836429180559563</v>
      </c>
      <c r="V255" s="12">
        <f t="shared" si="229"/>
        <v>32.241393543913063</v>
      </c>
      <c r="W255" s="12">
        <f t="shared" si="229"/>
        <v>32.241393543913063</v>
      </c>
      <c r="X255" s="12">
        <f t="shared" si="229"/>
        <v>32.241393543913063</v>
      </c>
      <c r="Y255" s="12">
        <f t="shared" si="229"/>
        <v>32.241393543913063</v>
      </c>
      <c r="Z255" s="12">
        <f t="shared" si="229"/>
        <v>32.241393543913063</v>
      </c>
      <c r="AA255" s="12">
        <f t="shared" si="229"/>
        <v>32.241393543913063</v>
      </c>
      <c r="AB255" s="12">
        <f t="shared" si="229"/>
        <v>32.241393543913063</v>
      </c>
      <c r="AC255" s="12">
        <f t="shared" si="229"/>
        <v>32.241393543913063</v>
      </c>
      <c r="AD255" s="12">
        <f t="shared" si="229"/>
        <v>32.241393543913063</v>
      </c>
      <c r="AE255" s="12">
        <f t="shared" si="229"/>
        <v>32.241393543913063</v>
      </c>
      <c r="AF255" s="12">
        <f t="shared" si="229"/>
        <v>32.241393543913063</v>
      </c>
      <c r="AG255" s="12">
        <f t="shared" si="229"/>
        <v>32.241393543913063</v>
      </c>
      <c r="AH255" s="12">
        <f t="shared" si="229"/>
        <v>32.241393543913063</v>
      </c>
      <c r="AI255" s="12">
        <f t="shared" si="229"/>
        <v>32.241393543913063</v>
      </c>
      <c r="AJ255" s="12">
        <f t="shared" si="229"/>
        <v>32.241393543913063</v>
      </c>
      <c r="AK255" s="12">
        <f t="shared" si="229"/>
        <v>32.241393543913063</v>
      </c>
      <c r="AL255" s="12">
        <f t="shared" si="229"/>
        <v>32.241393543913063</v>
      </c>
      <c r="AM255" s="12">
        <f t="shared" si="229"/>
        <v>32.241393543913063</v>
      </c>
      <c r="AN255" s="12">
        <f t="shared" si="229"/>
        <v>32.241393543913063</v>
      </c>
      <c r="AO255" s="12">
        <f t="shared" si="229"/>
        <v>32.241393543913063</v>
      </c>
      <c r="AP255" s="12">
        <f t="shared" si="229"/>
        <v>32.241393543913063</v>
      </c>
      <c r="AQ255" s="12">
        <f t="shared" si="229"/>
        <v>32.241393543913063</v>
      </c>
      <c r="AR255" s="12">
        <f t="shared" si="229"/>
        <v>32.241393543913063</v>
      </c>
      <c r="AS255" s="12">
        <f t="shared" si="229"/>
        <v>32.241393543913063</v>
      </c>
      <c r="AT255" s="12">
        <f t="shared" si="229"/>
        <v>32.241393543913063</v>
      </c>
      <c r="AU255" s="12">
        <f t="shared" si="229"/>
        <v>32.241393543913063</v>
      </c>
      <c r="AV255" s="12">
        <f t="shared" si="229"/>
        <v>32.241393543913063</v>
      </c>
      <c r="AW255" s="12">
        <f t="shared" si="229"/>
        <v>32.241393543913063</v>
      </c>
      <c r="AX255" s="12">
        <f t="shared" si="229"/>
        <v>32.241393543913063</v>
      </c>
      <c r="AY255" s="12">
        <f t="shared" si="229"/>
        <v>32.241393543913063</v>
      </c>
      <c r="AZ255" s="12">
        <f t="shared" si="229"/>
        <v>32.241393543913063</v>
      </c>
      <c r="BA255" s="12">
        <f t="shared" si="229"/>
        <v>32.241393543913063</v>
      </c>
      <c r="BB255" s="12">
        <f t="shared" si="229"/>
        <v>32.241393543913063</v>
      </c>
      <c r="BC255" s="12">
        <f t="shared" si="229"/>
        <v>32.241393543913063</v>
      </c>
      <c r="BD255" s="12">
        <f t="shared" si="229"/>
        <v>32.241393543913063</v>
      </c>
      <c r="BE255" s="12">
        <f t="shared" si="229"/>
        <v>32.241393543913063</v>
      </c>
      <c r="BF255" s="12">
        <f t="shared" si="229"/>
        <v>32.241393543913063</v>
      </c>
      <c r="BG255" s="12">
        <f t="shared" si="229"/>
        <v>32.241393543913063</v>
      </c>
      <c r="BH255" s="12">
        <f t="shared" si="229"/>
        <v>32.241393543913063</v>
      </c>
      <c r="BI255" s="12">
        <f t="shared" si="229"/>
        <v>32.241393543913063</v>
      </c>
      <c r="BJ255" s="12">
        <f t="shared" si="229"/>
        <v>32.241393543913063</v>
      </c>
      <c r="BK255" s="12">
        <f t="shared" si="229"/>
        <v>32.241393543913063</v>
      </c>
    </row>
    <row r="256" spans="1:63">
      <c r="A256" s="12" t="s">
        <v>232</v>
      </c>
      <c r="B256" s="12"/>
      <c r="C256" s="12">
        <f>D214</f>
        <v>24.434828395137842</v>
      </c>
      <c r="D256" s="12">
        <f t="shared" si="228"/>
        <v>25.041266705232108</v>
      </c>
      <c r="E256" s="12">
        <f t="shared" si="228"/>
        <v>25.541948350393557</v>
      </c>
      <c r="F256" s="12">
        <f t="shared" ref="F256:BK256" si="230">E256*(1+F$225/100)</f>
        <v>25.81212192226473</v>
      </c>
      <c r="G256" s="12">
        <f t="shared" si="230"/>
        <v>25.938404319144695</v>
      </c>
      <c r="H256" s="12">
        <f t="shared" si="230"/>
        <v>26.37241305283117</v>
      </c>
      <c r="I256" s="12">
        <f t="shared" si="230"/>
        <v>26.812384615047193</v>
      </c>
      <c r="J256" s="12">
        <f t="shared" si="230"/>
        <v>27.312321128968584</v>
      </c>
      <c r="K256" s="12">
        <f t="shared" si="230"/>
        <v>27.821080051959179</v>
      </c>
      <c r="L256" s="12">
        <f t="shared" si="230"/>
        <v>28.284537534451392</v>
      </c>
      <c r="M256" s="12">
        <f t="shared" si="230"/>
        <v>28.700079222029032</v>
      </c>
      <c r="N256" s="12">
        <f t="shared" si="230"/>
        <v>29.065327415750399</v>
      </c>
      <c r="O256" s="12">
        <f t="shared" si="230"/>
        <v>29.378163620812291</v>
      </c>
      <c r="P256" s="12">
        <f t="shared" si="230"/>
        <v>29.694366947455084</v>
      </c>
      <c r="Q256" s="12">
        <f t="shared" si="230"/>
        <v>30.013973636713406</v>
      </c>
      <c r="R256" s="12">
        <f t="shared" si="230"/>
        <v>30.337020319691728</v>
      </c>
      <c r="S256" s="12">
        <f t="shared" si="230"/>
        <v>30.663544021762771</v>
      </c>
      <c r="T256" s="12">
        <f t="shared" si="230"/>
        <v>30.993582166811095</v>
      </c>
      <c r="U256" s="12">
        <f t="shared" si="230"/>
        <v>31.327172581522365</v>
      </c>
      <c r="V256" s="12">
        <f t="shared" si="230"/>
        <v>31.725659121209052</v>
      </c>
      <c r="W256" s="12">
        <f t="shared" si="230"/>
        <v>31.725659121209052</v>
      </c>
      <c r="X256" s="12">
        <f t="shared" si="230"/>
        <v>31.725659121209052</v>
      </c>
      <c r="Y256" s="12">
        <f t="shared" si="230"/>
        <v>31.725659121209052</v>
      </c>
      <c r="Z256" s="12">
        <f t="shared" si="230"/>
        <v>31.725659121209052</v>
      </c>
      <c r="AA256" s="12">
        <f t="shared" si="230"/>
        <v>31.725659121209052</v>
      </c>
      <c r="AB256" s="12">
        <f t="shared" si="230"/>
        <v>31.725659121209052</v>
      </c>
      <c r="AC256" s="12">
        <f t="shared" si="230"/>
        <v>31.725659121209052</v>
      </c>
      <c r="AD256" s="12">
        <f t="shared" si="230"/>
        <v>31.725659121209052</v>
      </c>
      <c r="AE256" s="12">
        <f t="shared" si="230"/>
        <v>31.725659121209052</v>
      </c>
      <c r="AF256" s="12">
        <f t="shared" si="230"/>
        <v>31.725659121209052</v>
      </c>
      <c r="AG256" s="12">
        <f t="shared" si="230"/>
        <v>31.725659121209052</v>
      </c>
      <c r="AH256" s="12">
        <f t="shared" si="230"/>
        <v>31.725659121209052</v>
      </c>
      <c r="AI256" s="12">
        <f t="shared" si="230"/>
        <v>31.725659121209052</v>
      </c>
      <c r="AJ256" s="12">
        <f t="shared" si="230"/>
        <v>31.725659121209052</v>
      </c>
      <c r="AK256" s="12">
        <f t="shared" si="230"/>
        <v>31.725659121209052</v>
      </c>
      <c r="AL256" s="12">
        <f t="shared" si="230"/>
        <v>31.725659121209052</v>
      </c>
      <c r="AM256" s="12">
        <f t="shared" si="230"/>
        <v>31.725659121209052</v>
      </c>
      <c r="AN256" s="12">
        <f t="shared" si="230"/>
        <v>31.725659121209052</v>
      </c>
      <c r="AO256" s="12">
        <f t="shared" si="230"/>
        <v>31.725659121209052</v>
      </c>
      <c r="AP256" s="12">
        <f t="shared" si="230"/>
        <v>31.725659121209052</v>
      </c>
      <c r="AQ256" s="12">
        <f t="shared" si="230"/>
        <v>31.725659121209052</v>
      </c>
      <c r="AR256" s="12">
        <f t="shared" si="230"/>
        <v>31.725659121209052</v>
      </c>
      <c r="AS256" s="12">
        <f t="shared" si="230"/>
        <v>31.725659121209052</v>
      </c>
      <c r="AT256" s="12">
        <f t="shared" si="230"/>
        <v>31.725659121209052</v>
      </c>
      <c r="AU256" s="12">
        <f t="shared" si="230"/>
        <v>31.725659121209052</v>
      </c>
      <c r="AV256" s="12">
        <f t="shared" si="230"/>
        <v>31.725659121209052</v>
      </c>
      <c r="AW256" s="12">
        <f t="shared" si="230"/>
        <v>31.725659121209052</v>
      </c>
      <c r="AX256" s="12">
        <f t="shared" si="230"/>
        <v>31.725659121209052</v>
      </c>
      <c r="AY256" s="12">
        <f t="shared" si="230"/>
        <v>31.725659121209052</v>
      </c>
      <c r="AZ256" s="12">
        <f t="shared" si="230"/>
        <v>31.725659121209052</v>
      </c>
      <c r="BA256" s="12">
        <f t="shared" si="230"/>
        <v>31.725659121209052</v>
      </c>
      <c r="BB256" s="12">
        <f t="shared" si="230"/>
        <v>31.725659121209052</v>
      </c>
      <c r="BC256" s="12">
        <f t="shared" si="230"/>
        <v>31.725659121209052</v>
      </c>
      <c r="BD256" s="12">
        <f t="shared" si="230"/>
        <v>31.725659121209052</v>
      </c>
      <c r="BE256" s="12">
        <f t="shared" si="230"/>
        <v>31.725659121209052</v>
      </c>
      <c r="BF256" s="12">
        <f t="shared" si="230"/>
        <v>31.725659121209052</v>
      </c>
      <c r="BG256" s="12">
        <f t="shared" si="230"/>
        <v>31.725659121209052</v>
      </c>
      <c r="BH256" s="12">
        <f t="shared" si="230"/>
        <v>31.725659121209052</v>
      </c>
      <c r="BI256" s="12">
        <f t="shared" si="230"/>
        <v>31.725659121209052</v>
      </c>
      <c r="BJ256" s="12">
        <f t="shared" si="230"/>
        <v>31.725659121209052</v>
      </c>
      <c r="BK256" s="12">
        <f t="shared" si="230"/>
        <v>31.725659121209052</v>
      </c>
    </row>
    <row r="257" spans="1:63">
      <c r="A257" s="12" t="s">
        <v>233</v>
      </c>
      <c r="B257" s="12"/>
      <c r="C257" s="12">
        <f>D215</f>
        <v>15.447688830157233</v>
      </c>
      <c r="D257" s="12">
        <f t="shared" si="228"/>
        <v>15.831078889523752</v>
      </c>
      <c r="E257" s="12">
        <f t="shared" si="228"/>
        <v>16.147609627221271</v>
      </c>
      <c r="F257" s="12">
        <f t="shared" ref="F257:BK260" si="231">E257*(1+F$225/100)</f>
        <v>16.318413252313579</v>
      </c>
      <c r="G257" s="12">
        <f t="shared" si="231"/>
        <v>16.39824893358713</v>
      </c>
      <c r="H257" s="12">
        <f t="shared" si="231"/>
        <v>16.672629083066443</v>
      </c>
      <c r="I257" s="12">
        <f t="shared" si="231"/>
        <v>16.95077893037962</v>
      </c>
      <c r="J257" s="12">
        <f t="shared" si="231"/>
        <v>17.266838596402401</v>
      </c>
      <c r="K257" s="12">
        <f t="shared" si="231"/>
        <v>17.588475785943231</v>
      </c>
      <c r="L257" s="12">
        <f t="shared" si="231"/>
        <v>17.881473422749732</v>
      </c>
      <c r="M257" s="12">
        <f t="shared" si="231"/>
        <v>18.14417871299581</v>
      </c>
      <c r="N257" s="12">
        <f t="shared" si="231"/>
        <v>18.375088476352584</v>
      </c>
      <c r="O257" s="12">
        <f t="shared" si="231"/>
        <v>18.572863401244831</v>
      </c>
      <c r="P257" s="12">
        <f t="shared" si="231"/>
        <v>18.772767019066446</v>
      </c>
      <c r="Q257" s="12">
        <f t="shared" si="231"/>
        <v>18.974822241385162</v>
      </c>
      <c r="R257" s="12">
        <f t="shared" si="231"/>
        <v>19.179052226370715</v>
      </c>
      <c r="S257" s="12">
        <f t="shared" si="231"/>
        <v>19.385480381449067</v>
      </c>
      <c r="T257" s="12">
        <f t="shared" si="231"/>
        <v>19.594130365985212</v>
      </c>
      <c r="U257" s="12">
        <f t="shared" si="231"/>
        <v>19.805026093994837</v>
      </c>
      <c r="V257" s="12">
        <f t="shared" si="231"/>
        <v>20.056949126501621</v>
      </c>
      <c r="W257" s="12">
        <f t="shared" si="231"/>
        <v>20.056949126501621</v>
      </c>
      <c r="X257" s="12">
        <f t="shared" si="231"/>
        <v>20.056949126501621</v>
      </c>
      <c r="Y257" s="12">
        <f t="shared" si="231"/>
        <v>20.056949126501621</v>
      </c>
      <c r="Z257" s="12">
        <f t="shared" si="231"/>
        <v>20.056949126501621</v>
      </c>
      <c r="AA257" s="12">
        <f t="shared" si="231"/>
        <v>20.056949126501621</v>
      </c>
      <c r="AB257" s="12">
        <f t="shared" si="231"/>
        <v>20.056949126501621</v>
      </c>
      <c r="AC257" s="12">
        <f t="shared" si="231"/>
        <v>20.056949126501621</v>
      </c>
      <c r="AD257" s="12">
        <f t="shared" si="231"/>
        <v>20.056949126501621</v>
      </c>
      <c r="AE257" s="12">
        <f t="shared" si="231"/>
        <v>20.056949126501621</v>
      </c>
      <c r="AF257" s="12">
        <f t="shared" si="231"/>
        <v>20.056949126501621</v>
      </c>
      <c r="AG257" s="12">
        <f t="shared" si="231"/>
        <v>20.056949126501621</v>
      </c>
      <c r="AH257" s="12">
        <f t="shared" si="231"/>
        <v>20.056949126501621</v>
      </c>
      <c r="AI257" s="12">
        <f t="shared" si="231"/>
        <v>20.056949126501621</v>
      </c>
      <c r="AJ257" s="12">
        <f t="shared" si="231"/>
        <v>20.056949126501621</v>
      </c>
      <c r="AK257" s="12">
        <f t="shared" si="231"/>
        <v>20.056949126501621</v>
      </c>
      <c r="AL257" s="12">
        <f t="shared" si="231"/>
        <v>20.056949126501621</v>
      </c>
      <c r="AM257" s="12">
        <f t="shared" si="231"/>
        <v>20.056949126501621</v>
      </c>
      <c r="AN257" s="12">
        <f t="shared" si="231"/>
        <v>20.056949126501621</v>
      </c>
      <c r="AO257" s="12">
        <f t="shared" si="231"/>
        <v>20.056949126501621</v>
      </c>
      <c r="AP257" s="12">
        <f t="shared" si="231"/>
        <v>20.056949126501621</v>
      </c>
      <c r="AQ257" s="12">
        <f t="shared" si="231"/>
        <v>20.056949126501621</v>
      </c>
      <c r="AR257" s="12">
        <f t="shared" si="231"/>
        <v>20.056949126501621</v>
      </c>
      <c r="AS257" s="12">
        <f t="shared" si="231"/>
        <v>20.056949126501621</v>
      </c>
      <c r="AT257" s="12">
        <f t="shared" si="231"/>
        <v>20.056949126501621</v>
      </c>
      <c r="AU257" s="12">
        <f t="shared" si="231"/>
        <v>20.056949126501621</v>
      </c>
      <c r="AV257" s="12">
        <f t="shared" si="231"/>
        <v>20.056949126501621</v>
      </c>
      <c r="AW257" s="12">
        <f t="shared" si="231"/>
        <v>20.056949126501621</v>
      </c>
      <c r="AX257" s="12">
        <f t="shared" si="231"/>
        <v>20.056949126501621</v>
      </c>
      <c r="AY257" s="12">
        <f t="shared" si="231"/>
        <v>20.056949126501621</v>
      </c>
      <c r="AZ257" s="12">
        <f t="shared" si="231"/>
        <v>20.056949126501621</v>
      </c>
      <c r="BA257" s="12">
        <f t="shared" si="231"/>
        <v>20.056949126501621</v>
      </c>
      <c r="BB257" s="12">
        <f t="shared" si="231"/>
        <v>20.056949126501621</v>
      </c>
      <c r="BC257" s="12">
        <f t="shared" si="231"/>
        <v>20.056949126501621</v>
      </c>
      <c r="BD257" s="12">
        <f t="shared" si="231"/>
        <v>20.056949126501621</v>
      </c>
      <c r="BE257" s="12">
        <f t="shared" si="231"/>
        <v>20.056949126501621</v>
      </c>
      <c r="BF257" s="12">
        <f t="shared" si="231"/>
        <v>20.056949126501621</v>
      </c>
      <c r="BG257" s="12">
        <f t="shared" si="231"/>
        <v>20.056949126501621</v>
      </c>
      <c r="BH257" s="12">
        <f t="shared" si="231"/>
        <v>20.056949126501621</v>
      </c>
      <c r="BI257" s="12">
        <f t="shared" si="231"/>
        <v>20.056949126501621</v>
      </c>
      <c r="BJ257" s="12">
        <f t="shared" si="231"/>
        <v>20.056949126501621</v>
      </c>
      <c r="BK257" s="12">
        <f t="shared" si="231"/>
        <v>20.056949126501621</v>
      </c>
    </row>
    <row r="258" spans="1:63" s="12" customFormat="1">
      <c r="A258" s="12" t="s">
        <v>234</v>
      </c>
      <c r="C258" s="12">
        <f t="shared" ref="C258:C262" si="232">D216</f>
        <v>5.8525573223640119</v>
      </c>
      <c r="D258" s="12">
        <f t="shared" si="228"/>
        <v>5.9978096202279287</v>
      </c>
      <c r="E258" s="12">
        <f t="shared" ref="E258:E260" si="233">D258*(1+E$225/100)</f>
        <v>6.1177313966847668</v>
      </c>
      <c r="F258" s="12">
        <f t="shared" si="231"/>
        <v>6.1824425659548776</v>
      </c>
      <c r="G258" s="12">
        <f t="shared" si="231"/>
        <v>6.2126893495456557</v>
      </c>
      <c r="H258" s="12">
        <f t="shared" si="231"/>
        <v>6.3166418288195496</v>
      </c>
      <c r="I258" s="12">
        <f t="shared" si="231"/>
        <v>6.4220225070236046</v>
      </c>
      <c r="J258" s="12">
        <f t="shared" si="231"/>
        <v>6.5417658118650648</v>
      </c>
      <c r="K258" s="12">
        <f t="shared" si="231"/>
        <v>6.6636222338507878</v>
      </c>
      <c r="L258" s="12">
        <f t="shared" si="231"/>
        <v>6.7746281897307119</v>
      </c>
      <c r="M258" s="12">
        <f t="shared" si="231"/>
        <v>6.8741574971214661</v>
      </c>
      <c r="N258" s="12">
        <f t="shared" si="231"/>
        <v>6.9616406566540929</v>
      </c>
      <c r="O258" s="12">
        <f t="shared" si="231"/>
        <v>7.0365702527628935</v>
      </c>
      <c r="P258" s="12">
        <f t="shared" si="231"/>
        <v>7.1123063318043718</v>
      </c>
      <c r="Q258" s="12">
        <f t="shared" si="231"/>
        <v>7.1888575741232046</v>
      </c>
      <c r="R258" s="12">
        <f t="shared" si="231"/>
        <v>7.266232753492436</v>
      </c>
      <c r="S258" s="12">
        <f t="shared" si="231"/>
        <v>7.3444407381190659</v>
      </c>
      <c r="T258" s="12">
        <f t="shared" si="231"/>
        <v>7.4234904916604645</v>
      </c>
      <c r="U258" s="12">
        <f t="shared" si="231"/>
        <v>7.5033910742517209</v>
      </c>
      <c r="V258" s="12">
        <f t="shared" si="231"/>
        <v>7.598835383415393</v>
      </c>
      <c r="W258" s="12">
        <f t="shared" si="231"/>
        <v>7.598835383415393</v>
      </c>
      <c r="X258" s="12">
        <f t="shared" si="231"/>
        <v>7.598835383415393</v>
      </c>
      <c r="Y258" s="12">
        <f t="shared" si="231"/>
        <v>7.598835383415393</v>
      </c>
      <c r="Z258" s="12">
        <f t="shared" si="231"/>
        <v>7.598835383415393</v>
      </c>
      <c r="AA258" s="12">
        <f t="shared" si="231"/>
        <v>7.598835383415393</v>
      </c>
      <c r="AB258" s="12">
        <f t="shared" si="231"/>
        <v>7.598835383415393</v>
      </c>
      <c r="AC258" s="12">
        <f t="shared" si="231"/>
        <v>7.598835383415393</v>
      </c>
      <c r="AD258" s="12">
        <f t="shared" si="231"/>
        <v>7.598835383415393</v>
      </c>
      <c r="AE258" s="12">
        <f t="shared" si="231"/>
        <v>7.598835383415393</v>
      </c>
      <c r="AF258" s="12">
        <f t="shared" si="231"/>
        <v>7.598835383415393</v>
      </c>
      <c r="AG258" s="12">
        <f t="shared" si="231"/>
        <v>7.598835383415393</v>
      </c>
      <c r="AH258" s="12">
        <f t="shared" si="231"/>
        <v>7.598835383415393</v>
      </c>
      <c r="AI258" s="12">
        <f t="shared" si="231"/>
        <v>7.598835383415393</v>
      </c>
      <c r="AJ258" s="12">
        <f t="shared" si="231"/>
        <v>7.598835383415393</v>
      </c>
      <c r="AK258" s="12">
        <f t="shared" si="231"/>
        <v>7.598835383415393</v>
      </c>
      <c r="AL258" s="12">
        <f t="shared" si="231"/>
        <v>7.598835383415393</v>
      </c>
      <c r="AM258" s="12">
        <f t="shared" si="231"/>
        <v>7.598835383415393</v>
      </c>
      <c r="AN258" s="12">
        <f t="shared" si="231"/>
        <v>7.598835383415393</v>
      </c>
      <c r="AO258" s="12">
        <f t="shared" si="231"/>
        <v>7.598835383415393</v>
      </c>
      <c r="AP258" s="12">
        <f t="shared" si="231"/>
        <v>7.598835383415393</v>
      </c>
      <c r="AQ258" s="12">
        <f t="shared" si="231"/>
        <v>7.598835383415393</v>
      </c>
      <c r="AR258" s="12">
        <f t="shared" si="231"/>
        <v>7.598835383415393</v>
      </c>
      <c r="AS258" s="12">
        <f t="shared" si="231"/>
        <v>7.598835383415393</v>
      </c>
      <c r="AT258" s="12">
        <f t="shared" si="231"/>
        <v>7.598835383415393</v>
      </c>
      <c r="AU258" s="12">
        <f t="shared" si="231"/>
        <v>7.598835383415393</v>
      </c>
      <c r="AV258" s="12">
        <f t="shared" si="231"/>
        <v>7.598835383415393</v>
      </c>
      <c r="AW258" s="12">
        <f t="shared" si="231"/>
        <v>7.598835383415393</v>
      </c>
      <c r="AX258" s="12">
        <f t="shared" si="231"/>
        <v>7.598835383415393</v>
      </c>
      <c r="AY258" s="12">
        <f t="shared" si="231"/>
        <v>7.598835383415393</v>
      </c>
      <c r="AZ258" s="12">
        <f t="shared" si="231"/>
        <v>7.598835383415393</v>
      </c>
      <c r="BA258" s="12">
        <f t="shared" si="231"/>
        <v>7.598835383415393</v>
      </c>
      <c r="BB258" s="12">
        <f t="shared" si="231"/>
        <v>7.598835383415393</v>
      </c>
      <c r="BC258" s="12">
        <f t="shared" si="231"/>
        <v>7.598835383415393</v>
      </c>
      <c r="BD258" s="12">
        <f t="shared" si="231"/>
        <v>7.598835383415393</v>
      </c>
      <c r="BE258" s="12">
        <f t="shared" si="231"/>
        <v>7.598835383415393</v>
      </c>
      <c r="BF258" s="12">
        <f t="shared" si="231"/>
        <v>7.598835383415393</v>
      </c>
      <c r="BG258" s="12">
        <f t="shared" si="231"/>
        <v>7.598835383415393</v>
      </c>
      <c r="BH258" s="12">
        <f t="shared" si="231"/>
        <v>7.598835383415393</v>
      </c>
      <c r="BI258" s="12">
        <f t="shared" si="231"/>
        <v>7.598835383415393</v>
      </c>
      <c r="BJ258" s="12">
        <f t="shared" si="231"/>
        <v>7.598835383415393</v>
      </c>
      <c r="BK258" s="12">
        <f t="shared" si="231"/>
        <v>7.598835383415393</v>
      </c>
    </row>
    <row r="259" spans="1:63" s="12" customFormat="1">
      <c r="A259" s="12" t="s">
        <v>235</v>
      </c>
      <c r="B259" s="12" t="s">
        <v>231</v>
      </c>
      <c r="C259" s="12">
        <f t="shared" si="232"/>
        <v>3.8165617726481371</v>
      </c>
      <c r="D259" s="12">
        <f t="shared" si="228"/>
        <v>3.911283504855418</v>
      </c>
      <c r="E259" s="12">
        <f t="shared" si="233"/>
        <v>3.9894867316712039</v>
      </c>
      <c r="F259" s="12">
        <f t="shared" si="231"/>
        <v>4.0316860919330715</v>
      </c>
      <c r="G259" s="12">
        <f t="shared" si="231"/>
        <v>4.0514105835765797</v>
      </c>
      <c r="H259" s="12">
        <f t="shared" si="231"/>
        <v>4.1191999338923297</v>
      </c>
      <c r="I259" s="12">
        <f t="shared" si="231"/>
        <v>4.1879206393645267</v>
      </c>
      <c r="J259" s="12">
        <f t="shared" si="231"/>
        <v>4.2660074815116573</v>
      </c>
      <c r="K259" s="12">
        <f t="shared" si="231"/>
        <v>4.3454723267555027</v>
      </c>
      <c r="L259" s="12">
        <f t="shared" si="231"/>
        <v>4.4178613807043936</v>
      </c>
      <c r="M259" s="12">
        <f t="shared" si="231"/>
        <v>4.48276629814863</v>
      </c>
      <c r="N259" s="12">
        <f t="shared" si="231"/>
        <v>4.5398156979292779</v>
      </c>
      <c r="O259" s="12">
        <f t="shared" si="231"/>
        <v>4.5886786848932912</v>
      </c>
      <c r="P259" s="12">
        <f t="shared" si="231"/>
        <v>4.6380675944175822</v>
      </c>
      <c r="Q259" s="12">
        <f t="shared" si="231"/>
        <v>4.6879880871167927</v>
      </c>
      <c r="R259" s="12">
        <f t="shared" si="231"/>
        <v>4.7384458845319442</v>
      </c>
      <c r="S259" s="12">
        <f t="shared" si="231"/>
        <v>4.7894467697862018</v>
      </c>
      <c r="T259" s="12">
        <f t="shared" si="231"/>
        <v>4.8409965882476964</v>
      </c>
      <c r="U259" s="12">
        <f t="shared" si="231"/>
        <v>4.8931012481994811</v>
      </c>
      <c r="V259" s="12">
        <f t="shared" si="231"/>
        <v>4.9553422621198271</v>
      </c>
      <c r="W259" s="12">
        <f t="shared" si="231"/>
        <v>4.9553422621198271</v>
      </c>
      <c r="X259" s="12">
        <f t="shared" si="231"/>
        <v>4.9553422621198271</v>
      </c>
      <c r="Y259" s="12">
        <f t="shared" si="231"/>
        <v>4.9553422621198271</v>
      </c>
      <c r="Z259" s="12">
        <f t="shared" si="231"/>
        <v>4.9553422621198271</v>
      </c>
      <c r="AA259" s="12">
        <f t="shared" si="231"/>
        <v>4.9553422621198271</v>
      </c>
      <c r="AB259" s="12">
        <f t="shared" si="231"/>
        <v>4.9553422621198271</v>
      </c>
      <c r="AC259" s="12">
        <f t="shared" si="231"/>
        <v>4.9553422621198271</v>
      </c>
      <c r="AD259" s="12">
        <f t="shared" si="231"/>
        <v>4.9553422621198271</v>
      </c>
      <c r="AE259" s="12">
        <f t="shared" si="231"/>
        <v>4.9553422621198271</v>
      </c>
      <c r="AF259" s="12">
        <f t="shared" si="231"/>
        <v>4.9553422621198271</v>
      </c>
      <c r="AG259" s="12">
        <f t="shared" si="231"/>
        <v>4.9553422621198271</v>
      </c>
      <c r="AH259" s="12">
        <f t="shared" si="231"/>
        <v>4.9553422621198271</v>
      </c>
      <c r="AI259" s="12">
        <f t="shared" si="231"/>
        <v>4.9553422621198271</v>
      </c>
      <c r="AJ259" s="12">
        <f t="shared" si="231"/>
        <v>4.9553422621198271</v>
      </c>
      <c r="AK259" s="12">
        <f t="shared" si="231"/>
        <v>4.9553422621198271</v>
      </c>
      <c r="AL259" s="12">
        <f t="shared" si="231"/>
        <v>4.9553422621198271</v>
      </c>
      <c r="AM259" s="12">
        <f t="shared" si="231"/>
        <v>4.9553422621198271</v>
      </c>
      <c r="AN259" s="12">
        <f t="shared" si="231"/>
        <v>4.9553422621198271</v>
      </c>
      <c r="AO259" s="12">
        <f t="shared" si="231"/>
        <v>4.9553422621198271</v>
      </c>
      <c r="AP259" s="12">
        <f t="shared" si="231"/>
        <v>4.9553422621198271</v>
      </c>
      <c r="AQ259" s="12">
        <f t="shared" si="231"/>
        <v>4.9553422621198271</v>
      </c>
      <c r="AR259" s="12">
        <f t="shared" si="231"/>
        <v>4.9553422621198271</v>
      </c>
      <c r="AS259" s="12">
        <f t="shared" si="231"/>
        <v>4.9553422621198271</v>
      </c>
      <c r="AT259" s="12">
        <f t="shared" si="231"/>
        <v>4.9553422621198271</v>
      </c>
      <c r="AU259" s="12">
        <f t="shared" si="231"/>
        <v>4.9553422621198271</v>
      </c>
      <c r="AV259" s="12">
        <f t="shared" si="231"/>
        <v>4.9553422621198271</v>
      </c>
      <c r="AW259" s="12">
        <f t="shared" si="231"/>
        <v>4.9553422621198271</v>
      </c>
      <c r="AX259" s="12">
        <f t="shared" si="231"/>
        <v>4.9553422621198271</v>
      </c>
      <c r="AY259" s="12">
        <f t="shared" si="231"/>
        <v>4.9553422621198271</v>
      </c>
      <c r="AZ259" s="12">
        <f t="shared" si="231"/>
        <v>4.9553422621198271</v>
      </c>
      <c r="BA259" s="12">
        <f t="shared" si="231"/>
        <v>4.9553422621198271</v>
      </c>
      <c r="BB259" s="12">
        <f t="shared" si="231"/>
        <v>4.9553422621198271</v>
      </c>
      <c r="BC259" s="12">
        <f t="shared" si="231"/>
        <v>4.9553422621198271</v>
      </c>
      <c r="BD259" s="12">
        <f t="shared" si="231"/>
        <v>4.9553422621198271</v>
      </c>
      <c r="BE259" s="12">
        <f t="shared" si="231"/>
        <v>4.9553422621198271</v>
      </c>
      <c r="BF259" s="12">
        <f t="shared" si="231"/>
        <v>4.9553422621198271</v>
      </c>
      <c r="BG259" s="12">
        <f t="shared" si="231"/>
        <v>4.9553422621198271</v>
      </c>
      <c r="BH259" s="12">
        <f t="shared" si="231"/>
        <v>4.9553422621198271</v>
      </c>
      <c r="BI259" s="12">
        <f t="shared" si="231"/>
        <v>4.9553422621198271</v>
      </c>
      <c r="BJ259" s="12">
        <f t="shared" si="231"/>
        <v>4.9553422621198271</v>
      </c>
      <c r="BK259" s="12">
        <f t="shared" si="231"/>
        <v>4.9553422621198271</v>
      </c>
    </row>
    <row r="260" spans="1:63" s="12" customFormat="1">
      <c r="B260" s="12" t="s">
        <v>232</v>
      </c>
      <c r="C260" s="12">
        <f t="shared" si="232"/>
        <v>7.2797381959770053</v>
      </c>
      <c r="D260" s="12">
        <f t="shared" si="228"/>
        <v>7.460411129631634</v>
      </c>
      <c r="E260" s="12">
        <f t="shared" si="233"/>
        <v>7.6095765437432261</v>
      </c>
      <c r="F260" s="12">
        <f t="shared" si="231"/>
        <v>7.6900679160945655</v>
      </c>
      <c r="G260" s="12">
        <f t="shared" si="231"/>
        <v>7.727690557562739</v>
      </c>
      <c r="H260" s="12">
        <f t="shared" si="231"/>
        <v>7.8569924664983359</v>
      </c>
      <c r="I260" s="12">
        <f t="shared" si="231"/>
        <v>7.9880708491582677</v>
      </c>
      <c r="J260" s="12">
        <f t="shared" si="231"/>
        <v>8.1370142702907575</v>
      </c>
      <c r="K260" s="12">
        <f t="shared" si="231"/>
        <v>8.2885861047373517</v>
      </c>
      <c r="L260" s="12">
        <f t="shared" si="231"/>
        <v>8.4266615224546815</v>
      </c>
      <c r="M260" s="12">
        <f t="shared" si="231"/>
        <v>8.5504616427649847</v>
      </c>
      <c r="N260" s="12">
        <f t="shared" si="231"/>
        <v>8.6592780904947393</v>
      </c>
      <c r="O260" s="12">
        <f t="shared" si="231"/>
        <v>8.7524797137779498</v>
      </c>
      <c r="P260" s="12">
        <f t="shared" si="231"/>
        <v>8.8466844856483569</v>
      </c>
      <c r="Q260" s="12">
        <f t="shared" si="231"/>
        <v>8.9419032032042587</v>
      </c>
      <c r="R260" s="12">
        <f t="shared" si="231"/>
        <v>9.0381467797553796</v>
      </c>
      <c r="S260" s="12">
        <f t="shared" si="231"/>
        <v>9.1354262460736848</v>
      </c>
      <c r="T260" s="12">
        <f t="shared" si="231"/>
        <v>9.2337527516576472</v>
      </c>
      <c r="U260" s="12">
        <f t="shared" si="231"/>
        <v>9.3331375660101266</v>
      </c>
      <c r="V260" s="12">
        <f t="shared" si="231"/>
        <v>9.4518565370063428</v>
      </c>
      <c r="W260" s="12">
        <f t="shared" si="231"/>
        <v>9.4518565370063428</v>
      </c>
      <c r="X260" s="12">
        <f t="shared" si="231"/>
        <v>9.4518565370063428</v>
      </c>
      <c r="Y260" s="12">
        <f t="shared" si="231"/>
        <v>9.4518565370063428</v>
      </c>
      <c r="Z260" s="12">
        <f t="shared" si="231"/>
        <v>9.4518565370063428</v>
      </c>
      <c r="AA260" s="12">
        <f t="shared" si="231"/>
        <v>9.4518565370063428</v>
      </c>
      <c r="AB260" s="12">
        <f t="shared" si="231"/>
        <v>9.4518565370063428</v>
      </c>
      <c r="AC260" s="12">
        <f t="shared" si="231"/>
        <v>9.4518565370063428</v>
      </c>
      <c r="AD260" s="12">
        <f t="shared" si="231"/>
        <v>9.4518565370063428</v>
      </c>
      <c r="AE260" s="12">
        <f t="shared" si="231"/>
        <v>9.4518565370063428</v>
      </c>
      <c r="AF260" s="12">
        <f t="shared" si="231"/>
        <v>9.4518565370063428</v>
      </c>
      <c r="AG260" s="12">
        <f t="shared" si="231"/>
        <v>9.4518565370063428</v>
      </c>
      <c r="AH260" s="12">
        <f t="shared" si="231"/>
        <v>9.4518565370063428</v>
      </c>
      <c r="AI260" s="12">
        <f t="shared" si="231"/>
        <v>9.4518565370063428</v>
      </c>
      <c r="AJ260" s="12">
        <f t="shared" si="231"/>
        <v>9.4518565370063428</v>
      </c>
      <c r="AK260" s="12">
        <f t="shared" si="231"/>
        <v>9.4518565370063428</v>
      </c>
      <c r="AL260" s="12">
        <f t="shared" si="231"/>
        <v>9.4518565370063428</v>
      </c>
      <c r="AM260" s="12">
        <f t="shared" si="231"/>
        <v>9.4518565370063428</v>
      </c>
      <c r="AN260" s="12">
        <f t="shared" si="231"/>
        <v>9.4518565370063428</v>
      </c>
      <c r="AO260" s="12">
        <f t="shared" si="231"/>
        <v>9.4518565370063428</v>
      </c>
      <c r="AP260" s="12">
        <f t="shared" si="231"/>
        <v>9.4518565370063428</v>
      </c>
      <c r="AQ260" s="12">
        <f t="shared" si="231"/>
        <v>9.4518565370063428</v>
      </c>
      <c r="AR260" s="12">
        <f t="shared" si="231"/>
        <v>9.4518565370063428</v>
      </c>
      <c r="AS260" s="12">
        <f t="shared" si="231"/>
        <v>9.4518565370063428</v>
      </c>
      <c r="AT260" s="12">
        <f t="shared" si="231"/>
        <v>9.4518565370063428</v>
      </c>
      <c r="AU260" s="12">
        <f t="shared" si="231"/>
        <v>9.4518565370063428</v>
      </c>
      <c r="AV260" s="12">
        <f t="shared" si="231"/>
        <v>9.4518565370063428</v>
      </c>
      <c r="AW260" s="12">
        <f t="shared" si="231"/>
        <v>9.4518565370063428</v>
      </c>
      <c r="AX260" s="12">
        <f t="shared" si="231"/>
        <v>9.4518565370063428</v>
      </c>
      <c r="AY260" s="12">
        <f t="shared" si="231"/>
        <v>9.4518565370063428</v>
      </c>
      <c r="AZ260" s="12">
        <f t="shared" si="231"/>
        <v>9.4518565370063428</v>
      </c>
      <c r="BA260" s="12">
        <f t="shared" si="231"/>
        <v>9.4518565370063428</v>
      </c>
      <c r="BB260" s="12">
        <f t="shared" si="231"/>
        <v>9.4518565370063428</v>
      </c>
      <c r="BC260" s="12">
        <f t="shared" si="231"/>
        <v>9.4518565370063428</v>
      </c>
      <c r="BD260" s="12">
        <f t="shared" si="231"/>
        <v>9.4518565370063428</v>
      </c>
      <c r="BE260" s="12">
        <f t="shared" si="231"/>
        <v>9.4518565370063428</v>
      </c>
      <c r="BF260" s="12">
        <f t="shared" si="231"/>
        <v>9.4518565370063428</v>
      </c>
      <c r="BG260" s="12">
        <f t="shared" si="231"/>
        <v>9.4518565370063428</v>
      </c>
      <c r="BH260" s="12">
        <f t="shared" si="231"/>
        <v>9.4518565370063428</v>
      </c>
      <c r="BI260" s="12">
        <f t="shared" si="231"/>
        <v>9.4518565370063428</v>
      </c>
      <c r="BJ260" s="12">
        <f t="shared" si="231"/>
        <v>9.4518565370063428</v>
      </c>
      <c r="BK260" s="12">
        <f t="shared" si="231"/>
        <v>9.4518565370063428</v>
      </c>
    </row>
    <row r="261" spans="1:63">
      <c r="A261" s="12"/>
      <c r="B261" s="12" t="s">
        <v>233</v>
      </c>
      <c r="C261" s="12">
        <f t="shared" si="232"/>
        <v>16.648296889451039</v>
      </c>
      <c r="D261" s="12">
        <f t="shared" si="228"/>
        <v>17.061484363834747</v>
      </c>
      <c r="E261" s="12">
        <f t="shared" si="228"/>
        <v>17.402616150845997</v>
      </c>
      <c r="F261" s="12">
        <f t="shared" ref="F261:BK262" si="234">E261*(1+F$225/100)</f>
        <v>17.586694784976686</v>
      </c>
      <c r="G261" s="12">
        <f t="shared" si="234"/>
        <v>17.672735366116495</v>
      </c>
      <c r="H261" s="12">
        <f t="shared" si="234"/>
        <v>17.968440583856633</v>
      </c>
      <c r="I261" s="12">
        <f t="shared" si="234"/>
        <v>18.268208483685445</v>
      </c>
      <c r="J261" s="12">
        <f t="shared" si="234"/>
        <v>18.608832586914122</v>
      </c>
      <c r="K261" s="12">
        <f t="shared" si="234"/>
        <v>18.955467703729191</v>
      </c>
      <c r="L261" s="12">
        <f t="shared" si="234"/>
        <v>19.271237376402777</v>
      </c>
      <c r="M261" s="12">
        <f t="shared" si="234"/>
        <v>19.554360354508596</v>
      </c>
      <c r="N261" s="12">
        <f t="shared" si="234"/>
        <v>19.803216629211104</v>
      </c>
      <c r="O261" s="12">
        <f t="shared" si="234"/>
        <v>20.016362796453102</v>
      </c>
      <c r="P261" s="12">
        <f t="shared" si="234"/>
        <v>20.231803100524512</v>
      </c>
      <c r="Q261" s="12">
        <f t="shared" si="234"/>
        <v>20.449562233700412</v>
      </c>
      <c r="R261" s="12">
        <f t="shared" si="234"/>
        <v>20.669665154023996</v>
      </c>
      <c r="S261" s="12">
        <f t="shared" si="234"/>
        <v>20.892137088167111</v>
      </c>
      <c r="T261" s="12">
        <f t="shared" si="234"/>
        <v>21.117003534321551</v>
      </c>
      <c r="U261" s="12">
        <f t="shared" si="234"/>
        <v>21.344290265121487</v>
      </c>
      <c r="V261" s="12">
        <f t="shared" si="234"/>
        <v>21.615792978865695</v>
      </c>
      <c r="W261" s="12">
        <f t="shared" si="234"/>
        <v>21.615792978865695</v>
      </c>
      <c r="X261" s="12">
        <f t="shared" si="234"/>
        <v>21.615792978865695</v>
      </c>
      <c r="Y261" s="12">
        <f t="shared" si="234"/>
        <v>21.615792978865695</v>
      </c>
      <c r="Z261" s="12">
        <f t="shared" si="234"/>
        <v>21.615792978865695</v>
      </c>
      <c r="AA261" s="12">
        <f t="shared" si="234"/>
        <v>21.615792978865695</v>
      </c>
      <c r="AB261" s="12">
        <f t="shared" si="234"/>
        <v>21.615792978865695</v>
      </c>
      <c r="AC261" s="12">
        <f t="shared" si="234"/>
        <v>21.615792978865695</v>
      </c>
      <c r="AD261" s="12">
        <f t="shared" si="234"/>
        <v>21.615792978865695</v>
      </c>
      <c r="AE261" s="12">
        <f t="shared" si="234"/>
        <v>21.615792978865695</v>
      </c>
      <c r="AF261" s="12">
        <f t="shared" si="234"/>
        <v>21.615792978865695</v>
      </c>
      <c r="AG261" s="12">
        <f t="shared" si="234"/>
        <v>21.615792978865695</v>
      </c>
      <c r="AH261" s="12">
        <f t="shared" si="234"/>
        <v>21.615792978865695</v>
      </c>
      <c r="AI261" s="12">
        <f t="shared" si="234"/>
        <v>21.615792978865695</v>
      </c>
      <c r="AJ261" s="12">
        <f t="shared" si="234"/>
        <v>21.615792978865695</v>
      </c>
      <c r="AK261" s="12">
        <f t="shared" si="234"/>
        <v>21.615792978865695</v>
      </c>
      <c r="AL261" s="12">
        <f t="shared" si="234"/>
        <v>21.615792978865695</v>
      </c>
      <c r="AM261" s="12">
        <f t="shared" si="234"/>
        <v>21.615792978865695</v>
      </c>
      <c r="AN261" s="12">
        <f t="shared" si="234"/>
        <v>21.615792978865695</v>
      </c>
      <c r="AO261" s="12">
        <f t="shared" si="234"/>
        <v>21.615792978865695</v>
      </c>
      <c r="AP261" s="12">
        <f t="shared" si="234"/>
        <v>21.615792978865695</v>
      </c>
      <c r="AQ261" s="12">
        <f t="shared" si="234"/>
        <v>21.615792978865695</v>
      </c>
      <c r="AR261" s="12">
        <f t="shared" si="234"/>
        <v>21.615792978865695</v>
      </c>
      <c r="AS261" s="12">
        <f t="shared" si="234"/>
        <v>21.615792978865695</v>
      </c>
      <c r="AT261" s="12">
        <f t="shared" si="234"/>
        <v>21.615792978865695</v>
      </c>
      <c r="AU261" s="12">
        <f t="shared" si="234"/>
        <v>21.615792978865695</v>
      </c>
      <c r="AV261" s="12">
        <f t="shared" si="234"/>
        <v>21.615792978865695</v>
      </c>
      <c r="AW261" s="12">
        <f t="shared" si="234"/>
        <v>21.615792978865695</v>
      </c>
      <c r="AX261" s="12">
        <f t="shared" si="234"/>
        <v>21.615792978865695</v>
      </c>
      <c r="AY261" s="12">
        <f t="shared" si="234"/>
        <v>21.615792978865695</v>
      </c>
      <c r="AZ261" s="12">
        <f t="shared" si="234"/>
        <v>21.615792978865695</v>
      </c>
      <c r="BA261" s="12">
        <f t="shared" si="234"/>
        <v>21.615792978865695</v>
      </c>
      <c r="BB261" s="12">
        <f t="shared" si="234"/>
        <v>21.615792978865695</v>
      </c>
      <c r="BC261" s="12">
        <f t="shared" si="234"/>
        <v>21.615792978865695</v>
      </c>
      <c r="BD261" s="12">
        <f t="shared" si="234"/>
        <v>21.615792978865695</v>
      </c>
      <c r="BE261" s="12">
        <f t="shared" si="234"/>
        <v>21.615792978865695</v>
      </c>
      <c r="BF261" s="12">
        <f t="shared" si="234"/>
        <v>21.615792978865695</v>
      </c>
      <c r="BG261" s="12">
        <f t="shared" si="234"/>
        <v>21.615792978865695</v>
      </c>
      <c r="BH261" s="12">
        <f t="shared" si="234"/>
        <v>21.615792978865695</v>
      </c>
      <c r="BI261" s="12">
        <f t="shared" si="234"/>
        <v>21.615792978865695</v>
      </c>
      <c r="BJ261" s="12">
        <f t="shared" si="234"/>
        <v>21.615792978865695</v>
      </c>
      <c r="BK261" s="12">
        <f t="shared" si="234"/>
        <v>21.615792978865695</v>
      </c>
    </row>
    <row r="262" spans="1:63">
      <c r="A262" s="12"/>
      <c r="B262" s="12" t="s">
        <v>234</v>
      </c>
      <c r="C262" s="12">
        <f t="shared" si="232"/>
        <v>19.575930094736954</v>
      </c>
      <c r="D262" s="12">
        <f t="shared" si="228"/>
        <v>20.061777335945244</v>
      </c>
      <c r="E262" s="12">
        <f t="shared" ref="E262" si="235">D262*(1+E$225/100)</f>
        <v>20.462897766459452</v>
      </c>
      <c r="F262" s="12">
        <f t="shared" si="234"/>
        <v>20.679346962290428</v>
      </c>
      <c r="G262" s="12">
        <f t="shared" si="234"/>
        <v>20.780517935687154</v>
      </c>
      <c r="H262" s="12">
        <f t="shared" si="234"/>
        <v>21.128223452327589</v>
      </c>
      <c r="I262" s="12">
        <f t="shared" si="234"/>
        <v>21.48070608107103</v>
      </c>
      <c r="J262" s="12">
        <f t="shared" si="234"/>
        <v>21.881229550688644</v>
      </c>
      <c r="K262" s="12">
        <f t="shared" si="234"/>
        <v>22.28882108153481</v>
      </c>
      <c r="L262" s="12">
        <f t="shared" si="234"/>
        <v>22.660119423902366</v>
      </c>
      <c r="M262" s="12">
        <f t="shared" si="234"/>
        <v>22.99303009124667</v>
      </c>
      <c r="N262" s="12">
        <f t="shared" si="234"/>
        <v>23.285648193240018</v>
      </c>
      <c r="O262" s="12">
        <f t="shared" si="234"/>
        <v>23.536276500603655</v>
      </c>
      <c r="P262" s="12">
        <f t="shared" si="234"/>
        <v>23.789602372919347</v>
      </c>
      <c r="Q262" s="12">
        <f t="shared" si="234"/>
        <v>24.045654844643526</v>
      </c>
      <c r="R262" s="12">
        <f t="shared" si="234"/>
        <v>24.304463262736554</v>
      </c>
      <c r="S262" s="12">
        <f t="shared" si="234"/>
        <v>24.566057290026279</v>
      </c>
      <c r="T262" s="12">
        <f t="shared" si="234"/>
        <v>24.830466908607772</v>
      </c>
      <c r="U262" s="12">
        <f t="shared" si="234"/>
        <v>25.097722423279674</v>
      </c>
      <c r="V262" s="12">
        <f t="shared" si="234"/>
        <v>25.416969381697129</v>
      </c>
      <c r="W262" s="12">
        <f t="shared" si="234"/>
        <v>25.416969381697129</v>
      </c>
      <c r="X262" s="12">
        <f t="shared" si="234"/>
        <v>25.416969381697129</v>
      </c>
      <c r="Y262" s="12">
        <f t="shared" si="234"/>
        <v>25.416969381697129</v>
      </c>
      <c r="Z262" s="12">
        <f t="shared" si="234"/>
        <v>25.416969381697129</v>
      </c>
      <c r="AA262" s="12">
        <f t="shared" si="234"/>
        <v>25.416969381697129</v>
      </c>
      <c r="AB262" s="12">
        <f t="shared" si="234"/>
        <v>25.416969381697129</v>
      </c>
      <c r="AC262" s="12">
        <f t="shared" si="234"/>
        <v>25.416969381697129</v>
      </c>
      <c r="AD262" s="12">
        <f t="shared" si="234"/>
        <v>25.416969381697129</v>
      </c>
      <c r="AE262" s="12">
        <f t="shared" si="234"/>
        <v>25.416969381697129</v>
      </c>
      <c r="AF262" s="12">
        <f t="shared" si="234"/>
        <v>25.416969381697129</v>
      </c>
      <c r="AG262" s="12">
        <f t="shared" si="234"/>
        <v>25.416969381697129</v>
      </c>
      <c r="AH262" s="12">
        <f t="shared" si="234"/>
        <v>25.416969381697129</v>
      </c>
      <c r="AI262" s="12">
        <f t="shared" si="234"/>
        <v>25.416969381697129</v>
      </c>
      <c r="AJ262" s="12">
        <f t="shared" si="234"/>
        <v>25.416969381697129</v>
      </c>
      <c r="AK262" s="12">
        <f t="shared" si="234"/>
        <v>25.416969381697129</v>
      </c>
      <c r="AL262" s="12">
        <f t="shared" si="234"/>
        <v>25.416969381697129</v>
      </c>
      <c r="AM262" s="12">
        <f t="shared" si="234"/>
        <v>25.416969381697129</v>
      </c>
      <c r="AN262" s="12">
        <f t="shared" si="234"/>
        <v>25.416969381697129</v>
      </c>
      <c r="AO262" s="12">
        <f t="shared" si="234"/>
        <v>25.416969381697129</v>
      </c>
      <c r="AP262" s="12">
        <f t="shared" si="234"/>
        <v>25.416969381697129</v>
      </c>
      <c r="AQ262" s="12">
        <f t="shared" si="234"/>
        <v>25.416969381697129</v>
      </c>
      <c r="AR262" s="12">
        <f t="shared" si="234"/>
        <v>25.416969381697129</v>
      </c>
      <c r="AS262" s="12">
        <f t="shared" si="234"/>
        <v>25.416969381697129</v>
      </c>
      <c r="AT262" s="12">
        <f t="shared" si="234"/>
        <v>25.416969381697129</v>
      </c>
      <c r="AU262" s="12">
        <f t="shared" si="234"/>
        <v>25.416969381697129</v>
      </c>
      <c r="AV262" s="12">
        <f t="shared" si="234"/>
        <v>25.416969381697129</v>
      </c>
      <c r="AW262" s="12">
        <f t="shared" si="234"/>
        <v>25.416969381697129</v>
      </c>
      <c r="AX262" s="12">
        <f t="shared" si="234"/>
        <v>25.416969381697129</v>
      </c>
      <c r="AY262" s="12">
        <f t="shared" si="234"/>
        <v>25.416969381697129</v>
      </c>
      <c r="AZ262" s="12">
        <f t="shared" si="234"/>
        <v>25.416969381697129</v>
      </c>
      <c r="BA262" s="12">
        <f t="shared" si="234"/>
        <v>25.416969381697129</v>
      </c>
      <c r="BB262" s="12">
        <f t="shared" si="234"/>
        <v>25.416969381697129</v>
      </c>
      <c r="BC262" s="12">
        <f t="shared" si="234"/>
        <v>25.416969381697129</v>
      </c>
      <c r="BD262" s="12">
        <f t="shared" si="234"/>
        <v>25.416969381697129</v>
      </c>
      <c r="BE262" s="12">
        <f t="shared" si="234"/>
        <v>25.416969381697129</v>
      </c>
      <c r="BF262" s="12">
        <f t="shared" si="234"/>
        <v>25.416969381697129</v>
      </c>
      <c r="BG262" s="12">
        <f t="shared" si="234"/>
        <v>25.416969381697129</v>
      </c>
      <c r="BH262" s="12">
        <f t="shared" si="234"/>
        <v>25.416969381697129</v>
      </c>
      <c r="BI262" s="12">
        <f t="shared" si="234"/>
        <v>25.416969381697129</v>
      </c>
      <c r="BJ262" s="12">
        <f t="shared" si="234"/>
        <v>25.416969381697129</v>
      </c>
      <c r="BK262" s="12">
        <f t="shared" si="234"/>
        <v>25.416969381697129</v>
      </c>
    </row>
    <row r="264" spans="1:63">
      <c r="A264" s="19" t="s">
        <v>130</v>
      </c>
      <c r="B264" s="19"/>
      <c r="C264" s="19"/>
    </row>
    <row r="266" spans="1:63">
      <c r="C266">
        <f>C223</f>
        <v>2010</v>
      </c>
      <c r="D266" s="12">
        <f t="shared" ref="D266:BK266" si="236">D223</f>
        <v>2011</v>
      </c>
      <c r="E266" s="12">
        <f t="shared" si="236"/>
        <v>2012</v>
      </c>
      <c r="F266" s="12">
        <f t="shared" si="236"/>
        <v>2013</v>
      </c>
      <c r="G266" s="12">
        <f t="shared" si="236"/>
        <v>2014</v>
      </c>
      <c r="H266" s="12">
        <f t="shared" si="236"/>
        <v>2015</v>
      </c>
      <c r="I266" s="12">
        <f t="shared" si="236"/>
        <v>2016</v>
      </c>
      <c r="J266" s="12">
        <f t="shared" si="236"/>
        <v>2017</v>
      </c>
      <c r="K266" s="12">
        <f t="shared" si="236"/>
        <v>2018</v>
      </c>
      <c r="L266" s="12">
        <f t="shared" si="236"/>
        <v>2019</v>
      </c>
      <c r="M266" s="12">
        <f t="shared" si="236"/>
        <v>2020</v>
      </c>
      <c r="N266" s="12">
        <f t="shared" si="236"/>
        <v>2021</v>
      </c>
      <c r="O266" s="12">
        <f t="shared" si="236"/>
        <v>2022</v>
      </c>
      <c r="P266" s="12">
        <f t="shared" si="236"/>
        <v>2023</v>
      </c>
      <c r="Q266" s="12">
        <f t="shared" si="236"/>
        <v>2024</v>
      </c>
      <c r="R266" s="12">
        <f t="shared" si="236"/>
        <v>2025</v>
      </c>
      <c r="S266" s="12">
        <f t="shared" si="236"/>
        <v>2026</v>
      </c>
      <c r="T266" s="12">
        <f t="shared" si="236"/>
        <v>2027</v>
      </c>
      <c r="U266" s="12">
        <f t="shared" si="236"/>
        <v>2028</v>
      </c>
      <c r="V266" s="12">
        <f t="shared" si="236"/>
        <v>2029</v>
      </c>
      <c r="W266" s="12">
        <f t="shared" si="236"/>
        <v>2030</v>
      </c>
      <c r="X266" s="12">
        <f t="shared" si="236"/>
        <v>2031</v>
      </c>
      <c r="Y266" s="12">
        <f t="shared" si="236"/>
        <v>2032</v>
      </c>
      <c r="Z266" s="12">
        <f t="shared" si="236"/>
        <v>2033</v>
      </c>
      <c r="AA266" s="12">
        <f t="shared" si="236"/>
        <v>2034</v>
      </c>
      <c r="AB266" s="12">
        <f t="shared" si="236"/>
        <v>2035</v>
      </c>
      <c r="AC266" s="12">
        <f t="shared" si="236"/>
        <v>2036</v>
      </c>
      <c r="AD266" s="12">
        <f t="shared" si="236"/>
        <v>2037</v>
      </c>
      <c r="AE266" s="12">
        <f t="shared" si="236"/>
        <v>2038</v>
      </c>
      <c r="AF266" s="12">
        <f t="shared" si="236"/>
        <v>2039</v>
      </c>
      <c r="AG266" s="12">
        <f t="shared" si="236"/>
        <v>2040</v>
      </c>
      <c r="AH266" s="12">
        <f t="shared" si="236"/>
        <v>2041</v>
      </c>
      <c r="AI266" s="12">
        <f t="shared" si="236"/>
        <v>2042</v>
      </c>
      <c r="AJ266" s="12">
        <f t="shared" si="236"/>
        <v>2043</v>
      </c>
      <c r="AK266" s="12">
        <f t="shared" si="236"/>
        <v>2044</v>
      </c>
      <c r="AL266" s="12">
        <f t="shared" si="236"/>
        <v>2045</v>
      </c>
      <c r="AM266" s="12">
        <f t="shared" si="236"/>
        <v>2046</v>
      </c>
      <c r="AN266" s="12">
        <f t="shared" si="236"/>
        <v>2047</v>
      </c>
      <c r="AO266" s="12">
        <f t="shared" si="236"/>
        <v>2048</v>
      </c>
      <c r="AP266" s="12">
        <f t="shared" si="236"/>
        <v>2049</v>
      </c>
      <c r="AQ266" s="12">
        <f t="shared" si="236"/>
        <v>2050</v>
      </c>
      <c r="AR266" s="12">
        <f t="shared" si="236"/>
        <v>2051</v>
      </c>
      <c r="AS266" s="12">
        <f t="shared" si="236"/>
        <v>2052</v>
      </c>
      <c r="AT266" s="12">
        <f t="shared" si="236"/>
        <v>2053</v>
      </c>
      <c r="AU266" s="12">
        <f t="shared" si="236"/>
        <v>2054</v>
      </c>
      <c r="AV266" s="12">
        <f t="shared" si="236"/>
        <v>2055</v>
      </c>
      <c r="AW266" s="12">
        <f t="shared" si="236"/>
        <v>2056</v>
      </c>
      <c r="AX266" s="12">
        <f t="shared" si="236"/>
        <v>2057</v>
      </c>
      <c r="AY266" s="12">
        <f t="shared" si="236"/>
        <v>2058</v>
      </c>
      <c r="AZ266" s="12">
        <f t="shared" si="236"/>
        <v>2059</v>
      </c>
      <c r="BA266" s="12">
        <f t="shared" si="236"/>
        <v>2060</v>
      </c>
      <c r="BB266" s="12">
        <f t="shared" si="236"/>
        <v>2061</v>
      </c>
      <c r="BC266" s="12">
        <f t="shared" si="236"/>
        <v>2062</v>
      </c>
      <c r="BD266" s="12">
        <f t="shared" si="236"/>
        <v>2063</v>
      </c>
      <c r="BE266" s="12">
        <f t="shared" si="236"/>
        <v>2064</v>
      </c>
      <c r="BF266" s="12">
        <f t="shared" si="236"/>
        <v>2065</v>
      </c>
      <c r="BG266" s="12">
        <f t="shared" si="236"/>
        <v>2066</v>
      </c>
      <c r="BH266" s="12">
        <f t="shared" si="236"/>
        <v>2067</v>
      </c>
      <c r="BI266" s="12">
        <f t="shared" si="236"/>
        <v>2068</v>
      </c>
      <c r="BJ266" s="12">
        <f t="shared" si="236"/>
        <v>2069</v>
      </c>
      <c r="BK266" s="12">
        <f t="shared" si="236"/>
        <v>2070</v>
      </c>
    </row>
    <row r="267" spans="1:63">
      <c r="A267" t="s">
        <v>131</v>
      </c>
      <c r="C267" s="12">
        <f>2.612*Variables!E2</f>
        <v>2.6120000000000001</v>
      </c>
      <c r="D267" s="12">
        <f>2.262*Variables!E2</f>
        <v>2.262</v>
      </c>
      <c r="E267">
        <f>1.079*Variables!E2</f>
        <v>1.079</v>
      </c>
      <c r="F267">
        <f>1.724*Variables!E2</f>
        <v>1.724</v>
      </c>
      <c r="G267">
        <f>2.2*Variables!E2</f>
        <v>2.2000000000000002</v>
      </c>
      <c r="H267">
        <f>1.6*Variables!E2</f>
        <v>1.6</v>
      </c>
      <c r="I267">
        <f>1.9*Variables!E2</f>
        <v>1.9</v>
      </c>
      <c r="J267">
        <f>1.9*Variables!E2</f>
        <v>1.9</v>
      </c>
      <c r="K267">
        <f>2*Variables!E2</f>
        <v>2</v>
      </c>
      <c r="L267">
        <f>2.05*Variables!E2</f>
        <v>2.0499999999999998</v>
      </c>
      <c r="M267">
        <f>2.1*Variables!E2</f>
        <v>2.1</v>
      </c>
      <c r="N267">
        <f>2.15*Variables!E2</f>
        <v>2.15</v>
      </c>
      <c r="O267">
        <f>2.2*Variables!E2</f>
        <v>2.2000000000000002</v>
      </c>
      <c r="P267" s="12">
        <f>2.2*Variables!E2</f>
        <v>2.2000000000000002</v>
      </c>
      <c r="Q267" s="12">
        <f>2.2*Variables!E2</f>
        <v>2.2000000000000002</v>
      </c>
      <c r="R267" s="12">
        <f>2.2*Variables!E2</f>
        <v>2.2000000000000002</v>
      </c>
      <c r="S267" s="12">
        <f>2.2*Variables!E2</f>
        <v>2.2000000000000002</v>
      </c>
      <c r="T267" s="12">
        <f>2.2*Variables!E2</f>
        <v>2.2000000000000002</v>
      </c>
      <c r="U267" s="12">
        <f>2.2*Variables!E2</f>
        <v>2.2000000000000002</v>
      </c>
      <c r="V267" s="12">
        <f>2.2*Variables!E2</f>
        <v>2.2000000000000002</v>
      </c>
      <c r="W267" s="12">
        <v>0</v>
      </c>
      <c r="X267" s="12">
        <v>0</v>
      </c>
      <c r="Y267" s="12">
        <v>0</v>
      </c>
      <c r="Z267" s="12">
        <v>0</v>
      </c>
      <c r="AA267" s="12">
        <v>0</v>
      </c>
      <c r="AB267" s="12">
        <v>0</v>
      </c>
      <c r="AC267" s="12">
        <v>0</v>
      </c>
      <c r="AD267" s="12">
        <v>0</v>
      </c>
      <c r="AE267" s="12">
        <v>0</v>
      </c>
      <c r="AF267" s="12">
        <v>0</v>
      </c>
      <c r="AG267" s="12">
        <v>0</v>
      </c>
      <c r="AH267" s="12">
        <v>0</v>
      </c>
      <c r="AI267" s="12">
        <v>0</v>
      </c>
      <c r="AJ267" s="12">
        <v>0</v>
      </c>
      <c r="AK267" s="12">
        <v>0</v>
      </c>
      <c r="AL267" s="12">
        <v>0</v>
      </c>
      <c r="AM267" s="12">
        <v>0</v>
      </c>
      <c r="AN267" s="12">
        <v>0</v>
      </c>
      <c r="AO267" s="12">
        <v>0</v>
      </c>
      <c r="AP267" s="12">
        <v>0</v>
      </c>
      <c r="AQ267" s="12">
        <v>0</v>
      </c>
      <c r="AR267" s="12">
        <v>0</v>
      </c>
      <c r="AS267" s="12">
        <v>0</v>
      </c>
      <c r="AT267" s="12">
        <v>0</v>
      </c>
      <c r="AU267" s="12">
        <v>0</v>
      </c>
      <c r="AV267" s="12">
        <v>0</v>
      </c>
      <c r="AW267" s="12">
        <v>0</v>
      </c>
      <c r="AX267" s="12">
        <v>0</v>
      </c>
      <c r="AY267" s="12">
        <v>0</v>
      </c>
      <c r="AZ267" s="12">
        <v>0</v>
      </c>
      <c r="BA267" s="12">
        <v>0</v>
      </c>
      <c r="BB267" s="12">
        <v>0</v>
      </c>
      <c r="BC267" s="12">
        <v>0</v>
      </c>
      <c r="BD267" s="12">
        <v>0</v>
      </c>
      <c r="BE267" s="12">
        <v>0</v>
      </c>
      <c r="BF267" s="12">
        <v>0</v>
      </c>
      <c r="BG267" s="12">
        <v>0</v>
      </c>
      <c r="BH267" s="12">
        <v>0</v>
      </c>
      <c r="BI267" s="12">
        <v>0</v>
      </c>
      <c r="BJ267" s="12">
        <v>0</v>
      </c>
      <c r="BK267" s="12">
        <v>0</v>
      </c>
    </row>
    <row r="268" spans="1:63">
      <c r="C268" s="17"/>
      <c r="N268" t="s">
        <v>189</v>
      </c>
      <c r="W268">
        <f>2.2*Variables!E2</f>
        <v>2.2000000000000002</v>
      </c>
      <c r="X268" s="12">
        <f>W268</f>
        <v>2.2000000000000002</v>
      </c>
      <c r="Y268" s="12">
        <f t="shared" ref="Y268:BK268" si="237">X268</f>
        <v>2.2000000000000002</v>
      </c>
      <c r="Z268" s="12">
        <f t="shared" si="237"/>
        <v>2.2000000000000002</v>
      </c>
      <c r="AA268" s="12">
        <f t="shared" si="237"/>
        <v>2.2000000000000002</v>
      </c>
      <c r="AB268" s="12">
        <f t="shared" si="237"/>
        <v>2.2000000000000002</v>
      </c>
      <c r="AC268" s="12">
        <f t="shared" si="237"/>
        <v>2.2000000000000002</v>
      </c>
      <c r="AD268" s="12">
        <f t="shared" si="237"/>
        <v>2.2000000000000002</v>
      </c>
      <c r="AE268" s="12">
        <f t="shared" si="237"/>
        <v>2.2000000000000002</v>
      </c>
      <c r="AF268" s="12">
        <f t="shared" si="237"/>
        <v>2.2000000000000002</v>
      </c>
      <c r="AG268" s="12">
        <f t="shared" si="237"/>
        <v>2.2000000000000002</v>
      </c>
      <c r="AH268" s="12">
        <f t="shared" si="237"/>
        <v>2.2000000000000002</v>
      </c>
      <c r="AI268" s="12">
        <f t="shared" si="237"/>
        <v>2.2000000000000002</v>
      </c>
      <c r="AJ268" s="12">
        <f t="shared" si="237"/>
        <v>2.2000000000000002</v>
      </c>
      <c r="AK268" s="12">
        <f t="shared" si="237"/>
        <v>2.2000000000000002</v>
      </c>
      <c r="AL268" s="12">
        <f t="shared" si="237"/>
        <v>2.2000000000000002</v>
      </c>
      <c r="AM268" s="12">
        <f t="shared" si="237"/>
        <v>2.2000000000000002</v>
      </c>
      <c r="AN268" s="12">
        <f t="shared" si="237"/>
        <v>2.2000000000000002</v>
      </c>
      <c r="AO268" s="12">
        <f t="shared" si="237"/>
        <v>2.2000000000000002</v>
      </c>
      <c r="AP268" s="12">
        <f t="shared" si="237"/>
        <v>2.2000000000000002</v>
      </c>
      <c r="AQ268" s="12">
        <f t="shared" si="237"/>
        <v>2.2000000000000002</v>
      </c>
      <c r="AR268" s="12">
        <f t="shared" si="237"/>
        <v>2.2000000000000002</v>
      </c>
      <c r="AS268" s="12">
        <f t="shared" si="237"/>
        <v>2.2000000000000002</v>
      </c>
      <c r="AT268" s="12">
        <f t="shared" si="237"/>
        <v>2.2000000000000002</v>
      </c>
      <c r="AU268" s="12">
        <f t="shared" si="237"/>
        <v>2.2000000000000002</v>
      </c>
      <c r="AV268" s="12">
        <f t="shared" si="237"/>
        <v>2.2000000000000002</v>
      </c>
      <c r="AW268" s="12">
        <f t="shared" si="237"/>
        <v>2.2000000000000002</v>
      </c>
      <c r="AX268" s="12">
        <f t="shared" si="237"/>
        <v>2.2000000000000002</v>
      </c>
      <c r="AY268" s="12">
        <f t="shared" si="237"/>
        <v>2.2000000000000002</v>
      </c>
      <c r="AZ268" s="12">
        <f t="shared" si="237"/>
        <v>2.2000000000000002</v>
      </c>
      <c r="BA268" s="12">
        <f t="shared" si="237"/>
        <v>2.2000000000000002</v>
      </c>
      <c r="BB268" s="12">
        <f t="shared" si="237"/>
        <v>2.2000000000000002</v>
      </c>
      <c r="BC268" s="12">
        <f t="shared" si="237"/>
        <v>2.2000000000000002</v>
      </c>
      <c r="BD268" s="12">
        <f t="shared" si="237"/>
        <v>2.2000000000000002</v>
      </c>
      <c r="BE268" s="12">
        <f t="shared" si="237"/>
        <v>2.2000000000000002</v>
      </c>
      <c r="BF268" s="12">
        <f t="shared" si="237"/>
        <v>2.2000000000000002</v>
      </c>
      <c r="BG268" s="12">
        <f t="shared" si="237"/>
        <v>2.2000000000000002</v>
      </c>
      <c r="BH268" s="12">
        <f t="shared" si="237"/>
        <v>2.2000000000000002</v>
      </c>
      <c r="BI268" s="12">
        <f t="shared" si="237"/>
        <v>2.2000000000000002</v>
      </c>
      <c r="BJ268" s="12">
        <f t="shared" si="237"/>
        <v>2.2000000000000002</v>
      </c>
      <c r="BK268" s="12">
        <f t="shared" si="237"/>
        <v>2.2000000000000002</v>
      </c>
    </row>
    <row r="270" spans="1:63">
      <c r="A270" s="19" t="s">
        <v>134</v>
      </c>
    </row>
    <row r="271" spans="1:63">
      <c r="C271">
        <f>C266</f>
        <v>2010</v>
      </c>
      <c r="D271" s="12">
        <f t="shared" ref="D271:BK271" si="238">D266</f>
        <v>2011</v>
      </c>
      <c r="E271" s="12">
        <f t="shared" si="238"/>
        <v>2012</v>
      </c>
      <c r="F271" s="12">
        <f t="shared" si="238"/>
        <v>2013</v>
      </c>
      <c r="G271" s="12">
        <f t="shared" si="238"/>
        <v>2014</v>
      </c>
      <c r="H271" s="12">
        <f t="shared" si="238"/>
        <v>2015</v>
      </c>
      <c r="I271" s="12">
        <f t="shared" si="238"/>
        <v>2016</v>
      </c>
      <c r="J271" s="12">
        <f t="shared" si="238"/>
        <v>2017</v>
      </c>
      <c r="K271" s="12">
        <f t="shared" si="238"/>
        <v>2018</v>
      </c>
      <c r="L271" s="12">
        <f t="shared" si="238"/>
        <v>2019</v>
      </c>
      <c r="M271" s="12">
        <f t="shared" si="238"/>
        <v>2020</v>
      </c>
      <c r="N271" s="12">
        <f t="shared" si="238"/>
        <v>2021</v>
      </c>
      <c r="O271" s="12">
        <f t="shared" si="238"/>
        <v>2022</v>
      </c>
      <c r="P271" s="12">
        <f t="shared" si="238"/>
        <v>2023</v>
      </c>
      <c r="Q271" s="12">
        <f t="shared" si="238"/>
        <v>2024</v>
      </c>
      <c r="R271" s="12">
        <f t="shared" si="238"/>
        <v>2025</v>
      </c>
      <c r="S271" s="12">
        <f t="shared" si="238"/>
        <v>2026</v>
      </c>
      <c r="T271" s="12">
        <f t="shared" si="238"/>
        <v>2027</v>
      </c>
      <c r="U271" s="12">
        <f t="shared" si="238"/>
        <v>2028</v>
      </c>
      <c r="V271" s="12">
        <f t="shared" si="238"/>
        <v>2029</v>
      </c>
      <c r="W271" s="12">
        <f t="shared" si="238"/>
        <v>2030</v>
      </c>
      <c r="X271" s="12">
        <f t="shared" si="238"/>
        <v>2031</v>
      </c>
      <c r="Y271" s="12">
        <f t="shared" si="238"/>
        <v>2032</v>
      </c>
      <c r="Z271" s="12">
        <f t="shared" si="238"/>
        <v>2033</v>
      </c>
      <c r="AA271" s="12">
        <f t="shared" si="238"/>
        <v>2034</v>
      </c>
      <c r="AB271" s="12">
        <f t="shared" si="238"/>
        <v>2035</v>
      </c>
      <c r="AC271" s="12">
        <f t="shared" si="238"/>
        <v>2036</v>
      </c>
      <c r="AD271" s="12">
        <f t="shared" si="238"/>
        <v>2037</v>
      </c>
      <c r="AE271" s="12">
        <f t="shared" si="238"/>
        <v>2038</v>
      </c>
      <c r="AF271" s="12">
        <f t="shared" si="238"/>
        <v>2039</v>
      </c>
      <c r="AG271" s="12">
        <f t="shared" si="238"/>
        <v>2040</v>
      </c>
      <c r="AH271" s="12">
        <f t="shared" si="238"/>
        <v>2041</v>
      </c>
      <c r="AI271" s="12">
        <f t="shared" si="238"/>
        <v>2042</v>
      </c>
      <c r="AJ271" s="12">
        <f t="shared" si="238"/>
        <v>2043</v>
      </c>
      <c r="AK271" s="12">
        <f t="shared" si="238"/>
        <v>2044</v>
      </c>
      <c r="AL271" s="12">
        <f t="shared" si="238"/>
        <v>2045</v>
      </c>
      <c r="AM271" s="12">
        <f t="shared" si="238"/>
        <v>2046</v>
      </c>
      <c r="AN271" s="12">
        <f t="shared" si="238"/>
        <v>2047</v>
      </c>
      <c r="AO271" s="12">
        <f t="shared" si="238"/>
        <v>2048</v>
      </c>
      <c r="AP271" s="12">
        <f t="shared" si="238"/>
        <v>2049</v>
      </c>
      <c r="AQ271" s="12">
        <f t="shared" si="238"/>
        <v>2050</v>
      </c>
      <c r="AR271" s="12">
        <f t="shared" si="238"/>
        <v>2051</v>
      </c>
      <c r="AS271" s="12">
        <f t="shared" si="238"/>
        <v>2052</v>
      </c>
      <c r="AT271" s="12">
        <f t="shared" si="238"/>
        <v>2053</v>
      </c>
      <c r="AU271" s="12">
        <f t="shared" si="238"/>
        <v>2054</v>
      </c>
      <c r="AV271" s="12">
        <f t="shared" si="238"/>
        <v>2055</v>
      </c>
      <c r="AW271" s="12">
        <f t="shared" si="238"/>
        <v>2056</v>
      </c>
      <c r="AX271" s="12">
        <f t="shared" si="238"/>
        <v>2057</v>
      </c>
      <c r="AY271" s="12">
        <f t="shared" si="238"/>
        <v>2058</v>
      </c>
      <c r="AZ271" s="12">
        <f t="shared" si="238"/>
        <v>2059</v>
      </c>
      <c r="BA271" s="12">
        <f t="shared" si="238"/>
        <v>2060</v>
      </c>
      <c r="BB271" s="12">
        <f t="shared" si="238"/>
        <v>2061</v>
      </c>
      <c r="BC271" s="12">
        <f t="shared" si="238"/>
        <v>2062</v>
      </c>
      <c r="BD271" s="12">
        <f t="shared" si="238"/>
        <v>2063</v>
      </c>
      <c r="BE271" s="12">
        <f t="shared" si="238"/>
        <v>2064</v>
      </c>
      <c r="BF271" s="12">
        <f t="shared" si="238"/>
        <v>2065</v>
      </c>
      <c r="BG271" s="12">
        <f t="shared" si="238"/>
        <v>2066</v>
      </c>
      <c r="BH271" s="12">
        <f t="shared" si="238"/>
        <v>2067</v>
      </c>
      <c r="BI271" s="12">
        <f t="shared" si="238"/>
        <v>2068</v>
      </c>
      <c r="BJ271" s="12">
        <f t="shared" si="238"/>
        <v>2069</v>
      </c>
      <c r="BK271" s="12">
        <f t="shared" si="238"/>
        <v>2070</v>
      </c>
    </row>
    <row r="272" spans="1:63">
      <c r="C272">
        <f>1 +C224/100</f>
        <v>1.0489999999999999</v>
      </c>
      <c r="D272">
        <f>C272*(1+D224/100)</f>
        <v>1.0993519999999999</v>
      </c>
      <c r="E272" s="12">
        <f>D272*(1+E224/100)</f>
        <v>1.1334319119999998</v>
      </c>
      <c r="F272" s="12">
        <f t="shared" ref="F272:U272" si="239">E272*(1+F224/100)</f>
        <v>1.1651680055359999</v>
      </c>
      <c r="G272" s="12">
        <f t="shared" si="239"/>
        <v>1.1966275416854717</v>
      </c>
      <c r="H272" s="12">
        <f t="shared" si="239"/>
        <v>1.2361162505610921</v>
      </c>
      <c r="I272" s="12">
        <f>H272*(1+I224/100)</f>
        <v>1.2806164355812915</v>
      </c>
      <c r="J272" s="12">
        <f t="shared" si="239"/>
        <v>1.3292798601333806</v>
      </c>
      <c r="K272" s="12">
        <f t="shared" si="239"/>
        <v>1.3811217746785824</v>
      </c>
      <c r="L272" s="12">
        <f t="shared" si="239"/>
        <v>1.4329138412290294</v>
      </c>
      <c r="M272" s="12">
        <f t="shared" si="239"/>
        <v>1.4844987395132745</v>
      </c>
      <c r="N272" s="12">
        <f t="shared" si="239"/>
        <v>1.5357139460264824</v>
      </c>
      <c r="O272" s="12">
        <f t="shared" si="239"/>
        <v>1.5863925062453561</v>
      </c>
      <c r="P272" s="12">
        <f t="shared" si="239"/>
        <v>1.6387434589514527</v>
      </c>
      <c r="Q272" s="12">
        <f t="shared" si="239"/>
        <v>1.6928219930968504</v>
      </c>
      <c r="R272" s="12">
        <f t="shared" si="239"/>
        <v>1.7486851188690464</v>
      </c>
      <c r="S272" s="12">
        <f t="shared" si="239"/>
        <v>1.8063917277917247</v>
      </c>
      <c r="T272" s="12">
        <f t="shared" si="239"/>
        <v>1.8660026548088515</v>
      </c>
      <c r="U272" s="12">
        <f t="shared" si="239"/>
        <v>1.9275807424175435</v>
      </c>
      <c r="V272" s="12">
        <f>U272*(1+V224/100)</f>
        <v>1.9950460684021574</v>
      </c>
      <c r="W272" s="12">
        <f>V272*(1+W268/100)</f>
        <v>2.038937081907005</v>
      </c>
      <c r="X272" s="12">
        <f>W272*(1+X268/100)</f>
        <v>2.0837936977089591</v>
      </c>
      <c r="Y272" s="12">
        <f t="shared" ref="Y272:BK272" si="240">X272*(1+Y268/100)</f>
        <v>2.1296371590585563</v>
      </c>
      <c r="Z272" s="12">
        <f t="shared" si="240"/>
        <v>2.1764891765578445</v>
      </c>
      <c r="AA272" s="12">
        <f t="shared" si="240"/>
        <v>2.224371938442117</v>
      </c>
      <c r="AB272" s="12">
        <f t="shared" si="240"/>
        <v>2.2733081210878434</v>
      </c>
      <c r="AC272" s="12">
        <f>AB272*(1+AC268/100)</f>
        <v>2.323320899751776</v>
      </c>
      <c r="AD272" s="12">
        <f t="shared" si="240"/>
        <v>2.3744339595463151</v>
      </c>
      <c r="AE272" s="12">
        <f t="shared" si="240"/>
        <v>2.426671506656334</v>
      </c>
      <c r="AF272" s="12">
        <f>AE272*(1+AF268/100)</f>
        <v>2.4800582798027735</v>
      </c>
      <c r="AG272" s="12">
        <f t="shared" si="240"/>
        <v>2.5346195619584346</v>
      </c>
      <c r="AH272" s="12">
        <f t="shared" si="240"/>
        <v>2.5903811923215203</v>
      </c>
      <c r="AI272" s="12">
        <f t="shared" si="240"/>
        <v>2.6473695785525937</v>
      </c>
      <c r="AJ272" s="12">
        <f t="shared" si="240"/>
        <v>2.7056117092807508</v>
      </c>
      <c r="AK272" s="12">
        <f t="shared" si="240"/>
        <v>2.7651351668849276</v>
      </c>
      <c r="AL272" s="12">
        <f t="shared" si="240"/>
        <v>2.8259681405563959</v>
      </c>
      <c r="AM272" s="12">
        <f t="shared" si="240"/>
        <v>2.8881394396486368</v>
      </c>
      <c r="AN272" s="12">
        <f t="shared" si="240"/>
        <v>2.9516785073209069</v>
      </c>
      <c r="AO272" s="12">
        <f t="shared" si="240"/>
        <v>3.0166154344819667</v>
      </c>
      <c r="AP272" s="12">
        <f t="shared" si="240"/>
        <v>3.08298097404057</v>
      </c>
      <c r="AQ272" s="12">
        <f t="shared" si="240"/>
        <v>3.1508065554694626</v>
      </c>
      <c r="AR272" s="12">
        <f t="shared" si="240"/>
        <v>3.220124299689791</v>
      </c>
      <c r="AS272" s="12">
        <f t="shared" si="240"/>
        <v>3.2909670342829664</v>
      </c>
      <c r="AT272" s="12">
        <f t="shared" si="240"/>
        <v>3.3633683090371918</v>
      </c>
      <c r="AU272" s="12">
        <f t="shared" si="240"/>
        <v>3.43736241183601</v>
      </c>
      <c r="AV272" s="12">
        <f t="shared" si="240"/>
        <v>3.5129843848964022</v>
      </c>
      <c r="AW272" s="12">
        <f t="shared" si="240"/>
        <v>3.5902700413641231</v>
      </c>
      <c r="AX272" s="12">
        <f t="shared" si="240"/>
        <v>3.6692559822741337</v>
      </c>
      <c r="AY272" s="12">
        <f t="shared" si="240"/>
        <v>3.7499796138841646</v>
      </c>
      <c r="AZ272" s="12">
        <f t="shared" si="240"/>
        <v>3.8324791653896164</v>
      </c>
      <c r="BA272" s="12">
        <f t="shared" si="240"/>
        <v>3.9167937070281882</v>
      </c>
      <c r="BB272" s="12">
        <f t="shared" si="240"/>
        <v>4.0029631685828084</v>
      </c>
      <c r="BC272" s="12">
        <f t="shared" si="240"/>
        <v>4.0910283582916307</v>
      </c>
      <c r="BD272" s="12">
        <f t="shared" si="240"/>
        <v>4.1810309821740468</v>
      </c>
      <c r="BE272" s="12">
        <f t="shared" si="240"/>
        <v>4.2730136637818763</v>
      </c>
      <c r="BF272" s="12">
        <f t="shared" si="240"/>
        <v>4.3670199643850776</v>
      </c>
      <c r="BG272" s="12">
        <f t="shared" si="240"/>
        <v>4.4630944036015494</v>
      </c>
      <c r="BH272" s="12">
        <f t="shared" si="240"/>
        <v>4.5612824804807834</v>
      </c>
      <c r="BI272" s="12">
        <f t="shared" si="240"/>
        <v>4.6616306950513611</v>
      </c>
      <c r="BJ272" s="12">
        <f t="shared" si="240"/>
        <v>4.764186570342491</v>
      </c>
      <c r="BK272" s="12">
        <f t="shared" si="240"/>
        <v>4.868998674890026</v>
      </c>
    </row>
    <row r="273" spans="2:62"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</row>
    <row r="274" spans="2:62">
      <c r="E274" s="12"/>
    </row>
    <row r="275" spans="2:62">
      <c r="E275" s="12"/>
      <c r="AC275">
        <f>-65000000*Variables!E6</f>
        <v>0</v>
      </c>
      <c r="BD275">
        <f>-65000000*Variables!E6</f>
        <v>0</v>
      </c>
    </row>
    <row r="276" spans="2:62">
      <c r="B276" s="12"/>
      <c r="E276" s="12"/>
      <c r="F276" s="12"/>
      <c r="AC276">
        <f>AC275*AC272</f>
        <v>0</v>
      </c>
      <c r="AF276">
        <f>-65000000*Variables!E6</f>
        <v>0</v>
      </c>
      <c r="BD276">
        <f>BD275*BD272</f>
        <v>0</v>
      </c>
      <c r="BJ276">
        <f>-65000000*Variables!E6</f>
        <v>0</v>
      </c>
    </row>
    <row r="277" spans="2:62">
      <c r="B277" s="12"/>
      <c r="E277" s="12"/>
      <c r="F277" s="12"/>
      <c r="AF277">
        <f>AF276*AF272</f>
        <v>0</v>
      </c>
      <c r="BJ277">
        <f>BJ276*BJ272</f>
        <v>0</v>
      </c>
    </row>
    <row r="278" spans="2:62">
      <c r="B278" s="12"/>
      <c r="E278" s="12"/>
      <c r="F278" s="12"/>
    </row>
    <row r="279" spans="2:62">
      <c r="B279" s="12"/>
      <c r="E279" s="12"/>
      <c r="F279" s="12"/>
    </row>
    <row r="280" spans="2:62">
      <c r="B280" s="12"/>
      <c r="E280" s="12"/>
      <c r="F280" s="12"/>
    </row>
    <row r="281" spans="2:62">
      <c r="B281" s="12"/>
      <c r="E281" s="12"/>
      <c r="F281" s="12"/>
    </row>
    <row r="282" spans="2:62">
      <c r="B282" s="12"/>
      <c r="E282" s="12"/>
      <c r="F282" s="12"/>
    </row>
    <row r="283" spans="2:62">
      <c r="B283" s="12"/>
      <c r="E283" s="12"/>
      <c r="F283" s="12"/>
    </row>
    <row r="284" spans="2:62">
      <c r="E284" s="12"/>
      <c r="F284" s="12"/>
    </row>
    <row r="285" spans="2:62">
      <c r="E285" s="12"/>
      <c r="F285" s="12"/>
    </row>
    <row r="286" spans="2:62">
      <c r="E286" s="12"/>
      <c r="F286" s="12"/>
    </row>
    <row r="287" spans="2:62">
      <c r="E287" s="12"/>
      <c r="F287" s="12"/>
    </row>
    <row r="288" spans="2:62">
      <c r="E288" s="12"/>
      <c r="F288" s="12"/>
    </row>
    <row r="289" spans="5:6">
      <c r="E289" s="12"/>
      <c r="F289" s="12"/>
    </row>
    <row r="290" spans="5:6">
      <c r="F290" s="12"/>
    </row>
    <row r="291" spans="5:6">
      <c r="F291" s="12"/>
    </row>
    <row r="292" spans="5:6">
      <c r="F292" s="12"/>
    </row>
    <row r="293" spans="5:6">
      <c r="F293" s="12"/>
    </row>
    <row r="294" spans="5:6">
      <c r="F294" s="12"/>
    </row>
    <row r="295" spans="5:6">
      <c r="F295" s="12"/>
    </row>
    <row r="296" spans="5:6">
      <c r="F296" s="12"/>
    </row>
    <row r="297" spans="5:6">
      <c r="F297" s="12"/>
    </row>
    <row r="298" spans="5:6">
      <c r="F298" s="12"/>
    </row>
    <row r="299" spans="5:6">
      <c r="F299" s="12"/>
    </row>
    <row r="300" spans="5:6">
      <c r="F300" s="12"/>
    </row>
    <row r="301" spans="5:6">
      <c r="F301" s="12"/>
    </row>
    <row r="302" spans="5:6">
      <c r="F302" s="12"/>
    </row>
    <row r="303" spans="5:6">
      <c r="F303" s="12"/>
    </row>
    <row r="304" spans="5:6">
      <c r="F304" s="12"/>
    </row>
    <row r="305" spans="6:21">
      <c r="F305" s="12"/>
    </row>
    <row r="306" spans="6:21">
      <c r="F306" s="12"/>
    </row>
    <row r="307" spans="6:21">
      <c r="F307" s="12"/>
    </row>
    <row r="308" spans="6:21">
      <c r="F308" s="12"/>
    </row>
    <row r="309" spans="6:21">
      <c r="F309" s="12"/>
    </row>
    <row r="310" spans="6:21">
      <c r="F310" s="12"/>
    </row>
    <row r="311" spans="6:21">
      <c r="F311" s="12"/>
    </row>
    <row r="312" spans="6:21">
      <c r="F312" s="12"/>
    </row>
    <row r="313" spans="6:21">
      <c r="F313" s="12"/>
      <c r="P313" s="12"/>
      <c r="R313" s="12"/>
      <c r="S313" s="12"/>
      <c r="T313" s="12"/>
      <c r="U313" s="12"/>
    </row>
    <row r="314" spans="6:21">
      <c r="F314" s="12"/>
      <c r="P314" s="12"/>
      <c r="Q314" s="12"/>
      <c r="R314" s="12"/>
      <c r="S314" s="12"/>
      <c r="T314" s="12"/>
      <c r="U314" s="12"/>
    </row>
    <row r="315" spans="6:21">
      <c r="F315" s="12"/>
      <c r="P315" s="12"/>
      <c r="Q315" s="12"/>
      <c r="R315" s="12"/>
      <c r="S315" s="12"/>
      <c r="T315" s="12"/>
      <c r="U315" s="12"/>
    </row>
    <row r="316" spans="6:21">
      <c r="F316" s="12"/>
      <c r="P316" s="12"/>
      <c r="Q316" s="12"/>
      <c r="R316" s="12"/>
      <c r="S316" s="12"/>
      <c r="T316" s="12"/>
      <c r="U316" s="12"/>
    </row>
    <row r="317" spans="6:21">
      <c r="F317" s="12"/>
      <c r="P317" s="12"/>
      <c r="Q317" s="12"/>
      <c r="R317" s="12"/>
      <c r="S317" s="12"/>
      <c r="T317" s="12"/>
      <c r="U317" s="12"/>
    </row>
    <row r="318" spans="6:21">
      <c r="F318" s="12"/>
      <c r="P318" s="12"/>
      <c r="Q318" s="12"/>
      <c r="R318" s="12"/>
      <c r="S318" s="12"/>
      <c r="T318" s="12"/>
      <c r="U318" s="12"/>
    </row>
    <row r="319" spans="6:21">
      <c r="F319" s="12"/>
      <c r="P319" s="12"/>
      <c r="Q319" s="12"/>
      <c r="R319" s="12"/>
      <c r="S319" s="12"/>
      <c r="T319" s="12"/>
      <c r="U319" s="12"/>
    </row>
    <row r="320" spans="6:21">
      <c r="F320" s="12"/>
      <c r="P320" s="12"/>
      <c r="Q320" s="12"/>
      <c r="R320" s="12"/>
      <c r="S320" s="12"/>
      <c r="T320" s="12"/>
      <c r="U320" s="12"/>
    </row>
    <row r="321" spans="6:21">
      <c r="F321" s="12"/>
      <c r="P321" s="12"/>
      <c r="Q321" s="12"/>
      <c r="R321" s="12"/>
      <c r="S321" s="12"/>
      <c r="T321" s="12"/>
      <c r="U321" s="12"/>
    </row>
    <row r="322" spans="6:21">
      <c r="F322" s="12"/>
      <c r="P322" s="12"/>
      <c r="Q322" s="12"/>
      <c r="R322" s="12"/>
      <c r="S322" s="12"/>
      <c r="T322" s="12"/>
      <c r="U322" s="12"/>
    </row>
    <row r="323" spans="6:21">
      <c r="F323" s="12"/>
      <c r="P323" s="12"/>
      <c r="Q323" s="12"/>
      <c r="R323" s="12"/>
      <c r="S323" s="12"/>
      <c r="T323" s="12"/>
      <c r="U323" s="12"/>
    </row>
    <row r="324" spans="6:21">
      <c r="F324" s="12"/>
      <c r="P324" s="12"/>
      <c r="Q324" s="12"/>
      <c r="R324" s="12"/>
      <c r="S324" s="12"/>
      <c r="T324" s="12"/>
      <c r="U324" s="12"/>
    </row>
    <row r="325" spans="6:21">
      <c r="F325" s="12"/>
      <c r="P325" s="12"/>
      <c r="Q325" s="12"/>
      <c r="R325" s="12"/>
      <c r="S325" s="12"/>
      <c r="T325" s="12"/>
      <c r="U325" s="12"/>
    </row>
    <row r="326" spans="6:21">
      <c r="F326" s="12"/>
      <c r="P326" s="12"/>
      <c r="Q326" s="12"/>
      <c r="R326" s="12"/>
      <c r="S326" s="12"/>
      <c r="T326" s="12"/>
      <c r="U326" s="12"/>
    </row>
    <row r="327" spans="6:21">
      <c r="F327" s="12"/>
      <c r="P327" s="12"/>
      <c r="Q327" s="12"/>
      <c r="R327" s="12"/>
      <c r="S327" s="12"/>
      <c r="T327" s="12"/>
      <c r="U327" s="12"/>
    </row>
    <row r="328" spans="6:21">
      <c r="F328" s="12"/>
      <c r="P328" s="12"/>
      <c r="Q328" s="12"/>
      <c r="R328" s="12"/>
      <c r="S328" s="12"/>
      <c r="T328" s="12"/>
      <c r="U328" s="12"/>
    </row>
    <row r="329" spans="6:21">
      <c r="F329" s="12"/>
      <c r="P329" s="12"/>
      <c r="Q329" s="12"/>
      <c r="R329" s="12"/>
      <c r="S329" s="12"/>
      <c r="T329" s="12"/>
      <c r="U329" s="12"/>
    </row>
    <row r="330" spans="6:21">
      <c r="F330" s="12"/>
      <c r="P330" s="12"/>
      <c r="Q330" s="12"/>
      <c r="R330" s="12"/>
      <c r="S330" s="12"/>
      <c r="T330" s="12"/>
      <c r="U330" s="12"/>
    </row>
    <row r="331" spans="6:21">
      <c r="F331" s="12"/>
      <c r="P331" s="12"/>
      <c r="Q331" s="12"/>
      <c r="R331" s="12"/>
      <c r="S331" s="12"/>
      <c r="T331" s="12"/>
      <c r="U331" s="12"/>
    </row>
    <row r="332" spans="6:21">
      <c r="F332" s="12"/>
      <c r="P332" s="12"/>
      <c r="Q332" s="12"/>
      <c r="R332" s="12"/>
      <c r="S332" s="12"/>
      <c r="T332" s="12"/>
      <c r="U332" s="12"/>
    </row>
    <row r="333" spans="6:21">
      <c r="F333" s="12"/>
      <c r="P333" s="12"/>
      <c r="Q333" s="12"/>
      <c r="R333" s="12"/>
      <c r="S333" s="12"/>
      <c r="T333" s="12"/>
      <c r="U333" s="12"/>
    </row>
    <row r="334" spans="6:21">
      <c r="F334" s="12"/>
      <c r="P334" s="12"/>
      <c r="Q334" s="12"/>
      <c r="R334" s="12"/>
      <c r="S334" s="12"/>
      <c r="T334" s="12"/>
      <c r="U334" s="12"/>
    </row>
    <row r="335" spans="6:21">
      <c r="P335" s="12"/>
      <c r="Q335" s="12"/>
      <c r="R335" s="12"/>
      <c r="S335" s="12"/>
      <c r="T335" s="12"/>
      <c r="U335" s="12"/>
    </row>
    <row r="336" spans="6:21">
      <c r="P336" s="12"/>
      <c r="Q336" s="12"/>
      <c r="R336" s="12"/>
      <c r="S336" s="12"/>
      <c r="T336" s="12"/>
      <c r="U336" s="12"/>
    </row>
    <row r="337" spans="16:21">
      <c r="P337" s="12"/>
      <c r="Q337" s="12"/>
      <c r="R337" s="12"/>
      <c r="S337" s="12"/>
      <c r="T337" s="12"/>
      <c r="U337" s="12"/>
    </row>
    <row r="338" spans="16:21">
      <c r="P338" s="12"/>
      <c r="Q338" s="12"/>
      <c r="R338" s="12"/>
      <c r="S338" s="12"/>
      <c r="T338" s="12"/>
      <c r="U338" s="12"/>
    </row>
    <row r="339" spans="16:21">
      <c r="P339" s="12"/>
      <c r="Q339" s="12"/>
      <c r="R339" s="12"/>
      <c r="S339" s="12"/>
      <c r="T339" s="12"/>
      <c r="U339" s="12"/>
    </row>
    <row r="340" spans="16:21">
      <c r="P340" s="12"/>
      <c r="Q340" s="12"/>
      <c r="R340" s="12"/>
      <c r="S340" s="12"/>
      <c r="T340" s="12"/>
      <c r="U340" s="12"/>
    </row>
    <row r="341" spans="16:21">
      <c r="P341" s="12"/>
      <c r="Q341" s="12"/>
      <c r="R341" s="12"/>
      <c r="S341" s="12"/>
      <c r="T341" s="12"/>
      <c r="U341" s="12"/>
    </row>
    <row r="342" spans="16:21">
      <c r="P342" s="12"/>
      <c r="Q342" s="12"/>
      <c r="R342" s="12"/>
      <c r="S342" s="12"/>
      <c r="T342" s="12"/>
      <c r="U342" s="12"/>
    </row>
    <row r="343" spans="16:21">
      <c r="P343" s="12"/>
      <c r="Q343" s="12"/>
      <c r="R343" s="12"/>
      <c r="S343" s="12"/>
      <c r="T343" s="12"/>
      <c r="U343" s="12"/>
    </row>
    <row r="344" spans="16:21">
      <c r="P344" s="12"/>
      <c r="Q344" s="12"/>
      <c r="R344" s="12"/>
      <c r="S344" s="12"/>
      <c r="T344" s="12"/>
      <c r="U344" s="12"/>
    </row>
    <row r="345" spans="16:21">
      <c r="P345" s="12"/>
      <c r="Q345" s="12"/>
      <c r="R345" s="12"/>
      <c r="S345" s="12"/>
      <c r="T345" s="12"/>
      <c r="U345" s="12"/>
    </row>
    <row r="346" spans="16:21">
      <c r="P346" s="12"/>
      <c r="Q346" s="12"/>
      <c r="R346" s="12"/>
      <c r="S346" s="12"/>
      <c r="T346" s="12"/>
      <c r="U346" s="12"/>
    </row>
    <row r="347" spans="16:21">
      <c r="Q347" s="12"/>
    </row>
    <row r="348" spans="16:21">
      <c r="Q348" s="12"/>
    </row>
    <row r="349" spans="16:21">
      <c r="Q349" s="12"/>
    </row>
    <row r="350" spans="16:21">
      <c r="Q350" s="12"/>
    </row>
    <row r="351" spans="16:21">
      <c r="Q351" s="12"/>
    </row>
    <row r="352" spans="16:21">
      <c r="Q352" s="12"/>
    </row>
    <row r="353" spans="17:17">
      <c r="Q353" s="12"/>
    </row>
    <row r="354" spans="17:17">
      <c r="Q354" s="12"/>
    </row>
    <row r="355" spans="17:17">
      <c r="Q355" s="12"/>
    </row>
    <row r="356" spans="17:17">
      <c r="Q356" s="12"/>
    </row>
    <row r="357" spans="17:17">
      <c r="Q357" s="12"/>
    </row>
    <row r="358" spans="17:17">
      <c r="Q358" s="12"/>
    </row>
    <row r="359" spans="17:17">
      <c r="Q359" s="12"/>
    </row>
    <row r="360" spans="17:17">
      <c r="Q360" s="12"/>
    </row>
    <row r="361" spans="17:17">
      <c r="Q361" s="12"/>
    </row>
    <row r="362" spans="17:17">
      <c r="Q362" s="12"/>
    </row>
    <row r="363" spans="17:17">
      <c r="Q363" s="12"/>
    </row>
    <row r="364" spans="17:17">
      <c r="Q364" s="12"/>
    </row>
    <row r="365" spans="17:17">
      <c r="Q365" s="12"/>
    </row>
    <row r="366" spans="17:17">
      <c r="Q366" s="12"/>
    </row>
    <row r="367" spans="17:17">
      <c r="Q367" s="12"/>
    </row>
    <row r="368" spans="17:17">
      <c r="Q368" s="12"/>
    </row>
    <row r="369" spans="17:17">
      <c r="Q369" s="12"/>
    </row>
    <row r="370" spans="17:17">
      <c r="Q370" s="12"/>
    </row>
    <row r="371" spans="17:17">
      <c r="Q371" s="12"/>
    </row>
    <row r="372" spans="17:17">
      <c r="Q372" s="12"/>
    </row>
    <row r="373" spans="17:17">
      <c r="Q373" s="12"/>
    </row>
    <row r="374" spans="17:17">
      <c r="Q374" s="12"/>
    </row>
    <row r="375" spans="17:17">
      <c r="Q375" s="12"/>
    </row>
    <row r="376" spans="17:17">
      <c r="Q376" s="12"/>
    </row>
    <row r="377" spans="17:17">
      <c r="Q377" s="12"/>
    </row>
    <row r="378" spans="17:17">
      <c r="Q378" s="12"/>
    </row>
    <row r="379" spans="17:17">
      <c r="Q379" s="12"/>
    </row>
    <row r="380" spans="17:17">
      <c r="Q380" s="12"/>
    </row>
    <row r="381" spans="17:17">
      <c r="Q381" s="12"/>
    </row>
    <row r="382" spans="17:17">
      <c r="Q382" s="12"/>
    </row>
    <row r="383" spans="17:17">
      <c r="Q383" s="12"/>
    </row>
    <row r="384" spans="17:17">
      <c r="Q384" s="12"/>
    </row>
    <row r="385" spans="17:17">
      <c r="Q385" s="12"/>
    </row>
    <row r="386" spans="17:17">
      <c r="Q386" s="12"/>
    </row>
    <row r="387" spans="17:17">
      <c r="Q387" s="12"/>
    </row>
    <row r="388" spans="17:17">
      <c r="Q388" s="12"/>
    </row>
    <row r="389" spans="17:17">
      <c r="Q389" s="12"/>
    </row>
    <row r="390" spans="17:17">
      <c r="Q390" s="12"/>
    </row>
    <row r="391" spans="17:17">
      <c r="Q391" s="12"/>
    </row>
    <row r="392" spans="17:17">
      <c r="Q392" s="12"/>
    </row>
    <row r="393" spans="17:17">
      <c r="Q393" s="12"/>
    </row>
    <row r="394" spans="17:17">
      <c r="Q394" s="12"/>
    </row>
    <row r="395" spans="17:17">
      <c r="Q395" s="12"/>
    </row>
    <row r="396" spans="17:17">
      <c r="Q396" s="12"/>
    </row>
    <row r="397" spans="17:17">
      <c r="Q397" s="12"/>
    </row>
    <row r="398" spans="17:17">
      <c r="Q398" s="12"/>
    </row>
    <row r="399" spans="17:17">
      <c r="Q399" s="12"/>
    </row>
    <row r="400" spans="17:17">
      <c r="Q400" s="12"/>
    </row>
    <row r="401" spans="17:17">
      <c r="Q401" s="12"/>
    </row>
    <row r="402" spans="17:17">
      <c r="Q402" s="12"/>
    </row>
    <row r="403" spans="17:17">
      <c r="Q403" s="12"/>
    </row>
    <row r="404" spans="17:17">
      <c r="Q404" s="12"/>
    </row>
    <row r="405" spans="17:17">
      <c r="Q405" s="12"/>
    </row>
    <row r="406" spans="17:17">
      <c r="Q406" s="12"/>
    </row>
    <row r="407" spans="17:17">
      <c r="Q407" s="12"/>
    </row>
    <row r="408" spans="17:17">
      <c r="Q408" s="12"/>
    </row>
    <row r="409" spans="17:17">
      <c r="Q409" s="12"/>
    </row>
    <row r="410" spans="17:17">
      <c r="Q410" s="12"/>
    </row>
    <row r="411" spans="17:17">
      <c r="Q411" s="12"/>
    </row>
    <row r="412" spans="17:17">
      <c r="Q412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D99"/>
  <sheetViews>
    <sheetView workbookViewId="0">
      <selection activeCell="H14" sqref="H14"/>
    </sheetView>
  </sheetViews>
  <sheetFormatPr defaultRowHeight="15"/>
  <cols>
    <col min="11" max="11" width="10.140625" bestFit="1" customWidth="1"/>
    <col min="26" max="26" width="12" bestFit="1" customWidth="1"/>
    <col min="31" max="31" width="10" bestFit="1" customWidth="1"/>
    <col min="40" max="40" width="10" bestFit="1" customWidth="1"/>
  </cols>
  <sheetData>
    <row r="1" spans="1:108" ht="38.25">
      <c r="A1" t="s">
        <v>73</v>
      </c>
      <c r="C1">
        <v>2009</v>
      </c>
      <c r="J1" s="5" t="s">
        <v>62</v>
      </c>
      <c r="K1" s="5" t="s">
        <v>63</v>
      </c>
      <c r="L1" s="6" t="s">
        <v>64</v>
      </c>
      <c r="M1" s="7" t="s">
        <v>65</v>
      </c>
      <c r="N1" s="7" t="s">
        <v>66</v>
      </c>
      <c r="O1" s="7" t="s">
        <v>67</v>
      </c>
      <c r="P1" s="7" t="s">
        <v>68</v>
      </c>
      <c r="Q1" s="7" t="s">
        <v>69</v>
      </c>
      <c r="R1" s="7" t="s">
        <v>70</v>
      </c>
      <c r="S1" s="7" t="s">
        <v>71</v>
      </c>
      <c r="T1" s="7" t="s">
        <v>72</v>
      </c>
      <c r="W1" s="12" t="s">
        <v>263</v>
      </c>
      <c r="X1" s="12" t="s">
        <v>140</v>
      </c>
      <c r="Y1" s="20" t="s">
        <v>141</v>
      </c>
      <c r="Z1" s="20" t="s">
        <v>142</v>
      </c>
      <c r="AC1" s="19" t="s">
        <v>143</v>
      </c>
      <c r="AD1" s="19"/>
      <c r="AE1" s="19"/>
      <c r="AF1" s="19"/>
      <c r="AJ1" s="19" t="s">
        <v>147</v>
      </c>
      <c r="AK1" s="19"/>
      <c r="AL1" s="19"/>
      <c r="AM1" s="19"/>
      <c r="AN1" s="19"/>
      <c r="AO1" s="19"/>
      <c r="AP1" s="19"/>
    </row>
    <row r="2" spans="1:108">
      <c r="G2" s="12" t="s">
        <v>230</v>
      </c>
      <c r="J2" s="13">
        <v>788605</v>
      </c>
      <c r="K2" s="13">
        <v>2325915</v>
      </c>
      <c r="L2" s="13">
        <v>467122</v>
      </c>
      <c r="M2" s="13">
        <v>3581642</v>
      </c>
      <c r="N2" s="14">
        <v>788605</v>
      </c>
      <c r="O2" s="14">
        <v>2325915</v>
      </c>
      <c r="P2" s="14">
        <v>467122</v>
      </c>
      <c r="Q2" s="14">
        <v>3581642</v>
      </c>
      <c r="R2" s="14">
        <v>7163284</v>
      </c>
      <c r="S2" s="14">
        <v>7098624</v>
      </c>
      <c r="T2" s="14">
        <v>281519</v>
      </c>
      <c r="X2" t="s">
        <v>38</v>
      </c>
      <c r="Y2" t="s">
        <v>39</v>
      </c>
      <c r="Z2" t="s">
        <v>40</v>
      </c>
      <c r="AC2" s="12" t="s">
        <v>38</v>
      </c>
      <c r="AD2" s="12" t="s">
        <v>39</v>
      </c>
      <c r="AE2" s="12" t="s">
        <v>40</v>
      </c>
      <c r="AM2" t="s">
        <v>121</v>
      </c>
      <c r="AN2">
        <f>AN3 - 2009</f>
        <v>1</v>
      </c>
      <c r="AO2" s="12">
        <f t="shared" ref="AO2:CV2" si="0">AO3 - 2009</f>
        <v>2</v>
      </c>
      <c r="AP2" s="12">
        <f t="shared" si="0"/>
        <v>3</v>
      </c>
      <c r="AQ2" s="12">
        <f t="shared" si="0"/>
        <v>4</v>
      </c>
      <c r="AR2" s="12">
        <f t="shared" si="0"/>
        <v>5</v>
      </c>
      <c r="AS2" s="12">
        <f t="shared" si="0"/>
        <v>6</v>
      </c>
      <c r="AT2" s="12">
        <f t="shared" si="0"/>
        <v>7</v>
      </c>
      <c r="AU2" s="12">
        <f t="shared" si="0"/>
        <v>8</v>
      </c>
      <c r="AV2" s="12">
        <f t="shared" si="0"/>
        <v>9</v>
      </c>
      <c r="AW2" s="12">
        <f t="shared" si="0"/>
        <v>10</v>
      </c>
      <c r="AX2" s="12">
        <f t="shared" si="0"/>
        <v>11</v>
      </c>
      <c r="AY2" s="12">
        <f t="shared" si="0"/>
        <v>12</v>
      </c>
      <c r="AZ2" s="12">
        <f t="shared" si="0"/>
        <v>13</v>
      </c>
      <c r="BA2" s="12">
        <f t="shared" si="0"/>
        <v>14</v>
      </c>
      <c r="BB2" s="12">
        <f t="shared" si="0"/>
        <v>15</v>
      </c>
      <c r="BC2" s="12">
        <f t="shared" si="0"/>
        <v>16</v>
      </c>
      <c r="BD2" s="12">
        <f t="shared" si="0"/>
        <v>17</v>
      </c>
      <c r="BE2" s="12">
        <f t="shared" si="0"/>
        <v>18</v>
      </c>
      <c r="BF2" s="12">
        <f t="shared" si="0"/>
        <v>19</v>
      </c>
      <c r="BG2" s="12">
        <f t="shared" si="0"/>
        <v>20</v>
      </c>
      <c r="BH2" s="12">
        <f t="shared" si="0"/>
        <v>21</v>
      </c>
      <c r="BI2" s="12">
        <f t="shared" si="0"/>
        <v>22</v>
      </c>
      <c r="BJ2" s="12">
        <f t="shared" si="0"/>
        <v>23</v>
      </c>
      <c r="BK2" s="12">
        <f t="shared" si="0"/>
        <v>24</v>
      </c>
      <c r="BL2" s="12">
        <f t="shared" si="0"/>
        <v>25</v>
      </c>
      <c r="BM2" s="12">
        <f t="shared" si="0"/>
        <v>26</v>
      </c>
      <c r="BN2" s="12">
        <f t="shared" si="0"/>
        <v>27</v>
      </c>
      <c r="BO2" s="12">
        <f t="shared" si="0"/>
        <v>28</v>
      </c>
      <c r="BP2" s="12">
        <f t="shared" si="0"/>
        <v>29</v>
      </c>
      <c r="BQ2" s="12">
        <f t="shared" si="0"/>
        <v>30</v>
      </c>
      <c r="BR2" s="12">
        <f t="shared" si="0"/>
        <v>31</v>
      </c>
      <c r="BS2" s="12">
        <f t="shared" si="0"/>
        <v>32</v>
      </c>
      <c r="BT2" s="12">
        <f t="shared" si="0"/>
        <v>33</v>
      </c>
      <c r="BU2" s="12">
        <f t="shared" si="0"/>
        <v>34</v>
      </c>
      <c r="BV2" s="12">
        <f t="shared" si="0"/>
        <v>35</v>
      </c>
      <c r="BW2" s="12">
        <f t="shared" si="0"/>
        <v>36</v>
      </c>
      <c r="BX2" s="12">
        <f t="shared" si="0"/>
        <v>37</v>
      </c>
      <c r="BY2" s="12">
        <f t="shared" si="0"/>
        <v>38</v>
      </c>
      <c r="BZ2" s="12">
        <f t="shared" si="0"/>
        <v>39</v>
      </c>
      <c r="CA2" s="12">
        <f t="shared" si="0"/>
        <v>40</v>
      </c>
      <c r="CB2" s="12">
        <f t="shared" si="0"/>
        <v>41</v>
      </c>
      <c r="CC2" s="12">
        <f t="shared" si="0"/>
        <v>42</v>
      </c>
      <c r="CD2" s="12">
        <f t="shared" si="0"/>
        <v>43</v>
      </c>
      <c r="CE2" s="12">
        <f t="shared" si="0"/>
        <v>44</v>
      </c>
      <c r="CF2" s="12">
        <f t="shared" si="0"/>
        <v>45</v>
      </c>
      <c r="CG2" s="12">
        <f t="shared" si="0"/>
        <v>46</v>
      </c>
      <c r="CH2" s="12">
        <f t="shared" si="0"/>
        <v>47</v>
      </c>
      <c r="CI2" s="12">
        <f t="shared" si="0"/>
        <v>48</v>
      </c>
      <c r="CJ2" s="12">
        <f t="shared" si="0"/>
        <v>49</v>
      </c>
      <c r="CK2" s="12">
        <f t="shared" si="0"/>
        <v>50</v>
      </c>
      <c r="CL2" s="12">
        <f t="shared" si="0"/>
        <v>51</v>
      </c>
      <c r="CM2" s="12">
        <f t="shared" si="0"/>
        <v>52</v>
      </c>
      <c r="CN2" s="12">
        <f t="shared" si="0"/>
        <v>53</v>
      </c>
      <c r="CO2" s="12">
        <f t="shared" si="0"/>
        <v>54</v>
      </c>
      <c r="CP2" s="12">
        <f t="shared" si="0"/>
        <v>55</v>
      </c>
      <c r="CQ2" s="12">
        <f t="shared" si="0"/>
        <v>56</v>
      </c>
      <c r="CR2" s="12">
        <f t="shared" si="0"/>
        <v>57</v>
      </c>
      <c r="CS2" s="12">
        <f t="shared" si="0"/>
        <v>58</v>
      </c>
      <c r="CT2" s="12">
        <f t="shared" si="0"/>
        <v>59</v>
      </c>
      <c r="CU2" s="12">
        <f t="shared" si="0"/>
        <v>60</v>
      </c>
      <c r="CV2" s="12">
        <f t="shared" si="0"/>
        <v>61</v>
      </c>
    </row>
    <row r="3" spans="1:108">
      <c r="G3" s="12" t="s">
        <v>231</v>
      </c>
      <c r="J3" s="13">
        <v>38273</v>
      </c>
      <c r="K3" s="13">
        <v>50376</v>
      </c>
      <c r="L3" s="13">
        <v>25477</v>
      </c>
      <c r="M3" s="13">
        <v>114126</v>
      </c>
      <c r="N3" s="14">
        <v>38273</v>
      </c>
      <c r="O3" s="14">
        <v>50376</v>
      </c>
      <c r="P3" s="14">
        <v>25477</v>
      </c>
      <c r="Q3" s="14">
        <v>114126</v>
      </c>
      <c r="R3" s="14">
        <v>228252</v>
      </c>
      <c r="S3" s="14">
        <v>226652</v>
      </c>
      <c r="T3" s="14">
        <v>279</v>
      </c>
      <c r="W3" t="s">
        <v>138</v>
      </c>
      <c r="X3" s="12">
        <v>9.6999999999999993</v>
      </c>
      <c r="Y3" s="12">
        <v>4.0999999999999996</v>
      </c>
      <c r="Z3" s="12">
        <v>22.4</v>
      </c>
      <c r="AB3" s="12" t="s">
        <v>138</v>
      </c>
      <c r="AC3">
        <f>100 - AC4-AC5</f>
        <v>43.891402714932127</v>
      </c>
      <c r="AD3" s="12">
        <f>100 - AD4-AD5</f>
        <v>7.6350093109869732</v>
      </c>
      <c r="AE3" s="12">
        <f>100 - AE4-AE5</f>
        <v>92.56198347107437</v>
      </c>
      <c r="AJ3" t="s">
        <v>40</v>
      </c>
      <c r="AN3">
        <v>2010</v>
      </c>
      <c r="AO3">
        <f>AN3 +1</f>
        <v>2011</v>
      </c>
      <c r="AP3" s="12">
        <f t="shared" ref="AP3:CV3" si="1">AO3 +1</f>
        <v>2012</v>
      </c>
      <c r="AQ3" s="12">
        <f t="shared" si="1"/>
        <v>2013</v>
      </c>
      <c r="AR3" s="12">
        <f t="shared" si="1"/>
        <v>2014</v>
      </c>
      <c r="AS3" s="12">
        <f t="shared" si="1"/>
        <v>2015</v>
      </c>
      <c r="AT3" s="12">
        <f t="shared" si="1"/>
        <v>2016</v>
      </c>
      <c r="AU3" s="12">
        <f t="shared" si="1"/>
        <v>2017</v>
      </c>
      <c r="AV3" s="12">
        <f t="shared" si="1"/>
        <v>2018</v>
      </c>
      <c r="AW3" s="12">
        <f t="shared" si="1"/>
        <v>2019</v>
      </c>
      <c r="AX3" s="12">
        <f t="shared" si="1"/>
        <v>2020</v>
      </c>
      <c r="AY3" s="12">
        <f t="shared" si="1"/>
        <v>2021</v>
      </c>
      <c r="AZ3" s="12">
        <f t="shared" si="1"/>
        <v>2022</v>
      </c>
      <c r="BA3" s="12">
        <f t="shared" si="1"/>
        <v>2023</v>
      </c>
      <c r="BB3" s="12">
        <f t="shared" si="1"/>
        <v>2024</v>
      </c>
      <c r="BC3" s="12">
        <f t="shared" si="1"/>
        <v>2025</v>
      </c>
      <c r="BD3" s="12">
        <f t="shared" si="1"/>
        <v>2026</v>
      </c>
      <c r="BE3" s="12">
        <f t="shared" si="1"/>
        <v>2027</v>
      </c>
      <c r="BF3" s="12">
        <f t="shared" si="1"/>
        <v>2028</v>
      </c>
      <c r="BG3" s="12">
        <f t="shared" si="1"/>
        <v>2029</v>
      </c>
      <c r="BH3" s="12">
        <f t="shared" si="1"/>
        <v>2030</v>
      </c>
      <c r="BI3" s="12">
        <f t="shared" si="1"/>
        <v>2031</v>
      </c>
      <c r="BJ3" s="12">
        <f t="shared" si="1"/>
        <v>2032</v>
      </c>
      <c r="BK3" s="12">
        <f t="shared" si="1"/>
        <v>2033</v>
      </c>
      <c r="BL3" s="12">
        <f t="shared" si="1"/>
        <v>2034</v>
      </c>
      <c r="BM3" s="12">
        <f t="shared" si="1"/>
        <v>2035</v>
      </c>
      <c r="BN3" s="12">
        <f t="shared" si="1"/>
        <v>2036</v>
      </c>
      <c r="BO3" s="12">
        <f t="shared" si="1"/>
        <v>2037</v>
      </c>
      <c r="BP3" s="12">
        <f t="shared" si="1"/>
        <v>2038</v>
      </c>
      <c r="BQ3" s="12">
        <f t="shared" si="1"/>
        <v>2039</v>
      </c>
      <c r="BR3" s="12">
        <f t="shared" si="1"/>
        <v>2040</v>
      </c>
      <c r="BS3" s="12">
        <f t="shared" si="1"/>
        <v>2041</v>
      </c>
      <c r="BT3" s="12">
        <f t="shared" si="1"/>
        <v>2042</v>
      </c>
      <c r="BU3" s="12">
        <f t="shared" si="1"/>
        <v>2043</v>
      </c>
      <c r="BV3" s="12">
        <f t="shared" si="1"/>
        <v>2044</v>
      </c>
      <c r="BW3" s="12">
        <f t="shared" si="1"/>
        <v>2045</v>
      </c>
      <c r="BX3" s="12">
        <f t="shared" si="1"/>
        <v>2046</v>
      </c>
      <c r="BY3" s="12">
        <f t="shared" si="1"/>
        <v>2047</v>
      </c>
      <c r="BZ3" s="12">
        <f t="shared" si="1"/>
        <v>2048</v>
      </c>
      <c r="CA3" s="12">
        <f t="shared" si="1"/>
        <v>2049</v>
      </c>
      <c r="CB3" s="12">
        <f t="shared" si="1"/>
        <v>2050</v>
      </c>
      <c r="CC3" s="12">
        <f t="shared" si="1"/>
        <v>2051</v>
      </c>
      <c r="CD3" s="12">
        <f t="shared" si="1"/>
        <v>2052</v>
      </c>
      <c r="CE3" s="12">
        <f t="shared" si="1"/>
        <v>2053</v>
      </c>
      <c r="CF3" s="12">
        <f t="shared" si="1"/>
        <v>2054</v>
      </c>
      <c r="CG3" s="12">
        <f>CF3 +1</f>
        <v>2055</v>
      </c>
      <c r="CH3" s="12">
        <f t="shared" si="1"/>
        <v>2056</v>
      </c>
      <c r="CI3" s="12">
        <f t="shared" si="1"/>
        <v>2057</v>
      </c>
      <c r="CJ3" s="12">
        <f t="shared" si="1"/>
        <v>2058</v>
      </c>
      <c r="CK3" s="12">
        <f t="shared" si="1"/>
        <v>2059</v>
      </c>
      <c r="CL3" s="12">
        <f t="shared" si="1"/>
        <v>2060</v>
      </c>
      <c r="CM3" s="12">
        <f t="shared" si="1"/>
        <v>2061</v>
      </c>
      <c r="CN3" s="12">
        <f t="shared" si="1"/>
        <v>2062</v>
      </c>
      <c r="CO3" s="12">
        <f t="shared" si="1"/>
        <v>2063</v>
      </c>
      <c r="CP3" s="12">
        <f t="shared" si="1"/>
        <v>2064</v>
      </c>
      <c r="CQ3" s="12">
        <f t="shared" si="1"/>
        <v>2065</v>
      </c>
      <c r="CR3" s="12">
        <f t="shared" si="1"/>
        <v>2066</v>
      </c>
      <c r="CS3" s="12">
        <f t="shared" si="1"/>
        <v>2067</v>
      </c>
      <c r="CT3" s="12">
        <f t="shared" si="1"/>
        <v>2068</v>
      </c>
      <c r="CU3" s="12">
        <f t="shared" si="1"/>
        <v>2069</v>
      </c>
      <c r="CV3" s="12">
        <f t="shared" si="1"/>
        <v>2070</v>
      </c>
      <c r="CW3" s="12"/>
      <c r="CX3" s="12"/>
      <c r="CY3" s="12"/>
      <c r="CZ3" s="12"/>
      <c r="DA3" s="12"/>
      <c r="DB3" s="12"/>
      <c r="DC3" s="12"/>
      <c r="DD3" s="12"/>
    </row>
    <row r="4" spans="1:108">
      <c r="G4" s="12" t="s">
        <v>232</v>
      </c>
      <c r="J4" s="13">
        <v>24603</v>
      </c>
      <c r="K4" s="13">
        <v>56232</v>
      </c>
      <c r="L4" s="13">
        <v>15355</v>
      </c>
      <c r="M4" s="13">
        <v>96190</v>
      </c>
      <c r="N4" s="14">
        <v>24603</v>
      </c>
      <c r="O4" s="14">
        <v>56232</v>
      </c>
      <c r="P4" s="14">
        <v>15355</v>
      </c>
      <c r="Q4" s="14">
        <v>96190</v>
      </c>
      <c r="R4" s="14">
        <v>192380</v>
      </c>
      <c r="S4" s="14">
        <v>197222</v>
      </c>
      <c r="T4" s="14">
        <v>532</v>
      </c>
      <c r="W4" t="s">
        <v>139</v>
      </c>
      <c r="X4" s="12">
        <v>5</v>
      </c>
      <c r="Y4" s="12">
        <v>6.7</v>
      </c>
      <c r="Z4" s="12">
        <v>0.9</v>
      </c>
      <c r="AA4" s="12"/>
      <c r="AB4" s="12" t="s">
        <v>139</v>
      </c>
      <c r="AC4" s="12">
        <f>X4*100/X6*Variables!E23</f>
        <v>22.624434389140269</v>
      </c>
      <c r="AD4" s="12">
        <f>Y4*100/Y6*Variables!E23</f>
        <v>12.476722532588454</v>
      </c>
      <c r="AE4" s="12">
        <f>Z4*100/Z6*Variables!E23</f>
        <v>3.7190082644628104</v>
      </c>
      <c r="AF4" s="12"/>
      <c r="AH4" s="12"/>
      <c r="AI4" s="12"/>
      <c r="AJ4" s="12" t="s">
        <v>230</v>
      </c>
      <c r="AN4">
        <f>AA47*Variables!E26</f>
        <v>121966.92936325804</v>
      </c>
      <c r="AO4">
        <f>AN4*(1 + Tickets!D$267/100)</f>
        <v>124725.82130545494</v>
      </c>
      <c r="AP4" s="12">
        <f>AO4*(1 + Tickets!E$267/100)</f>
        <v>126071.61291734081</v>
      </c>
      <c r="AQ4" s="12">
        <f>AP4*(1 + Tickets!F$267/100)</f>
        <v>128245.08752403576</v>
      </c>
      <c r="AR4" s="12">
        <f>AQ4*(1 + Tickets!G$267/100)</f>
        <v>131066.47944956455</v>
      </c>
      <c r="AS4" s="12">
        <f>AR4*(1 + Tickets!H$267/100)</f>
        <v>133163.54312075759</v>
      </c>
      <c r="AT4" s="12">
        <f>AS4*(1 + Tickets!I$267/100)</f>
        <v>135693.65044005198</v>
      </c>
      <c r="AU4" s="12">
        <f>AT4*(1 + Tickets!J$267/100)</f>
        <v>138271.82979841295</v>
      </c>
      <c r="AV4" s="12">
        <f>AU4*(1 + Tickets!K$267/100)</f>
        <v>141037.26639438121</v>
      </c>
      <c r="AW4" s="12">
        <f>AV4*(1 + Tickets!L$267/100)</f>
        <v>143928.53035546601</v>
      </c>
      <c r="AX4" s="12">
        <f>AW4*(1 + Tickets!M$267/100)</f>
        <v>146951.02949293077</v>
      </c>
      <c r="AY4" s="12">
        <f>AX4*(1 + Tickets!N$267/100)</f>
        <v>150110.47662702878</v>
      </c>
      <c r="AZ4" s="12">
        <f>AY4*(1 + Tickets!O$267/100)</f>
        <v>153412.90711282342</v>
      </c>
      <c r="BA4" s="12">
        <f>AZ4*(1 + Tickets!P$267/100)</f>
        <v>156787.99106930554</v>
      </c>
      <c r="BB4" s="12">
        <f>BA4*(1 + Tickets!Q$267/100)</f>
        <v>160237.32687283028</v>
      </c>
      <c r="BC4" s="12">
        <f>BB4*(1 + Tickets!R$267/100)</f>
        <v>163762.54806403254</v>
      </c>
      <c r="BD4" s="12">
        <f>BC4*(1 + Tickets!S$267/100)</f>
        <v>167365.32412144126</v>
      </c>
      <c r="BE4" s="12">
        <f>BD4*(1 + Tickets!T$267/100)</f>
        <v>171047.36125211295</v>
      </c>
      <c r="BF4" s="12">
        <f>BE4*(1 + Tickets!U$267/100)</f>
        <v>174810.40319965946</v>
      </c>
      <c r="BG4" s="12">
        <f>BF4*(1 + Tickets!V$267/100)</f>
        <v>178656.23207005198</v>
      </c>
      <c r="BH4" s="12">
        <f>BG4*(1 + Tickets!W$267/100)</f>
        <v>178656.23207005198</v>
      </c>
      <c r="BI4" s="12">
        <f>BH4*(1 + Tickets!X$267/100)</f>
        <v>178656.23207005198</v>
      </c>
      <c r="BJ4" s="12">
        <f>BI4*(1 + Tickets!Y$267/100)</f>
        <v>178656.23207005198</v>
      </c>
      <c r="BK4" s="12">
        <f>BJ4*(1 + Tickets!Z$267/100)</f>
        <v>178656.23207005198</v>
      </c>
      <c r="BL4" s="12">
        <f>BK4*(1 + Tickets!AA$267/100)</f>
        <v>178656.23207005198</v>
      </c>
      <c r="BM4" s="12">
        <f>BL4*(1 + Tickets!AB$267/100)</f>
        <v>178656.23207005198</v>
      </c>
      <c r="BN4" s="12">
        <f>BM4*(1 + Tickets!AC$267/100)</f>
        <v>178656.23207005198</v>
      </c>
      <c r="BO4" s="12">
        <f>BN4*(1 + Tickets!AD$267/100)</f>
        <v>178656.23207005198</v>
      </c>
      <c r="BP4" s="12">
        <f>BO4*(1 + Tickets!AE$267/100)</f>
        <v>178656.23207005198</v>
      </c>
      <c r="BQ4" s="12">
        <f>BP4*(1 + Tickets!AF$267/100)</f>
        <v>178656.23207005198</v>
      </c>
      <c r="BR4" s="12">
        <f>BQ4*(1 + Tickets!AG$267/100)</f>
        <v>178656.23207005198</v>
      </c>
      <c r="BS4" s="12">
        <f>BR4*(1 + Tickets!AH$267/100)</f>
        <v>178656.23207005198</v>
      </c>
      <c r="BT4" s="12">
        <f>BS4*(1 + Tickets!AI$267/100)</f>
        <v>178656.23207005198</v>
      </c>
      <c r="BU4" s="12">
        <f>BT4*(1 + Tickets!AJ$267/100)</f>
        <v>178656.23207005198</v>
      </c>
      <c r="BV4" s="12">
        <f>BU4*(1 + Tickets!AK$267/100)</f>
        <v>178656.23207005198</v>
      </c>
      <c r="BW4" s="12">
        <f>BV4*(1 + Tickets!AL$267/100)</f>
        <v>178656.23207005198</v>
      </c>
      <c r="BX4" s="12">
        <f>BW4*(1 + Tickets!AM$267/100)</f>
        <v>178656.23207005198</v>
      </c>
      <c r="BY4" s="12">
        <f>BX4*(1 + Tickets!AN$267/100)</f>
        <v>178656.23207005198</v>
      </c>
      <c r="BZ4" s="12">
        <f>BY4*(1 + Tickets!AO$267/100)</f>
        <v>178656.23207005198</v>
      </c>
      <c r="CA4" s="12">
        <f>BZ4*(1 + Tickets!AP$267/100)</f>
        <v>178656.23207005198</v>
      </c>
      <c r="CB4" s="12">
        <f>CA4*(1 + Tickets!AQ$267/100)</f>
        <v>178656.23207005198</v>
      </c>
      <c r="CC4" s="12">
        <f>CB4*(1 + Tickets!AR$267/100)</f>
        <v>178656.23207005198</v>
      </c>
      <c r="CD4" s="12">
        <f>CC4*(1 + Tickets!AS$267/100)</f>
        <v>178656.23207005198</v>
      </c>
      <c r="CE4" s="12">
        <f>CD4*(1 + Tickets!AT$267/100)</f>
        <v>178656.23207005198</v>
      </c>
      <c r="CF4" s="12">
        <f>CE4*(1 + Tickets!AU$267/100)</f>
        <v>178656.23207005198</v>
      </c>
      <c r="CG4" s="12">
        <f>CF4*(1 + Tickets!AV$267/100)</f>
        <v>178656.23207005198</v>
      </c>
      <c r="CH4" s="12">
        <f>CG4*(1 + Tickets!AW$267/100)</f>
        <v>178656.23207005198</v>
      </c>
      <c r="CI4" s="12">
        <f>CH4*(1 + Tickets!AX$267/100)</f>
        <v>178656.23207005198</v>
      </c>
      <c r="CJ4" s="12">
        <f>CI4*(1 + Tickets!AY$267/100)</f>
        <v>178656.23207005198</v>
      </c>
      <c r="CK4" s="12">
        <f>CJ4*(1 + Tickets!AZ$267/100)</f>
        <v>178656.23207005198</v>
      </c>
      <c r="CL4" s="12">
        <f>CK4*(1 + Tickets!BA$267/100)</f>
        <v>178656.23207005198</v>
      </c>
      <c r="CM4" s="12">
        <f>CL4*(1 + Tickets!BB$267/100)</f>
        <v>178656.23207005198</v>
      </c>
      <c r="CN4" s="12">
        <f>CM4*(1 + Tickets!BC$267/100)</f>
        <v>178656.23207005198</v>
      </c>
      <c r="CO4" s="12">
        <f>CN4*(1 + Tickets!BD$267/100)</f>
        <v>178656.23207005198</v>
      </c>
      <c r="CP4" s="12">
        <f>CO4*(1 + Tickets!BE$267/100)</f>
        <v>178656.23207005198</v>
      </c>
      <c r="CQ4" s="12">
        <f>CP4*(1 + Tickets!BF$267/100)</f>
        <v>178656.23207005198</v>
      </c>
      <c r="CR4" s="12">
        <f>CQ4*(1 + Tickets!BG$267/100)</f>
        <v>178656.23207005198</v>
      </c>
      <c r="CS4" s="12">
        <f>CR4*(1 + Tickets!BH$267/100)</f>
        <v>178656.23207005198</v>
      </c>
      <c r="CT4" s="12">
        <f>CS4*(1 + Tickets!BI$267/100)</f>
        <v>178656.23207005198</v>
      </c>
      <c r="CU4" s="12">
        <f>CT4*(1 + Tickets!BJ$267/100)</f>
        <v>178656.23207005198</v>
      </c>
      <c r="CV4" s="12">
        <f>CU4*(1 + Tickets!BK$267/100)</f>
        <v>178656.23207005198</v>
      </c>
    </row>
    <row r="5" spans="1:108">
      <c r="G5" s="12" t="s">
        <v>233</v>
      </c>
      <c r="J5" s="13">
        <v>13368</v>
      </c>
      <c r="K5" s="13">
        <v>181143</v>
      </c>
      <c r="L5" s="13">
        <v>15216</v>
      </c>
      <c r="M5" s="13">
        <v>209727</v>
      </c>
      <c r="N5" s="14">
        <v>13368</v>
      </c>
      <c r="O5" s="14">
        <v>181143</v>
      </c>
      <c r="P5" s="14">
        <v>15216</v>
      </c>
      <c r="Q5" s="14">
        <v>209727</v>
      </c>
      <c r="R5" s="14">
        <v>419454</v>
      </c>
      <c r="S5" s="14">
        <v>405828</v>
      </c>
      <c r="T5" s="14">
        <v>2579</v>
      </c>
      <c r="W5" t="s">
        <v>137</v>
      </c>
      <c r="X5" s="12">
        <v>7.4</v>
      </c>
      <c r="Y5" s="12">
        <v>42.9</v>
      </c>
      <c r="Z5" s="12">
        <v>0.9</v>
      </c>
      <c r="AA5" s="12"/>
      <c r="AB5" s="12" t="s">
        <v>137</v>
      </c>
      <c r="AC5" s="12">
        <f>X5*100/X6*Variables!E24</f>
        <v>33.484162895927597</v>
      </c>
      <c r="AD5" s="12">
        <f>Y5*100/Y6*Variables!E24</f>
        <v>79.888268156424573</v>
      </c>
      <c r="AE5" s="12">
        <f>Z5*100/Z6*Variables!E24</f>
        <v>3.7190082644628104</v>
      </c>
      <c r="AF5" s="12"/>
      <c r="AH5" s="12"/>
      <c r="AI5" s="12"/>
      <c r="AJ5" s="12" t="s">
        <v>231</v>
      </c>
      <c r="AN5" s="12">
        <f>AA48*Variables!E26</f>
        <v>0</v>
      </c>
      <c r="AO5" s="12">
        <f>AN5*(1 + Tickets!D$267/100)</f>
        <v>0</v>
      </c>
      <c r="AP5" s="12">
        <f>AO5*(1 + Tickets!E$267/100)</f>
        <v>0</v>
      </c>
      <c r="AQ5" s="12">
        <f>AP5*(1 + Tickets!F$267/100)</f>
        <v>0</v>
      </c>
      <c r="AR5" s="12">
        <f>AQ5*(1 + Tickets!G$267/100)</f>
        <v>0</v>
      </c>
      <c r="AS5" s="12">
        <f>AR5*(1 + Tickets!H$267/100)</f>
        <v>0</v>
      </c>
      <c r="AT5" s="12">
        <f>AS5*(1 + Tickets!I$267/100)</f>
        <v>0</v>
      </c>
      <c r="AU5" s="12">
        <f>AT5*(1 + Tickets!J$267/100)</f>
        <v>0</v>
      </c>
      <c r="AV5" s="12">
        <f>AU5*(1 + Tickets!K$267/100)</f>
        <v>0</v>
      </c>
      <c r="AW5" s="12">
        <f>AV5*(1 + Tickets!L$267/100)</f>
        <v>0</v>
      </c>
      <c r="AX5" s="12">
        <f>AW5*(1 + Tickets!M$267/100)</f>
        <v>0</v>
      </c>
      <c r="AY5" s="12">
        <f>AX5*(1 + Tickets!N$267/100)</f>
        <v>0</v>
      </c>
      <c r="AZ5" s="12">
        <f>AY5*(1 + Tickets!O$267/100)</f>
        <v>0</v>
      </c>
      <c r="BA5" s="12">
        <f>AZ5*(1 + Tickets!P$267/100)</f>
        <v>0</v>
      </c>
      <c r="BB5" s="12">
        <f>BA5*(1 + Tickets!Q$267/100)</f>
        <v>0</v>
      </c>
      <c r="BC5" s="12">
        <f>BB5*(1 + Tickets!R$267/100)</f>
        <v>0</v>
      </c>
      <c r="BD5" s="12">
        <f>BC5*(1 + Tickets!S$267/100)</f>
        <v>0</v>
      </c>
      <c r="BE5" s="12">
        <f>BD5*(1 + Tickets!T$267/100)</f>
        <v>0</v>
      </c>
      <c r="BF5" s="12">
        <f>BE5*(1 + Tickets!U$267/100)</f>
        <v>0</v>
      </c>
      <c r="BG5" s="12">
        <f>BF5*(1 + Tickets!V$267/100)</f>
        <v>0</v>
      </c>
      <c r="BH5" s="12">
        <f>BG5*(1 + Tickets!W$267/100)</f>
        <v>0</v>
      </c>
      <c r="BI5" s="12">
        <f>BH5*(1 + Tickets!X$267/100)</f>
        <v>0</v>
      </c>
      <c r="BJ5" s="12">
        <f>BI5*(1 + Tickets!Y$267/100)</f>
        <v>0</v>
      </c>
      <c r="BK5" s="12">
        <f>BJ5*(1 + Tickets!Z$267/100)</f>
        <v>0</v>
      </c>
      <c r="BL5" s="12">
        <f>BK5*(1 + Tickets!AA$267/100)</f>
        <v>0</v>
      </c>
      <c r="BM5" s="12">
        <f>BL5*(1 + Tickets!AB$267/100)</f>
        <v>0</v>
      </c>
      <c r="BN5" s="12">
        <f>BM5*(1 + Tickets!AC$267/100)</f>
        <v>0</v>
      </c>
      <c r="BO5" s="12">
        <f>BN5*(1 + Tickets!AD$267/100)</f>
        <v>0</v>
      </c>
      <c r="BP5" s="12">
        <f>BO5*(1 + Tickets!AE$267/100)</f>
        <v>0</v>
      </c>
      <c r="BQ5" s="12">
        <f>BP5*(1 + Tickets!AF$267/100)</f>
        <v>0</v>
      </c>
      <c r="BR5" s="12">
        <f>BQ5*(1 + Tickets!AG$267/100)</f>
        <v>0</v>
      </c>
      <c r="BS5" s="12">
        <f>BR5*(1 + Tickets!AH$267/100)</f>
        <v>0</v>
      </c>
      <c r="BT5" s="12">
        <f>BS5*(1 + Tickets!AI$267/100)</f>
        <v>0</v>
      </c>
      <c r="BU5" s="12">
        <f>BT5*(1 + Tickets!AJ$267/100)</f>
        <v>0</v>
      </c>
      <c r="BV5" s="12">
        <f>BU5*(1 + Tickets!AK$267/100)</f>
        <v>0</v>
      </c>
      <c r="BW5" s="12">
        <f>BV5*(1 + Tickets!AL$267/100)</f>
        <v>0</v>
      </c>
      <c r="BX5" s="12">
        <f>BW5*(1 + Tickets!AM$267/100)</f>
        <v>0</v>
      </c>
      <c r="BY5" s="12">
        <f>BX5*(1 + Tickets!AN$267/100)</f>
        <v>0</v>
      </c>
      <c r="BZ5" s="12">
        <f>BY5*(1 + Tickets!AO$267/100)</f>
        <v>0</v>
      </c>
      <c r="CA5" s="12">
        <f>BZ5*(1 + Tickets!AP$267/100)</f>
        <v>0</v>
      </c>
      <c r="CB5" s="12">
        <f>CA5*(1 + Tickets!AQ$267/100)</f>
        <v>0</v>
      </c>
      <c r="CC5" s="12">
        <f>CB5*(1 + Tickets!AR$267/100)</f>
        <v>0</v>
      </c>
      <c r="CD5" s="12">
        <f>CC5*(1 + Tickets!AS$267/100)</f>
        <v>0</v>
      </c>
      <c r="CE5" s="12">
        <f>CD5*(1 + Tickets!AT$267/100)</f>
        <v>0</v>
      </c>
      <c r="CF5" s="12">
        <f>CE5*(1 + Tickets!AU$267/100)</f>
        <v>0</v>
      </c>
      <c r="CG5" s="12">
        <f>CF5*(1 + Tickets!AV$267/100)</f>
        <v>0</v>
      </c>
      <c r="CH5" s="12">
        <f>CG5*(1 + Tickets!AW$267/100)</f>
        <v>0</v>
      </c>
      <c r="CI5" s="12">
        <f>CH5*(1 + Tickets!AX$267/100)</f>
        <v>0</v>
      </c>
      <c r="CJ5" s="12">
        <f>CI5*(1 + Tickets!AY$267/100)</f>
        <v>0</v>
      </c>
      <c r="CK5" s="12">
        <f>CJ5*(1 + Tickets!AZ$267/100)</f>
        <v>0</v>
      </c>
      <c r="CL5" s="12">
        <f>CK5*(1 + Tickets!BA$267/100)</f>
        <v>0</v>
      </c>
      <c r="CM5" s="12">
        <f>CL5*(1 + Tickets!BB$267/100)</f>
        <v>0</v>
      </c>
      <c r="CN5" s="12">
        <f>CM5*(1 + Tickets!BC$267/100)</f>
        <v>0</v>
      </c>
      <c r="CO5" s="12">
        <f>CN5*(1 + Tickets!BD$267/100)</f>
        <v>0</v>
      </c>
      <c r="CP5" s="12">
        <f>CO5*(1 + Tickets!BE$267/100)</f>
        <v>0</v>
      </c>
      <c r="CQ5" s="12">
        <f>CP5*(1 + Tickets!BF$267/100)</f>
        <v>0</v>
      </c>
      <c r="CR5" s="12">
        <f>CQ5*(1 + Tickets!BG$267/100)</f>
        <v>0</v>
      </c>
      <c r="CS5" s="12">
        <f>CR5*(1 + Tickets!BH$267/100)</f>
        <v>0</v>
      </c>
      <c r="CT5" s="12">
        <f>CS5*(1 + Tickets!BI$267/100)</f>
        <v>0</v>
      </c>
      <c r="CU5" s="12">
        <f>CT5*(1 + Tickets!BJ$267/100)</f>
        <v>0</v>
      </c>
      <c r="CV5" s="12">
        <f>CU5*(1 + Tickets!BK$267/100)</f>
        <v>0</v>
      </c>
    </row>
    <row r="6" spans="1:108">
      <c r="G6" s="12" t="s">
        <v>234</v>
      </c>
      <c r="J6" s="13">
        <v>11035</v>
      </c>
      <c r="K6" s="13">
        <v>86274</v>
      </c>
      <c r="L6" s="13">
        <v>62179</v>
      </c>
      <c r="M6" s="13">
        <v>159488</v>
      </c>
      <c r="N6" s="14">
        <v>11035</v>
      </c>
      <c r="O6" s="14">
        <v>86274</v>
      </c>
      <c r="P6" s="14">
        <v>62179</v>
      </c>
      <c r="Q6" s="14">
        <v>159488</v>
      </c>
      <c r="R6" s="14">
        <v>318976</v>
      </c>
      <c r="S6" s="14">
        <v>339094</v>
      </c>
      <c r="T6" s="14">
        <v>0</v>
      </c>
      <c r="W6" t="s">
        <v>106</v>
      </c>
      <c r="X6">
        <f>SUM(X3:X5)</f>
        <v>22.1</v>
      </c>
      <c r="Y6" s="12">
        <f t="shared" ref="Y6:Z6" si="2">SUM(Y3:Y5)</f>
        <v>53.7</v>
      </c>
      <c r="Z6" s="12">
        <f t="shared" si="2"/>
        <v>24.199999999999996</v>
      </c>
      <c r="AA6" s="12"/>
      <c r="AB6" s="12"/>
      <c r="AC6" s="12"/>
      <c r="AD6" s="12"/>
      <c r="AE6" s="12"/>
      <c r="AF6" s="12"/>
      <c r="AH6" s="12"/>
      <c r="AI6" s="12"/>
      <c r="AJ6" s="12" t="s">
        <v>232</v>
      </c>
      <c r="AN6" s="12">
        <f>AA49*Variables!E26</f>
        <v>4510.2239238201937</v>
      </c>
      <c r="AO6" s="12">
        <f>AN6*(1 + Tickets!D$267/100)</f>
        <v>4612.2451889770073</v>
      </c>
      <c r="AP6" s="12">
        <f>AO6*(1 + Tickets!E$267/100)</f>
        <v>4662.0113145660698</v>
      </c>
      <c r="AQ6" s="12">
        <f>AP6*(1 + Tickets!F$267/100)</f>
        <v>4742.3843896291883</v>
      </c>
      <c r="AR6" s="12">
        <f>AQ6*(1 + Tickets!G$267/100)</f>
        <v>4846.7168462010304</v>
      </c>
      <c r="AS6" s="12">
        <f>AR6*(1 + Tickets!H$267/100)</f>
        <v>4924.2643157402472</v>
      </c>
      <c r="AT6" s="12">
        <f>AS6*(1 + Tickets!I$267/100)</f>
        <v>5017.8253377393112</v>
      </c>
      <c r="AU6" s="12">
        <f>AT6*(1 + Tickets!J$267/100)</f>
        <v>5113.1640191563574</v>
      </c>
      <c r="AV6" s="12">
        <f>AU6*(1 + Tickets!K$267/100)</f>
        <v>5215.4272995394849</v>
      </c>
      <c r="AW6" s="12">
        <f>AV6*(1 + Tickets!L$267/100)</f>
        <v>5322.3435591800444</v>
      </c>
      <c r="AX6" s="12">
        <f>AW6*(1 + Tickets!M$267/100)</f>
        <v>5434.112773922825</v>
      </c>
      <c r="AY6" s="12">
        <f>AX6*(1 + Tickets!N$267/100)</f>
        <v>5550.9461985621665</v>
      </c>
      <c r="AZ6" s="12">
        <f>AY6*(1 + Tickets!O$267/100)</f>
        <v>5673.0670149305342</v>
      </c>
      <c r="BA6" s="12">
        <f>AZ6*(1 + Tickets!P$267/100)</f>
        <v>5797.8744892590057</v>
      </c>
      <c r="BB6" s="12">
        <f>BA6*(1 + Tickets!Q$267/100)</f>
        <v>5925.4277280227043</v>
      </c>
      <c r="BC6" s="12">
        <f>BB6*(1 + Tickets!R$267/100)</f>
        <v>6055.7871380392035</v>
      </c>
      <c r="BD6" s="12">
        <f>BC6*(1 + Tickets!S$267/100)</f>
        <v>6189.014455076066</v>
      </c>
      <c r="BE6" s="12">
        <f>BD6*(1 + Tickets!T$267/100)</f>
        <v>6325.1727730877392</v>
      </c>
      <c r="BF6" s="12">
        <f>BE6*(1 + Tickets!U$267/100)</f>
        <v>6464.3265740956695</v>
      </c>
      <c r="BG6" s="12">
        <f>BF6*(1 + Tickets!V$267/100)</f>
        <v>6606.5417587257743</v>
      </c>
      <c r="BH6" s="12">
        <f>BG6*(1 + Tickets!W$267/100)</f>
        <v>6606.5417587257743</v>
      </c>
      <c r="BI6" s="12">
        <f>BH6*(1 + Tickets!X$267/100)</f>
        <v>6606.5417587257743</v>
      </c>
      <c r="BJ6" s="12">
        <f>BI6*(1 + Tickets!Y$267/100)</f>
        <v>6606.5417587257743</v>
      </c>
      <c r="BK6" s="12">
        <f>BJ6*(1 + Tickets!Z$267/100)</f>
        <v>6606.5417587257743</v>
      </c>
      <c r="BL6" s="12">
        <f>BK6*(1 + Tickets!AA$267/100)</f>
        <v>6606.5417587257743</v>
      </c>
      <c r="BM6" s="12">
        <f>BL6*(1 + Tickets!AB$267/100)</f>
        <v>6606.5417587257743</v>
      </c>
      <c r="BN6" s="12">
        <f>BM6*(1 + Tickets!AC$267/100)</f>
        <v>6606.5417587257743</v>
      </c>
      <c r="BO6" s="12">
        <f>BN6*(1 + Tickets!AD$267/100)</f>
        <v>6606.5417587257743</v>
      </c>
      <c r="BP6" s="12">
        <f>BO6*(1 + Tickets!AE$267/100)</f>
        <v>6606.5417587257743</v>
      </c>
      <c r="BQ6" s="12">
        <f>BP6*(1 + Tickets!AF$267/100)</f>
        <v>6606.5417587257743</v>
      </c>
      <c r="BR6" s="12">
        <f>BQ6*(1 + Tickets!AG$267/100)</f>
        <v>6606.5417587257743</v>
      </c>
      <c r="BS6" s="12">
        <f>BR6*(1 + Tickets!AH$267/100)</f>
        <v>6606.5417587257743</v>
      </c>
      <c r="BT6" s="12">
        <f>BS6*(1 + Tickets!AI$267/100)</f>
        <v>6606.5417587257743</v>
      </c>
      <c r="BU6" s="12">
        <f>BT6*(1 + Tickets!AJ$267/100)</f>
        <v>6606.5417587257743</v>
      </c>
      <c r="BV6" s="12">
        <f>BU6*(1 + Tickets!AK$267/100)</f>
        <v>6606.5417587257743</v>
      </c>
      <c r="BW6" s="12">
        <f>BV6*(1 + Tickets!AL$267/100)</f>
        <v>6606.5417587257743</v>
      </c>
      <c r="BX6" s="12">
        <f>BW6*(1 + Tickets!AM$267/100)</f>
        <v>6606.5417587257743</v>
      </c>
      <c r="BY6" s="12">
        <f>BX6*(1 + Tickets!AN$267/100)</f>
        <v>6606.5417587257743</v>
      </c>
      <c r="BZ6" s="12">
        <f>BY6*(1 + Tickets!AO$267/100)</f>
        <v>6606.5417587257743</v>
      </c>
      <c r="CA6" s="12">
        <f>BZ6*(1 + Tickets!AP$267/100)</f>
        <v>6606.5417587257743</v>
      </c>
      <c r="CB6" s="12">
        <f>CA6*(1 + Tickets!AQ$267/100)</f>
        <v>6606.5417587257743</v>
      </c>
      <c r="CC6" s="12">
        <f>CB6*(1 + Tickets!AR$267/100)</f>
        <v>6606.5417587257743</v>
      </c>
      <c r="CD6" s="12">
        <f>CC6*(1 + Tickets!AS$267/100)</f>
        <v>6606.5417587257743</v>
      </c>
      <c r="CE6" s="12">
        <f>CD6*(1 + Tickets!AT$267/100)</f>
        <v>6606.5417587257743</v>
      </c>
      <c r="CF6" s="12">
        <f>CE6*(1 + Tickets!AU$267/100)</f>
        <v>6606.5417587257743</v>
      </c>
      <c r="CG6" s="12">
        <f>CF6*(1 + Tickets!AV$267/100)</f>
        <v>6606.5417587257743</v>
      </c>
      <c r="CH6" s="12">
        <f>CG6*(1 + Tickets!AW$267/100)</f>
        <v>6606.5417587257743</v>
      </c>
      <c r="CI6" s="12">
        <f>CH6*(1 + Tickets!AX$267/100)</f>
        <v>6606.5417587257743</v>
      </c>
      <c r="CJ6" s="12">
        <f>CI6*(1 + Tickets!AY$267/100)</f>
        <v>6606.5417587257743</v>
      </c>
      <c r="CK6" s="12">
        <f>CJ6*(1 + Tickets!AZ$267/100)</f>
        <v>6606.5417587257743</v>
      </c>
      <c r="CL6" s="12">
        <f>CK6*(1 + Tickets!BA$267/100)</f>
        <v>6606.5417587257743</v>
      </c>
      <c r="CM6" s="12">
        <f>CL6*(1 + Tickets!BB$267/100)</f>
        <v>6606.5417587257743</v>
      </c>
      <c r="CN6" s="12">
        <f>CM6*(1 + Tickets!BC$267/100)</f>
        <v>6606.5417587257743</v>
      </c>
      <c r="CO6" s="12">
        <f>CN6*(1 + Tickets!BD$267/100)</f>
        <v>6606.5417587257743</v>
      </c>
      <c r="CP6" s="12">
        <f>CO6*(1 + Tickets!BE$267/100)</f>
        <v>6606.5417587257743</v>
      </c>
      <c r="CQ6" s="12">
        <f>CP6*(1 + Tickets!BF$267/100)</f>
        <v>6606.5417587257743</v>
      </c>
      <c r="CR6" s="12">
        <f>CQ6*(1 + Tickets!BG$267/100)</f>
        <v>6606.5417587257743</v>
      </c>
      <c r="CS6" s="12">
        <f>CR6*(1 + Tickets!BH$267/100)</f>
        <v>6606.5417587257743</v>
      </c>
      <c r="CT6" s="12">
        <f>CS6*(1 + Tickets!BI$267/100)</f>
        <v>6606.5417587257743</v>
      </c>
      <c r="CU6" s="12">
        <f>CT6*(1 + Tickets!BJ$267/100)</f>
        <v>6606.5417587257743</v>
      </c>
      <c r="CV6" s="12">
        <f>CU6*(1 + Tickets!BK$267/100)</f>
        <v>6606.5417587257743</v>
      </c>
    </row>
    <row r="7" spans="1:108">
      <c r="G7" s="21"/>
      <c r="H7" s="21"/>
      <c r="I7" s="21"/>
      <c r="J7" s="12"/>
      <c r="K7" s="12"/>
      <c r="L7" s="21"/>
      <c r="M7" s="12"/>
      <c r="N7" s="12"/>
      <c r="O7" s="21"/>
      <c r="P7" s="12"/>
      <c r="Q7" s="12"/>
      <c r="R7" s="21"/>
      <c r="S7" s="12"/>
      <c r="T7" s="12"/>
      <c r="U7" s="21"/>
      <c r="AH7" s="12"/>
      <c r="AI7" s="12"/>
      <c r="AJ7" s="12" t="s">
        <v>233</v>
      </c>
      <c r="AN7" s="12">
        <f>AA50*Variables!E26</f>
        <v>13606.003464388165</v>
      </c>
      <c r="AO7" s="12">
        <f>AN7*(1 + Tickets!D$267/100)</f>
        <v>13913.771262752625</v>
      </c>
      <c r="AP7" s="12">
        <f>AO7*(1 + Tickets!E$267/100)</f>
        <v>14063.900854677728</v>
      </c>
      <c r="AQ7" s="12">
        <f>AP7*(1 + Tickets!F$267/100)</f>
        <v>14306.362505412371</v>
      </c>
      <c r="AR7" s="12">
        <f>AQ7*(1 + Tickets!G$267/100)</f>
        <v>14621.102480531445</v>
      </c>
      <c r="AS7" s="12">
        <f>AR7*(1 + Tickets!H$267/100)</f>
        <v>14855.040120219948</v>
      </c>
      <c r="AT7" s="12">
        <f>AS7*(1 + Tickets!I$267/100)</f>
        <v>15137.285882504126</v>
      </c>
      <c r="AU7" s="12">
        <f>AT7*(1 + Tickets!J$267/100)</f>
        <v>15424.894314271703</v>
      </c>
      <c r="AV7" s="12">
        <f>AU7*(1 + Tickets!K$267/100)</f>
        <v>15733.392200557138</v>
      </c>
      <c r="AW7" s="12">
        <f>AV7*(1 + Tickets!L$267/100)</f>
        <v>16055.926740668559</v>
      </c>
      <c r="AX7" s="12">
        <f>AW7*(1 + Tickets!M$267/100)</f>
        <v>16393.101202222599</v>
      </c>
      <c r="AY7" s="12">
        <f>AX7*(1 + Tickets!N$267/100)</f>
        <v>16745.552878070386</v>
      </c>
      <c r="AZ7" s="12">
        <f>AY7*(1 + Tickets!O$267/100)</f>
        <v>17113.955041387933</v>
      </c>
      <c r="BA7" s="12">
        <f>AZ7*(1 + Tickets!P$267/100)</f>
        <v>17490.46205229847</v>
      </c>
      <c r="BB7" s="12">
        <f>BA7*(1 + Tickets!Q$267/100)</f>
        <v>17875.252217449037</v>
      </c>
      <c r="BC7" s="12">
        <f>BB7*(1 + Tickets!R$267/100)</f>
        <v>18268.507766232917</v>
      </c>
      <c r="BD7" s="12">
        <f>BC7*(1 + Tickets!S$267/100)</f>
        <v>18670.414937090041</v>
      </c>
      <c r="BE7" s="12">
        <f>BD7*(1 + Tickets!T$267/100)</f>
        <v>19081.164065706023</v>
      </c>
      <c r="BF7" s="12">
        <f>BE7*(1 + Tickets!U$267/100)</f>
        <v>19500.949675151558</v>
      </c>
      <c r="BG7" s="12">
        <f>BF7*(1 + Tickets!V$267/100)</f>
        <v>19929.970568004894</v>
      </c>
      <c r="BH7" s="12">
        <f>BG7*(1 + Tickets!W$267/100)</f>
        <v>19929.970568004894</v>
      </c>
      <c r="BI7" s="12">
        <f>BH7*(1 + Tickets!X$267/100)</f>
        <v>19929.970568004894</v>
      </c>
      <c r="BJ7" s="12">
        <f>BI7*(1 + Tickets!Y$267/100)</f>
        <v>19929.970568004894</v>
      </c>
      <c r="BK7" s="12">
        <f>BJ7*(1 + Tickets!Z$267/100)</f>
        <v>19929.970568004894</v>
      </c>
      <c r="BL7" s="12">
        <f>BK7*(1 + Tickets!AA$267/100)</f>
        <v>19929.970568004894</v>
      </c>
      <c r="BM7" s="12">
        <f>BL7*(1 + Tickets!AB$267/100)</f>
        <v>19929.970568004894</v>
      </c>
      <c r="BN7" s="12">
        <f>BM7*(1 + Tickets!AC$267/100)</f>
        <v>19929.970568004894</v>
      </c>
      <c r="BO7" s="12">
        <f>BN7*(1 + Tickets!AD$267/100)</f>
        <v>19929.970568004894</v>
      </c>
      <c r="BP7" s="12">
        <f>BO7*(1 + Tickets!AE$267/100)</f>
        <v>19929.970568004894</v>
      </c>
      <c r="BQ7" s="12">
        <f>BP7*(1 + Tickets!AF$267/100)</f>
        <v>19929.970568004894</v>
      </c>
      <c r="BR7" s="12">
        <f>BQ7*(1 + Tickets!AG$267/100)</f>
        <v>19929.970568004894</v>
      </c>
      <c r="BS7" s="12">
        <f>BR7*(1 + Tickets!AH$267/100)</f>
        <v>19929.970568004894</v>
      </c>
      <c r="BT7" s="12">
        <f>BS7*(1 + Tickets!AI$267/100)</f>
        <v>19929.970568004894</v>
      </c>
      <c r="BU7" s="12">
        <f>BT7*(1 + Tickets!AJ$267/100)</f>
        <v>19929.970568004894</v>
      </c>
      <c r="BV7" s="12">
        <f>BU7*(1 + Tickets!AK$267/100)</f>
        <v>19929.970568004894</v>
      </c>
      <c r="BW7" s="12">
        <f>BV7*(1 + Tickets!AL$267/100)</f>
        <v>19929.970568004894</v>
      </c>
      <c r="BX7" s="12">
        <f>BW7*(1 + Tickets!AM$267/100)</f>
        <v>19929.970568004894</v>
      </c>
      <c r="BY7" s="12">
        <f>BX7*(1 + Tickets!AN$267/100)</f>
        <v>19929.970568004894</v>
      </c>
      <c r="BZ7" s="12">
        <f>BY7*(1 + Tickets!AO$267/100)</f>
        <v>19929.970568004894</v>
      </c>
      <c r="CA7" s="12">
        <f>BZ7*(1 + Tickets!AP$267/100)</f>
        <v>19929.970568004894</v>
      </c>
      <c r="CB7" s="12">
        <f>CA7*(1 + Tickets!AQ$267/100)</f>
        <v>19929.970568004894</v>
      </c>
      <c r="CC7" s="12">
        <f>CB7*(1 + Tickets!AR$267/100)</f>
        <v>19929.970568004894</v>
      </c>
      <c r="CD7" s="12">
        <f>CC7*(1 + Tickets!AS$267/100)</f>
        <v>19929.970568004894</v>
      </c>
      <c r="CE7" s="12">
        <f>CD7*(1 + Tickets!AT$267/100)</f>
        <v>19929.970568004894</v>
      </c>
      <c r="CF7" s="12">
        <f>CE7*(1 + Tickets!AU$267/100)</f>
        <v>19929.970568004894</v>
      </c>
      <c r="CG7" s="12">
        <f>CF7*(1 + Tickets!AV$267/100)</f>
        <v>19929.970568004894</v>
      </c>
      <c r="CH7" s="12">
        <f>CG7*(1 + Tickets!AW$267/100)</f>
        <v>19929.970568004894</v>
      </c>
      <c r="CI7" s="12">
        <f>CH7*(1 + Tickets!AX$267/100)</f>
        <v>19929.970568004894</v>
      </c>
      <c r="CJ7" s="12">
        <f>CI7*(1 + Tickets!AY$267/100)</f>
        <v>19929.970568004894</v>
      </c>
      <c r="CK7" s="12">
        <f>CJ7*(1 + Tickets!AZ$267/100)</f>
        <v>19929.970568004894</v>
      </c>
      <c r="CL7" s="12">
        <f>CK7*(1 + Tickets!BA$267/100)</f>
        <v>19929.970568004894</v>
      </c>
      <c r="CM7" s="12">
        <f>CL7*(1 + Tickets!BB$267/100)</f>
        <v>19929.970568004894</v>
      </c>
      <c r="CN7" s="12">
        <f>CM7*(1 + Tickets!BC$267/100)</f>
        <v>19929.970568004894</v>
      </c>
      <c r="CO7" s="12">
        <f>CN7*(1 + Tickets!BD$267/100)</f>
        <v>19929.970568004894</v>
      </c>
      <c r="CP7" s="12">
        <f>CO7*(1 + Tickets!BE$267/100)</f>
        <v>19929.970568004894</v>
      </c>
      <c r="CQ7" s="12">
        <f>CP7*(1 + Tickets!BF$267/100)</f>
        <v>19929.970568004894</v>
      </c>
      <c r="CR7" s="12">
        <f>CQ7*(1 + Tickets!BG$267/100)</f>
        <v>19929.970568004894</v>
      </c>
      <c r="CS7" s="12">
        <f>CR7*(1 + Tickets!BH$267/100)</f>
        <v>19929.970568004894</v>
      </c>
      <c r="CT7" s="12">
        <f>CS7*(1 + Tickets!BI$267/100)</f>
        <v>19929.970568004894</v>
      </c>
      <c r="CU7" s="12">
        <f>CT7*(1 + Tickets!BJ$267/100)</f>
        <v>19929.970568004894</v>
      </c>
      <c r="CV7" s="12">
        <f>CU7*(1 + Tickets!BK$267/100)</f>
        <v>19929.970568004894</v>
      </c>
    </row>
    <row r="8" spans="1:108" s="12" customFormat="1">
      <c r="G8" s="21"/>
      <c r="H8" s="21"/>
      <c r="I8" s="21"/>
      <c r="L8" s="21"/>
      <c r="O8" s="21"/>
      <c r="R8" s="21"/>
      <c r="U8" s="21"/>
      <c r="AJ8" s="12" t="s">
        <v>234</v>
      </c>
      <c r="AN8" s="12">
        <f>AA51*Variables!E26</f>
        <v>104998.31999999999</v>
      </c>
      <c r="AO8" s="12">
        <f>AN8*(1 + Tickets!D$267/100)</f>
        <v>107373.3819984</v>
      </c>
      <c r="AP8" s="12">
        <f>AO8*(1 + Tickets!E$267/100)</f>
        <v>108531.94079016274</v>
      </c>
      <c r="AQ8" s="12">
        <f>AP8*(1 + Tickets!F$267/100)</f>
        <v>110403.03144938513</v>
      </c>
      <c r="AR8" s="12">
        <f>AQ8*(1 + Tickets!G$267/100)</f>
        <v>112831.89814127161</v>
      </c>
      <c r="AS8" s="12">
        <f>AR8*(1 + Tickets!H$267/100)</f>
        <v>114637.20851153195</v>
      </c>
      <c r="AT8" s="12">
        <f>AS8*(1 + Tickets!I$267/100)</f>
        <v>116815.31547325104</v>
      </c>
      <c r="AU8" s="12">
        <f>AT8*(1 + Tickets!J$267/100)</f>
        <v>119034.8064672428</v>
      </c>
      <c r="AV8" s="12">
        <f>AU8*(1 + Tickets!K$267/100)</f>
        <v>121415.50259658766</v>
      </c>
      <c r="AW8" s="12">
        <f>AV8*(1 + Tickets!L$267/100)</f>
        <v>123904.5203998177</v>
      </c>
      <c r="AX8" s="12">
        <f>AW8*(1 + Tickets!M$267/100)</f>
        <v>126506.51532821386</v>
      </c>
      <c r="AY8" s="12">
        <f>AX8*(1 + Tickets!N$267/100)</f>
        <v>129226.40540777046</v>
      </c>
      <c r="AZ8" s="12">
        <f>AY8*(1 + Tickets!O$267/100)</f>
        <v>132069.38632674143</v>
      </c>
      <c r="BA8" s="12">
        <f>AZ8*(1 + Tickets!P$267/100)</f>
        <v>134974.91282592973</v>
      </c>
      <c r="BB8" s="12">
        <f>BA8*(1 + Tickets!Q$267/100)</f>
        <v>137944.36090810018</v>
      </c>
      <c r="BC8" s="12">
        <f>BB8*(1 + Tickets!R$267/100)</f>
        <v>140979.13684807837</v>
      </c>
      <c r="BD8" s="12">
        <f>BC8*(1 + Tickets!S$267/100)</f>
        <v>144080.6778587361</v>
      </c>
      <c r="BE8" s="12">
        <f>BD8*(1 + Tickets!T$267/100)</f>
        <v>147250.4527716283</v>
      </c>
      <c r="BF8" s="12">
        <f>BE8*(1 + Tickets!U$267/100)</f>
        <v>150489.96273260412</v>
      </c>
      <c r="BG8" s="12">
        <f>BF8*(1 + Tickets!V$267/100)</f>
        <v>153800.74191272142</v>
      </c>
      <c r="BH8" s="12">
        <f>BG8*(1 + Tickets!W$267/100)</f>
        <v>153800.74191272142</v>
      </c>
      <c r="BI8" s="12">
        <f>BH8*(1 + Tickets!X$267/100)</f>
        <v>153800.74191272142</v>
      </c>
      <c r="BJ8" s="12">
        <f>BI8*(1 + Tickets!Y$267/100)</f>
        <v>153800.74191272142</v>
      </c>
      <c r="BK8" s="12">
        <f>BJ8*(1 + Tickets!Z$267/100)</f>
        <v>153800.74191272142</v>
      </c>
      <c r="BL8" s="12">
        <f>BK8*(1 + Tickets!AA$267/100)</f>
        <v>153800.74191272142</v>
      </c>
      <c r="BM8" s="12">
        <f>BL8*(1 + Tickets!AB$267/100)</f>
        <v>153800.74191272142</v>
      </c>
      <c r="BN8" s="12">
        <f>BM8*(1 + Tickets!AC$267/100)</f>
        <v>153800.74191272142</v>
      </c>
      <c r="BO8" s="12">
        <f>BN8*(1 + Tickets!AD$267/100)</f>
        <v>153800.74191272142</v>
      </c>
      <c r="BP8" s="12">
        <f>BO8*(1 + Tickets!AE$267/100)</f>
        <v>153800.74191272142</v>
      </c>
      <c r="BQ8" s="12">
        <f>BP8*(1 + Tickets!AF$267/100)</f>
        <v>153800.74191272142</v>
      </c>
      <c r="BR8" s="12">
        <f>BQ8*(1 + Tickets!AG$267/100)</f>
        <v>153800.74191272142</v>
      </c>
      <c r="BS8" s="12">
        <f>BR8*(1 + Tickets!AH$267/100)</f>
        <v>153800.74191272142</v>
      </c>
      <c r="BT8" s="12">
        <f>BS8*(1 + Tickets!AI$267/100)</f>
        <v>153800.74191272142</v>
      </c>
      <c r="BU8" s="12">
        <f>BT8*(1 + Tickets!AJ$267/100)</f>
        <v>153800.74191272142</v>
      </c>
      <c r="BV8" s="12">
        <f>BU8*(1 + Tickets!AK$267/100)</f>
        <v>153800.74191272142</v>
      </c>
      <c r="BW8" s="12">
        <f>BV8*(1 + Tickets!AL$267/100)</f>
        <v>153800.74191272142</v>
      </c>
      <c r="BX8" s="12">
        <f>BW8*(1 + Tickets!AM$267/100)</f>
        <v>153800.74191272142</v>
      </c>
      <c r="BY8" s="12">
        <f>BX8*(1 + Tickets!AN$267/100)</f>
        <v>153800.74191272142</v>
      </c>
      <c r="BZ8" s="12">
        <f>BY8*(1 + Tickets!AO$267/100)</f>
        <v>153800.74191272142</v>
      </c>
      <c r="CA8" s="12">
        <f>BZ8*(1 + Tickets!AP$267/100)</f>
        <v>153800.74191272142</v>
      </c>
      <c r="CB8" s="12">
        <f>CA8*(1 + Tickets!AQ$267/100)</f>
        <v>153800.74191272142</v>
      </c>
      <c r="CC8" s="12">
        <f>CB8*(1 + Tickets!AR$267/100)</f>
        <v>153800.74191272142</v>
      </c>
      <c r="CD8" s="12">
        <f>CC8*(1 + Tickets!AS$267/100)</f>
        <v>153800.74191272142</v>
      </c>
      <c r="CE8" s="12">
        <f>CD8*(1 + Tickets!AT$267/100)</f>
        <v>153800.74191272142</v>
      </c>
      <c r="CF8" s="12">
        <f>CE8*(1 + Tickets!AU$267/100)</f>
        <v>153800.74191272142</v>
      </c>
      <c r="CG8" s="12">
        <f>CF8*(1 + Tickets!AV$267/100)</f>
        <v>153800.74191272142</v>
      </c>
      <c r="CH8" s="12">
        <f>CG8*(1 + Tickets!AW$267/100)</f>
        <v>153800.74191272142</v>
      </c>
      <c r="CI8" s="12">
        <f>CH8*(1 + Tickets!AX$267/100)</f>
        <v>153800.74191272142</v>
      </c>
      <c r="CJ8" s="12">
        <f>CI8*(1 + Tickets!AY$267/100)</f>
        <v>153800.74191272142</v>
      </c>
      <c r="CK8" s="12">
        <f>CJ8*(1 + Tickets!AZ$267/100)</f>
        <v>153800.74191272142</v>
      </c>
      <c r="CL8" s="12">
        <f>CK8*(1 + Tickets!BA$267/100)</f>
        <v>153800.74191272142</v>
      </c>
      <c r="CM8" s="12">
        <f>CL8*(1 + Tickets!BB$267/100)</f>
        <v>153800.74191272142</v>
      </c>
      <c r="CN8" s="12">
        <f>CM8*(1 + Tickets!BC$267/100)</f>
        <v>153800.74191272142</v>
      </c>
      <c r="CO8" s="12">
        <f>CN8*(1 + Tickets!BD$267/100)</f>
        <v>153800.74191272142</v>
      </c>
      <c r="CP8" s="12">
        <f>CO8*(1 + Tickets!BE$267/100)</f>
        <v>153800.74191272142</v>
      </c>
      <c r="CQ8" s="12">
        <f>CP8*(1 + Tickets!BF$267/100)</f>
        <v>153800.74191272142</v>
      </c>
      <c r="CR8" s="12">
        <f>CQ8*(1 + Tickets!BG$267/100)</f>
        <v>153800.74191272142</v>
      </c>
      <c r="CS8" s="12">
        <f>CR8*(1 + Tickets!BH$267/100)</f>
        <v>153800.74191272142</v>
      </c>
      <c r="CT8" s="12">
        <f>CS8*(1 + Tickets!BI$267/100)</f>
        <v>153800.74191272142</v>
      </c>
      <c r="CU8" s="12">
        <f>CT8*(1 + Tickets!BJ$267/100)</f>
        <v>153800.74191272142</v>
      </c>
      <c r="CV8" s="12">
        <f>CU8*(1 + Tickets!BK$267/100)</f>
        <v>153800.74191272142</v>
      </c>
    </row>
    <row r="9" spans="1:108" s="12" customFormat="1">
      <c r="G9" s="21"/>
      <c r="H9" s="21"/>
      <c r="I9" s="21"/>
      <c r="L9" s="21"/>
      <c r="O9" s="21"/>
      <c r="R9" s="21"/>
      <c r="U9" s="21"/>
      <c r="AH9" s="12" t="s">
        <v>265</v>
      </c>
      <c r="AJ9" s="12" t="s">
        <v>231</v>
      </c>
      <c r="AN9" s="12">
        <f>AA52*Variables!E26</f>
        <v>41681.933943487631</v>
      </c>
      <c r="AO9" s="12">
        <f>AN9*(1 + Tickets!D$267/100)</f>
        <v>42624.779289289327</v>
      </c>
      <c r="AP9" s="12">
        <f>AO9*(1 + Tickets!E$267/100)</f>
        <v>43084.700657820758</v>
      </c>
      <c r="AQ9" s="12">
        <f>AP9*(1 + Tickets!F$267/100)</f>
        <v>43827.480897161586</v>
      </c>
      <c r="AR9" s="12">
        <f>AQ9*(1 + Tickets!G$267/100)</f>
        <v>44791.68547689914</v>
      </c>
      <c r="AS9" s="12">
        <f>AR9*(1 + Tickets!H$267/100)</f>
        <v>45508.352444529526</v>
      </c>
      <c r="AT9" s="12">
        <f>AS9*(1 + Tickets!I$267/100)</f>
        <v>46373.011140975585</v>
      </c>
      <c r="AU9" s="12">
        <f>AT9*(1 + Tickets!J$267/100)</f>
        <v>47254.098352654117</v>
      </c>
      <c r="AV9" s="12">
        <f>AU9*(1 + Tickets!K$267/100)</f>
        <v>48199.1803197072</v>
      </c>
      <c r="AW9" s="12">
        <f>AV9*(1 + Tickets!L$267/100)</f>
        <v>49187.263516261199</v>
      </c>
      <c r="AX9" s="12">
        <f>AW9*(1 + Tickets!M$267/100)</f>
        <v>50220.196050102677</v>
      </c>
      <c r="AY9" s="12">
        <f>AX9*(1 + Tickets!N$267/100)</f>
        <v>51299.930265179886</v>
      </c>
      <c r="AZ9" s="12">
        <f>AY9*(1 + Tickets!O$267/100)</f>
        <v>52428.528731013845</v>
      </c>
      <c r="BA9" s="12">
        <f>AZ9*(1 + Tickets!P$267/100)</f>
        <v>53581.956363096149</v>
      </c>
      <c r="BB9" s="12">
        <f>BA9*(1 + Tickets!Q$267/100)</f>
        <v>54760.759403084267</v>
      </c>
      <c r="BC9" s="12">
        <f>BB9*(1 + Tickets!R$267/100)</f>
        <v>55965.496109952124</v>
      </c>
      <c r="BD9" s="12">
        <f>BC9*(1 + Tickets!S$267/100)</f>
        <v>57196.737024371076</v>
      </c>
      <c r="BE9" s="12">
        <f>BD9*(1 + Tickets!T$267/100)</f>
        <v>58455.065238907242</v>
      </c>
      <c r="BF9" s="12">
        <f>BE9*(1 + Tickets!U$267/100)</f>
        <v>59741.076674163203</v>
      </c>
      <c r="BG9" s="12">
        <f>BF9*(1 + Tickets!V$267/100)</f>
        <v>61055.380360994794</v>
      </c>
      <c r="BH9" s="12">
        <f>BG9*(1 + Tickets!W$267/100)</f>
        <v>61055.380360994794</v>
      </c>
      <c r="BI9" s="12">
        <f>BH9*(1 + Tickets!X$267/100)</f>
        <v>61055.380360994794</v>
      </c>
      <c r="BJ9" s="12">
        <f>BI9*(1 + Tickets!Y$267/100)</f>
        <v>61055.380360994794</v>
      </c>
      <c r="BK9" s="12">
        <f>BJ9*(1 + Tickets!Z$267/100)</f>
        <v>61055.380360994794</v>
      </c>
      <c r="BL9" s="12">
        <f>BK9*(1 + Tickets!AA$267/100)</f>
        <v>61055.380360994794</v>
      </c>
      <c r="BM9" s="12">
        <f>BL9*(1 + Tickets!AB$267/100)</f>
        <v>61055.380360994794</v>
      </c>
      <c r="BN9" s="12">
        <f>BM9*(1 + Tickets!AC$267/100)</f>
        <v>61055.380360994794</v>
      </c>
      <c r="BO9" s="12">
        <f>BN9*(1 + Tickets!AD$267/100)</f>
        <v>61055.380360994794</v>
      </c>
      <c r="BP9" s="12">
        <f>BO9*(1 + Tickets!AE$267/100)</f>
        <v>61055.380360994794</v>
      </c>
      <c r="BQ9" s="12">
        <f>BP9*(1 + Tickets!AF$267/100)</f>
        <v>61055.380360994794</v>
      </c>
      <c r="BR9" s="12">
        <f>BQ9*(1 + Tickets!AG$267/100)</f>
        <v>61055.380360994794</v>
      </c>
      <c r="BS9" s="12">
        <f>BR9*(1 + Tickets!AH$267/100)</f>
        <v>61055.380360994794</v>
      </c>
      <c r="BT9" s="12">
        <f>BS9*(1 + Tickets!AI$267/100)</f>
        <v>61055.380360994794</v>
      </c>
      <c r="BU9" s="12">
        <f>BT9*(1 + Tickets!AJ$267/100)</f>
        <v>61055.380360994794</v>
      </c>
      <c r="BV9" s="12">
        <f>BU9*(1 + Tickets!AK$267/100)</f>
        <v>61055.380360994794</v>
      </c>
      <c r="BW9" s="12">
        <f>BV9*(1 + Tickets!AL$267/100)</f>
        <v>61055.380360994794</v>
      </c>
      <c r="BX9" s="12">
        <f>BW9*(1 + Tickets!AM$267/100)</f>
        <v>61055.380360994794</v>
      </c>
      <c r="BY9" s="12">
        <f>BX9*(1 + Tickets!AN$267/100)</f>
        <v>61055.380360994794</v>
      </c>
      <c r="BZ9" s="12">
        <f>BY9*(1 + Tickets!AO$267/100)</f>
        <v>61055.380360994794</v>
      </c>
      <c r="CA9" s="12">
        <f>BZ9*(1 + Tickets!AP$267/100)</f>
        <v>61055.380360994794</v>
      </c>
      <c r="CB9" s="12">
        <f>CA9*(1 + Tickets!AQ$267/100)</f>
        <v>61055.380360994794</v>
      </c>
      <c r="CC9" s="12">
        <f>CB9*(1 + Tickets!AR$267/100)</f>
        <v>61055.380360994794</v>
      </c>
      <c r="CD9" s="12">
        <f>CC9*(1 + Tickets!AS$267/100)</f>
        <v>61055.380360994794</v>
      </c>
      <c r="CE9" s="12">
        <f>CD9*(1 + Tickets!AT$267/100)</f>
        <v>61055.380360994794</v>
      </c>
      <c r="CF9" s="12">
        <f>CE9*(1 + Tickets!AU$267/100)</f>
        <v>61055.380360994794</v>
      </c>
      <c r="CG9" s="12">
        <f>CF9*(1 + Tickets!AV$267/100)</f>
        <v>61055.380360994794</v>
      </c>
      <c r="CH9" s="12">
        <f>CG9*(1 + Tickets!AW$267/100)</f>
        <v>61055.380360994794</v>
      </c>
      <c r="CI9" s="12">
        <f>CH9*(1 + Tickets!AX$267/100)</f>
        <v>61055.380360994794</v>
      </c>
      <c r="CJ9" s="12">
        <f>CI9*(1 + Tickets!AY$267/100)</f>
        <v>61055.380360994794</v>
      </c>
      <c r="CK9" s="12">
        <f>CJ9*(1 + Tickets!AZ$267/100)</f>
        <v>61055.380360994794</v>
      </c>
      <c r="CL9" s="12">
        <f>CK9*(1 + Tickets!BA$267/100)</f>
        <v>61055.380360994794</v>
      </c>
      <c r="CM9" s="12">
        <f>CL9*(1 + Tickets!BB$267/100)</f>
        <v>61055.380360994794</v>
      </c>
      <c r="CN9" s="12">
        <f>CM9*(1 + Tickets!BC$267/100)</f>
        <v>61055.380360994794</v>
      </c>
      <c r="CO9" s="12">
        <f>CN9*(1 + Tickets!BD$267/100)</f>
        <v>61055.380360994794</v>
      </c>
      <c r="CP9" s="12">
        <f>CO9*(1 + Tickets!BE$267/100)</f>
        <v>61055.380360994794</v>
      </c>
      <c r="CQ9" s="12">
        <f>CP9*(1 + Tickets!BF$267/100)</f>
        <v>61055.380360994794</v>
      </c>
      <c r="CR9" s="12">
        <f>CQ9*(1 + Tickets!BG$267/100)</f>
        <v>61055.380360994794</v>
      </c>
      <c r="CS9" s="12">
        <f>CR9*(1 + Tickets!BH$267/100)</f>
        <v>61055.380360994794</v>
      </c>
      <c r="CT9" s="12">
        <f>CS9*(1 + Tickets!BI$267/100)</f>
        <v>61055.380360994794</v>
      </c>
      <c r="CU9" s="12">
        <f>CT9*(1 + Tickets!BJ$267/100)</f>
        <v>61055.380360994794</v>
      </c>
      <c r="CV9" s="12">
        <f>CU9*(1 + Tickets!BK$267/100)</f>
        <v>61055.380360994794</v>
      </c>
    </row>
    <row r="10" spans="1:108" s="12" customFormat="1">
      <c r="AJ10" s="12" t="s">
        <v>232</v>
      </c>
      <c r="AN10" s="12">
        <f>AA53*Variables!E26</f>
        <v>13229.990176539233</v>
      </c>
      <c r="AO10" s="12">
        <f>AN10*(1 + Tickets!D$267/100)</f>
        <v>13529.252554332552</v>
      </c>
      <c r="AP10" s="12">
        <f>AO10*(1 + Tickets!E$267/100)</f>
        <v>13675.233189393801</v>
      </c>
      <c r="AQ10" s="12">
        <f>AP10*(1 + Tickets!F$267/100)</f>
        <v>13910.994209578948</v>
      </c>
      <c r="AR10" s="12">
        <f>AQ10*(1 + Tickets!G$267/100)</f>
        <v>14217.036082189685</v>
      </c>
      <c r="AS10" s="12">
        <f>AR10*(1 + Tickets!H$267/100)</f>
        <v>14444.50865950472</v>
      </c>
      <c r="AT10" s="12">
        <f>AS10*(1 + Tickets!I$267/100)</f>
        <v>14718.954324035309</v>
      </c>
      <c r="AU10" s="12">
        <f>AT10*(1 + Tickets!J$267/100)</f>
        <v>14998.614456191977</v>
      </c>
      <c r="AV10" s="12">
        <f>AU10*(1 + Tickets!K$267/100)</f>
        <v>15298.586745315817</v>
      </c>
      <c r="AW10" s="12">
        <f>AV10*(1 + Tickets!L$267/100)</f>
        <v>15612.207773594791</v>
      </c>
      <c r="AX10" s="12">
        <f>AW10*(1 + Tickets!M$267/100)</f>
        <v>15940.064136840281</v>
      </c>
      <c r="AY10" s="12">
        <f>AX10*(1 + Tickets!N$267/100)</f>
        <v>16282.775515782349</v>
      </c>
      <c r="AZ10" s="12">
        <f>AY10*(1 + Tickets!O$267/100)</f>
        <v>16640.996577129561</v>
      </c>
      <c r="BA10" s="12">
        <f>AZ10*(1 + Tickets!P$267/100)</f>
        <v>17007.098501826411</v>
      </c>
      <c r="BB10" s="12">
        <f>BA10*(1 + Tickets!Q$267/100)</f>
        <v>17381.254668866593</v>
      </c>
      <c r="BC10" s="12">
        <f>BB10*(1 + Tickets!R$267/100)</f>
        <v>17763.642271581659</v>
      </c>
      <c r="BD10" s="12">
        <f>BC10*(1 + Tickets!S$267/100)</f>
        <v>18154.442401556455</v>
      </c>
      <c r="BE10" s="12">
        <f>BD10*(1 + Tickets!T$267/100)</f>
        <v>18553.840134390695</v>
      </c>
      <c r="BF10" s="12">
        <f>BE10*(1 + Tickets!U$267/100)</f>
        <v>18962.024617347291</v>
      </c>
      <c r="BG10" s="12">
        <f>BF10*(1 + Tickets!V$267/100)</f>
        <v>19379.189158928933</v>
      </c>
      <c r="BH10" s="12">
        <f>BG10*(1 + Tickets!W$267/100)</f>
        <v>19379.189158928933</v>
      </c>
      <c r="BI10" s="12">
        <f>BH10*(1 + Tickets!X$267/100)</f>
        <v>19379.189158928933</v>
      </c>
      <c r="BJ10" s="12">
        <f>BI10*(1 + Tickets!Y$267/100)</f>
        <v>19379.189158928933</v>
      </c>
      <c r="BK10" s="12">
        <f>BJ10*(1 + Tickets!Z$267/100)</f>
        <v>19379.189158928933</v>
      </c>
      <c r="BL10" s="12">
        <f>BK10*(1 + Tickets!AA$267/100)</f>
        <v>19379.189158928933</v>
      </c>
      <c r="BM10" s="12">
        <f>BL10*(1 + Tickets!AB$267/100)</f>
        <v>19379.189158928933</v>
      </c>
      <c r="BN10" s="12">
        <f>BM10*(1 + Tickets!AC$267/100)</f>
        <v>19379.189158928933</v>
      </c>
      <c r="BO10" s="12">
        <f>BN10*(1 + Tickets!AD$267/100)</f>
        <v>19379.189158928933</v>
      </c>
      <c r="BP10" s="12">
        <f>BO10*(1 + Tickets!AE$267/100)</f>
        <v>19379.189158928933</v>
      </c>
      <c r="BQ10" s="12">
        <f>BP10*(1 + Tickets!AF$267/100)</f>
        <v>19379.189158928933</v>
      </c>
      <c r="BR10" s="12">
        <f>BQ10*(1 + Tickets!AG$267/100)</f>
        <v>19379.189158928933</v>
      </c>
      <c r="BS10" s="12">
        <f>BR10*(1 + Tickets!AH$267/100)</f>
        <v>19379.189158928933</v>
      </c>
      <c r="BT10" s="12">
        <f>BS10*(1 + Tickets!AI$267/100)</f>
        <v>19379.189158928933</v>
      </c>
      <c r="BU10" s="12">
        <f>BT10*(1 + Tickets!AJ$267/100)</f>
        <v>19379.189158928933</v>
      </c>
      <c r="BV10" s="12">
        <f>BU10*(1 + Tickets!AK$267/100)</f>
        <v>19379.189158928933</v>
      </c>
      <c r="BW10" s="12">
        <f>BV10*(1 + Tickets!AL$267/100)</f>
        <v>19379.189158928933</v>
      </c>
      <c r="BX10" s="12">
        <f>BW10*(1 + Tickets!AM$267/100)</f>
        <v>19379.189158928933</v>
      </c>
      <c r="BY10" s="12">
        <f>BX10*(1 + Tickets!AN$267/100)</f>
        <v>19379.189158928933</v>
      </c>
      <c r="BZ10" s="12">
        <f>BY10*(1 + Tickets!AO$267/100)</f>
        <v>19379.189158928933</v>
      </c>
      <c r="CA10" s="12">
        <f>BZ10*(1 + Tickets!AP$267/100)</f>
        <v>19379.189158928933</v>
      </c>
      <c r="CB10" s="12">
        <f>CA10*(1 + Tickets!AQ$267/100)</f>
        <v>19379.189158928933</v>
      </c>
      <c r="CC10" s="12">
        <f>CB10*(1 + Tickets!AR$267/100)</f>
        <v>19379.189158928933</v>
      </c>
      <c r="CD10" s="12">
        <f>CC10*(1 + Tickets!AS$267/100)</f>
        <v>19379.189158928933</v>
      </c>
      <c r="CE10" s="12">
        <f>CD10*(1 + Tickets!AT$267/100)</f>
        <v>19379.189158928933</v>
      </c>
      <c r="CF10" s="12">
        <f>CE10*(1 + Tickets!AU$267/100)</f>
        <v>19379.189158928933</v>
      </c>
      <c r="CG10" s="12">
        <f>CF10*(1 + Tickets!AV$267/100)</f>
        <v>19379.189158928933</v>
      </c>
      <c r="CH10" s="12">
        <f>CG10*(1 + Tickets!AW$267/100)</f>
        <v>19379.189158928933</v>
      </c>
      <c r="CI10" s="12">
        <f>CH10*(1 + Tickets!AX$267/100)</f>
        <v>19379.189158928933</v>
      </c>
      <c r="CJ10" s="12">
        <f>CI10*(1 + Tickets!AY$267/100)</f>
        <v>19379.189158928933</v>
      </c>
      <c r="CK10" s="12">
        <f>CJ10*(1 + Tickets!AZ$267/100)</f>
        <v>19379.189158928933</v>
      </c>
      <c r="CL10" s="12">
        <f>CK10*(1 + Tickets!BA$267/100)</f>
        <v>19379.189158928933</v>
      </c>
      <c r="CM10" s="12">
        <f>CL10*(1 + Tickets!BB$267/100)</f>
        <v>19379.189158928933</v>
      </c>
      <c r="CN10" s="12">
        <f>CM10*(1 + Tickets!BC$267/100)</f>
        <v>19379.189158928933</v>
      </c>
      <c r="CO10" s="12">
        <f>CN10*(1 + Tickets!BD$267/100)</f>
        <v>19379.189158928933</v>
      </c>
      <c r="CP10" s="12">
        <f>CO10*(1 + Tickets!BE$267/100)</f>
        <v>19379.189158928933</v>
      </c>
      <c r="CQ10" s="12">
        <f>CP10*(1 + Tickets!BF$267/100)</f>
        <v>19379.189158928933</v>
      </c>
      <c r="CR10" s="12">
        <f>CQ10*(1 + Tickets!BG$267/100)</f>
        <v>19379.189158928933</v>
      </c>
      <c r="CS10" s="12">
        <f>CR10*(1 + Tickets!BH$267/100)</f>
        <v>19379.189158928933</v>
      </c>
      <c r="CT10" s="12">
        <f>CS10*(1 + Tickets!BI$267/100)</f>
        <v>19379.189158928933</v>
      </c>
      <c r="CU10" s="12">
        <f>CT10*(1 + Tickets!BJ$267/100)</f>
        <v>19379.189158928933</v>
      </c>
      <c r="CV10" s="12">
        <f>CU10*(1 + Tickets!BK$267/100)</f>
        <v>19379.189158928933</v>
      </c>
    </row>
    <row r="11" spans="1:108">
      <c r="AH11" s="12"/>
      <c r="AI11" s="12"/>
      <c r="AJ11" s="12" t="s">
        <v>233</v>
      </c>
      <c r="AN11" s="12">
        <f>AA54*Variables!E26</f>
        <v>9329.830947009028</v>
      </c>
      <c r="AO11" s="12">
        <f>AN11*(1 + Tickets!D$267/100)</f>
        <v>9540.8717230303737</v>
      </c>
      <c r="AP11" s="12">
        <f>AO11*(1 + Tickets!E$267/100)</f>
        <v>9643.8177289218729</v>
      </c>
      <c r="AQ11" s="12">
        <f>AP11*(1 + Tickets!F$267/100)</f>
        <v>9810.0771465684847</v>
      </c>
      <c r="AR11" s="12">
        <f>AQ11*(1 + Tickets!G$267/100)</f>
        <v>10025.898843792991</v>
      </c>
      <c r="AS11" s="12">
        <f>AR11*(1 + Tickets!H$267/100)</f>
        <v>10186.313225293679</v>
      </c>
      <c r="AT11" s="12">
        <f>AS11*(1 + Tickets!I$267/100)</f>
        <v>10379.853176574259</v>
      </c>
      <c r="AU11" s="12">
        <f>AT11*(1 + Tickets!J$267/100)</f>
        <v>10577.070386929168</v>
      </c>
      <c r="AV11" s="12">
        <f>AU11*(1 + Tickets!K$267/100)</f>
        <v>10788.611794667751</v>
      </c>
      <c r="AW11" s="12">
        <f>AV11*(1 + Tickets!L$267/100)</f>
        <v>11009.778336458439</v>
      </c>
      <c r="AX11" s="12">
        <f>AW11*(1 + Tickets!M$267/100)</f>
        <v>11240.983681524065</v>
      </c>
      <c r="AY11" s="12">
        <f>AX11*(1 + Tickets!N$267/100)</f>
        <v>11482.664830676833</v>
      </c>
      <c r="AZ11" s="12">
        <f>AY11*(1 + Tickets!O$267/100)</f>
        <v>11735.283456951724</v>
      </c>
      <c r="BA11" s="12">
        <f>AZ11*(1 + Tickets!P$267/100)</f>
        <v>11993.459693004661</v>
      </c>
      <c r="BB11" s="12">
        <f>BA11*(1 + Tickets!Q$267/100)</f>
        <v>12257.315806250765</v>
      </c>
      <c r="BC11" s="12">
        <f>BB11*(1 + Tickets!R$267/100)</f>
        <v>12526.976753988281</v>
      </c>
      <c r="BD11" s="12">
        <f>BC11*(1 + Tickets!S$267/100)</f>
        <v>12802.570242576025</v>
      </c>
      <c r="BE11" s="12">
        <f>BD11*(1 + Tickets!T$267/100)</f>
        <v>13084.226787912698</v>
      </c>
      <c r="BF11" s="12">
        <f>BE11*(1 + Tickets!U$267/100)</f>
        <v>13372.079777246778</v>
      </c>
      <c r="BG11" s="12">
        <f>BF11*(1 + Tickets!V$267/100)</f>
        <v>13666.265532346208</v>
      </c>
      <c r="BH11" s="12">
        <f>BG11*(1 + Tickets!W$267/100)</f>
        <v>13666.265532346208</v>
      </c>
      <c r="BI11" s="12">
        <f>BH11*(1 + Tickets!X$267/100)</f>
        <v>13666.265532346208</v>
      </c>
      <c r="BJ11" s="12">
        <f>BI11*(1 + Tickets!Y$267/100)</f>
        <v>13666.265532346208</v>
      </c>
      <c r="BK11" s="12">
        <f>BJ11*(1 + Tickets!Z$267/100)</f>
        <v>13666.265532346208</v>
      </c>
      <c r="BL11" s="12">
        <f>BK11*(1 + Tickets!AA$267/100)</f>
        <v>13666.265532346208</v>
      </c>
      <c r="BM11" s="12">
        <f>BL11*(1 + Tickets!AB$267/100)</f>
        <v>13666.265532346208</v>
      </c>
      <c r="BN11" s="12">
        <f>BM11*(1 + Tickets!AC$267/100)</f>
        <v>13666.265532346208</v>
      </c>
      <c r="BO11" s="12">
        <f>BN11*(1 + Tickets!AD$267/100)</f>
        <v>13666.265532346208</v>
      </c>
      <c r="BP11" s="12">
        <f>BO11*(1 + Tickets!AE$267/100)</f>
        <v>13666.265532346208</v>
      </c>
      <c r="BQ11" s="12">
        <f>BP11*(1 + Tickets!AF$267/100)</f>
        <v>13666.265532346208</v>
      </c>
      <c r="BR11" s="12">
        <f>BQ11*(1 + Tickets!AG$267/100)</f>
        <v>13666.265532346208</v>
      </c>
      <c r="BS11" s="12">
        <f>BR11*(1 + Tickets!AH$267/100)</f>
        <v>13666.265532346208</v>
      </c>
      <c r="BT11" s="12">
        <f>BS11*(1 + Tickets!AI$267/100)</f>
        <v>13666.265532346208</v>
      </c>
      <c r="BU11" s="12">
        <f>BT11*(1 + Tickets!AJ$267/100)</f>
        <v>13666.265532346208</v>
      </c>
      <c r="BV11" s="12">
        <f>BU11*(1 + Tickets!AK$267/100)</f>
        <v>13666.265532346208</v>
      </c>
      <c r="BW11" s="12">
        <f>BV11*(1 + Tickets!AL$267/100)</f>
        <v>13666.265532346208</v>
      </c>
      <c r="BX11" s="12">
        <f>BW11*(1 + Tickets!AM$267/100)</f>
        <v>13666.265532346208</v>
      </c>
      <c r="BY11" s="12">
        <f>BX11*(1 + Tickets!AN$267/100)</f>
        <v>13666.265532346208</v>
      </c>
      <c r="BZ11" s="12">
        <f>BY11*(1 + Tickets!AO$267/100)</f>
        <v>13666.265532346208</v>
      </c>
      <c r="CA11" s="12">
        <f>BZ11*(1 + Tickets!AP$267/100)</f>
        <v>13666.265532346208</v>
      </c>
      <c r="CB11" s="12">
        <f>CA11*(1 + Tickets!AQ$267/100)</f>
        <v>13666.265532346208</v>
      </c>
      <c r="CC11" s="12">
        <f>CB11*(1 + Tickets!AR$267/100)</f>
        <v>13666.265532346208</v>
      </c>
      <c r="CD11" s="12">
        <f>CC11*(1 + Tickets!AS$267/100)</f>
        <v>13666.265532346208</v>
      </c>
      <c r="CE11" s="12">
        <f>CD11*(1 + Tickets!AT$267/100)</f>
        <v>13666.265532346208</v>
      </c>
      <c r="CF11" s="12">
        <f>CE11*(1 + Tickets!AU$267/100)</f>
        <v>13666.265532346208</v>
      </c>
      <c r="CG11" s="12">
        <f>CF11*(1 + Tickets!AV$267/100)</f>
        <v>13666.265532346208</v>
      </c>
      <c r="CH11" s="12">
        <f>CG11*(1 + Tickets!AW$267/100)</f>
        <v>13666.265532346208</v>
      </c>
      <c r="CI11" s="12">
        <f>CH11*(1 + Tickets!AX$267/100)</f>
        <v>13666.265532346208</v>
      </c>
      <c r="CJ11" s="12">
        <f>CI11*(1 + Tickets!AY$267/100)</f>
        <v>13666.265532346208</v>
      </c>
      <c r="CK11" s="12">
        <f>CJ11*(1 + Tickets!AZ$267/100)</f>
        <v>13666.265532346208</v>
      </c>
      <c r="CL11" s="12">
        <f>CK11*(1 + Tickets!BA$267/100)</f>
        <v>13666.265532346208</v>
      </c>
      <c r="CM11" s="12">
        <f>CL11*(1 + Tickets!BB$267/100)</f>
        <v>13666.265532346208</v>
      </c>
      <c r="CN11" s="12">
        <f>CM11*(1 + Tickets!BC$267/100)</f>
        <v>13666.265532346208</v>
      </c>
      <c r="CO11" s="12">
        <f>CN11*(1 + Tickets!BD$267/100)</f>
        <v>13666.265532346208</v>
      </c>
      <c r="CP11" s="12">
        <f>CO11*(1 + Tickets!BE$267/100)</f>
        <v>13666.265532346208</v>
      </c>
      <c r="CQ11" s="12">
        <f>CP11*(1 + Tickets!BF$267/100)</f>
        <v>13666.265532346208</v>
      </c>
      <c r="CR11" s="12">
        <f>CQ11*(1 + Tickets!BG$267/100)</f>
        <v>13666.265532346208</v>
      </c>
      <c r="CS11" s="12">
        <f>CR11*(1 + Tickets!BH$267/100)</f>
        <v>13666.265532346208</v>
      </c>
      <c r="CT11" s="12">
        <f>CS11*(1 + Tickets!BI$267/100)</f>
        <v>13666.265532346208</v>
      </c>
      <c r="CU11" s="12">
        <f>CT11*(1 + Tickets!BJ$267/100)</f>
        <v>13666.265532346208</v>
      </c>
      <c r="CV11" s="12">
        <f>CU11*(1 + Tickets!BK$267/100)</f>
        <v>13666.265532346208</v>
      </c>
    </row>
    <row r="12" spans="1:108">
      <c r="A12" t="s">
        <v>74</v>
      </c>
      <c r="D12" t="s">
        <v>224</v>
      </c>
      <c r="W12" t="s">
        <v>264</v>
      </c>
      <c r="AH12" s="12"/>
      <c r="AI12" s="12"/>
      <c r="AJ12" s="12" t="s">
        <v>234</v>
      </c>
      <c r="AN12" s="12">
        <f>AA55*Variables!E26</f>
        <v>6325.2000000000007</v>
      </c>
      <c r="AO12" s="12">
        <f>AN12*(1 + Tickets!D$267/100)</f>
        <v>6468.2760240000016</v>
      </c>
      <c r="AP12" s="12">
        <f>AO12*(1 + Tickets!E$267/100)</f>
        <v>6538.0687222989618</v>
      </c>
      <c r="AQ12" s="12">
        <f>AP12*(1 + Tickets!F$267/100)</f>
        <v>6650.7850270713952</v>
      </c>
      <c r="AR12" s="12">
        <f>AQ12*(1 + Tickets!G$267/100)</f>
        <v>6797.1022976669665</v>
      </c>
      <c r="AS12" s="12">
        <f>AR12*(1 + Tickets!H$267/100)</f>
        <v>6905.8559344296382</v>
      </c>
      <c r="AT12" s="12">
        <f>AS12*(1 + Tickets!I$267/100)</f>
        <v>7037.067197183801</v>
      </c>
      <c r="AU12" s="12">
        <f>AT12*(1 + Tickets!J$267/100)</f>
        <v>7170.7714739302928</v>
      </c>
      <c r="AV12" s="12">
        <f>AU12*(1 + Tickets!K$267/100)</f>
        <v>7314.1869034088986</v>
      </c>
      <c r="AW12" s="12">
        <f>AV12*(1 + Tickets!L$267/100)</f>
        <v>7464.1277349287811</v>
      </c>
      <c r="AX12" s="12">
        <f>AW12*(1 + Tickets!M$267/100)</f>
        <v>7620.8744173622845</v>
      </c>
      <c r="AY12" s="12">
        <f>AX12*(1 + Tickets!N$267/100)</f>
        <v>7784.7232173355742</v>
      </c>
      <c r="AZ12" s="12">
        <f>AY12*(1 + Tickets!O$267/100)</f>
        <v>7955.9871281169571</v>
      </c>
      <c r="BA12" s="12">
        <f>AZ12*(1 + Tickets!P$267/100)</f>
        <v>8131.0188449355301</v>
      </c>
      <c r="BB12" s="12">
        <f>BA12*(1 + Tickets!Q$267/100)</f>
        <v>8309.9012595241111</v>
      </c>
      <c r="BC12" s="12">
        <f>BB12*(1 + Tickets!R$267/100)</f>
        <v>8492.7190872336414</v>
      </c>
      <c r="BD12" s="12">
        <f>BC12*(1 + Tickets!S$267/100)</f>
        <v>8679.5589071527811</v>
      </c>
      <c r="BE12" s="12">
        <f>BD12*(1 + Tickets!T$267/100)</f>
        <v>8870.5092031101431</v>
      </c>
      <c r="BF12" s="12">
        <f>BE12*(1 + Tickets!U$267/100)</f>
        <v>9065.6604055785665</v>
      </c>
      <c r="BG12" s="12">
        <f>BF12*(1 + Tickets!V$267/100)</f>
        <v>9265.1049345012943</v>
      </c>
      <c r="BH12" s="12">
        <f>BG12*(1 + Tickets!W$267/100)</f>
        <v>9265.1049345012943</v>
      </c>
      <c r="BI12" s="12">
        <f>BH12*(1 + Tickets!X$267/100)</f>
        <v>9265.1049345012943</v>
      </c>
      <c r="BJ12" s="12">
        <f>BI12*(1 + Tickets!Y$267/100)</f>
        <v>9265.1049345012943</v>
      </c>
      <c r="BK12" s="12">
        <f>BJ12*(1 + Tickets!Z$267/100)</f>
        <v>9265.1049345012943</v>
      </c>
      <c r="BL12" s="12">
        <f>BK12*(1 + Tickets!AA$267/100)</f>
        <v>9265.1049345012943</v>
      </c>
      <c r="BM12" s="12">
        <f>BL12*(1 + Tickets!AB$267/100)</f>
        <v>9265.1049345012943</v>
      </c>
      <c r="BN12" s="12">
        <f>BM12*(1 + Tickets!AC$267/100)</f>
        <v>9265.1049345012943</v>
      </c>
      <c r="BO12" s="12">
        <f>BN12*(1 + Tickets!AD$267/100)</f>
        <v>9265.1049345012943</v>
      </c>
      <c r="BP12" s="12">
        <f>BO12*(1 + Tickets!AE$267/100)</f>
        <v>9265.1049345012943</v>
      </c>
      <c r="BQ12" s="12">
        <f>BP12*(1 + Tickets!AF$267/100)</f>
        <v>9265.1049345012943</v>
      </c>
      <c r="BR12" s="12">
        <f>BQ12*(1 + Tickets!AG$267/100)</f>
        <v>9265.1049345012943</v>
      </c>
      <c r="BS12" s="12">
        <f>BR12*(1 + Tickets!AH$267/100)</f>
        <v>9265.1049345012943</v>
      </c>
      <c r="BT12" s="12">
        <f>BS12*(1 + Tickets!AI$267/100)</f>
        <v>9265.1049345012943</v>
      </c>
      <c r="BU12" s="12">
        <f>BT12*(1 + Tickets!AJ$267/100)</f>
        <v>9265.1049345012943</v>
      </c>
      <c r="BV12" s="12">
        <f>BU12*(1 + Tickets!AK$267/100)</f>
        <v>9265.1049345012943</v>
      </c>
      <c r="BW12" s="12">
        <f>BV12*(1 + Tickets!AL$267/100)</f>
        <v>9265.1049345012943</v>
      </c>
      <c r="BX12" s="12">
        <f>BW12*(1 + Tickets!AM$267/100)</f>
        <v>9265.1049345012943</v>
      </c>
      <c r="BY12" s="12">
        <f>BX12*(1 + Tickets!AN$267/100)</f>
        <v>9265.1049345012943</v>
      </c>
      <c r="BZ12" s="12">
        <f>BY12*(1 + Tickets!AO$267/100)</f>
        <v>9265.1049345012943</v>
      </c>
      <c r="CA12" s="12">
        <f>BZ12*(1 + Tickets!AP$267/100)</f>
        <v>9265.1049345012943</v>
      </c>
      <c r="CB12" s="12">
        <f>CA12*(1 + Tickets!AQ$267/100)</f>
        <v>9265.1049345012943</v>
      </c>
      <c r="CC12" s="12">
        <f>CB12*(1 + Tickets!AR$267/100)</f>
        <v>9265.1049345012943</v>
      </c>
      <c r="CD12" s="12">
        <f>CC12*(1 + Tickets!AS$267/100)</f>
        <v>9265.1049345012943</v>
      </c>
      <c r="CE12" s="12">
        <f>CD12*(1 + Tickets!AT$267/100)</f>
        <v>9265.1049345012943</v>
      </c>
      <c r="CF12" s="12">
        <f>CE12*(1 + Tickets!AU$267/100)</f>
        <v>9265.1049345012943</v>
      </c>
      <c r="CG12" s="12">
        <f>CF12*(1 + Tickets!AV$267/100)</f>
        <v>9265.1049345012943</v>
      </c>
      <c r="CH12" s="12">
        <f>CG12*(1 + Tickets!AW$267/100)</f>
        <v>9265.1049345012943</v>
      </c>
      <c r="CI12" s="12">
        <f>CH12*(1 + Tickets!AX$267/100)</f>
        <v>9265.1049345012943</v>
      </c>
      <c r="CJ12" s="12">
        <f>CI12*(1 + Tickets!AY$267/100)</f>
        <v>9265.1049345012943</v>
      </c>
      <c r="CK12" s="12">
        <f>CJ12*(1 + Tickets!AZ$267/100)</f>
        <v>9265.1049345012943</v>
      </c>
      <c r="CL12" s="12">
        <f>CK12*(1 + Tickets!BA$267/100)</f>
        <v>9265.1049345012943</v>
      </c>
      <c r="CM12" s="12">
        <f>CL12*(1 + Tickets!BB$267/100)</f>
        <v>9265.1049345012943</v>
      </c>
      <c r="CN12" s="12">
        <f>CM12*(1 + Tickets!BC$267/100)</f>
        <v>9265.1049345012943</v>
      </c>
      <c r="CO12" s="12">
        <f>CN12*(1 + Tickets!BD$267/100)</f>
        <v>9265.1049345012943</v>
      </c>
      <c r="CP12" s="12">
        <f>CO12*(1 + Tickets!BE$267/100)</f>
        <v>9265.1049345012943</v>
      </c>
      <c r="CQ12" s="12">
        <f>CP12*(1 + Tickets!BF$267/100)</f>
        <v>9265.1049345012943</v>
      </c>
      <c r="CR12" s="12">
        <f>CQ12*(1 + Tickets!BG$267/100)</f>
        <v>9265.1049345012943</v>
      </c>
      <c r="CS12" s="12">
        <f>CR12*(1 + Tickets!BH$267/100)</f>
        <v>9265.1049345012943</v>
      </c>
      <c r="CT12" s="12">
        <f>CS12*(1 + Tickets!BI$267/100)</f>
        <v>9265.1049345012943</v>
      </c>
      <c r="CU12" s="12">
        <f>CT12*(1 + Tickets!BJ$267/100)</f>
        <v>9265.1049345012943</v>
      </c>
      <c r="CV12" s="12">
        <f>CU12*(1 + Tickets!BK$267/100)</f>
        <v>9265.1049345012943</v>
      </c>
    </row>
    <row r="13" spans="1:108">
      <c r="A13" s="8">
        <v>0.91900000000000004</v>
      </c>
      <c r="Z13">
        <v>2009</v>
      </c>
      <c r="AA13">
        <v>2010</v>
      </c>
      <c r="AN13" s="12"/>
      <c r="AO13" s="12"/>
    </row>
    <row r="14" spans="1:108">
      <c r="A14" t="s">
        <v>75</v>
      </c>
      <c r="W14" s="12" t="s">
        <v>230</v>
      </c>
      <c r="Z14">
        <f>R16 +T16</f>
        <v>893376.36</v>
      </c>
      <c r="AA14">
        <f>$S$30*R45 +$S$30*T45</f>
        <v>935625.84</v>
      </c>
      <c r="AE14" s="12"/>
      <c r="AN14" s="12"/>
      <c r="AO14" s="12"/>
    </row>
    <row r="15" spans="1:108">
      <c r="W15" s="12" t="s">
        <v>231</v>
      </c>
      <c r="Z15" s="12">
        <f t="shared" ref="Z15:Z18" si="3">R17 +T17</f>
        <v>0</v>
      </c>
      <c r="AA15" s="12">
        <f>$S$31*R46 +$S$31*T46</f>
        <v>0</v>
      </c>
      <c r="AB15" s="12"/>
      <c r="AC15" s="12"/>
      <c r="AD15" s="12"/>
      <c r="AE15" s="12"/>
      <c r="AJ15" t="s">
        <v>144</v>
      </c>
      <c r="AN15" s="12"/>
      <c r="AO15" s="12"/>
    </row>
    <row r="16" spans="1:108">
      <c r="G16" s="12" t="s">
        <v>230</v>
      </c>
      <c r="J16" s="12">
        <f>J2*$S$30</f>
        <v>94632.599999999991</v>
      </c>
      <c r="K16" s="12">
        <f t="shared" ref="K16:S16" si="4">K2*$S$30</f>
        <v>279109.8</v>
      </c>
      <c r="L16" s="12">
        <f>L2*$S$30</f>
        <v>56054.64</v>
      </c>
      <c r="M16" s="12">
        <f t="shared" si="4"/>
        <v>429797.04</v>
      </c>
      <c r="N16" s="12">
        <f t="shared" si="4"/>
        <v>94632.599999999991</v>
      </c>
      <c r="O16" s="12">
        <f t="shared" si="4"/>
        <v>279109.8</v>
      </c>
      <c r="P16" s="12">
        <f>P2*$S$30</f>
        <v>56054.64</v>
      </c>
      <c r="Q16" s="12">
        <f t="shared" si="4"/>
        <v>429797.04</v>
      </c>
      <c r="R16" s="12">
        <f>R2*$S$30</f>
        <v>859594.08</v>
      </c>
      <c r="S16">
        <f t="shared" si="4"/>
        <v>851834.88</v>
      </c>
      <c r="T16">
        <f>T2*$S$30</f>
        <v>33782.28</v>
      </c>
      <c r="W16" s="12" t="s">
        <v>232</v>
      </c>
      <c r="Z16" s="12">
        <f t="shared" si="3"/>
        <v>28936.799999999999</v>
      </c>
      <c r="AA16" s="12">
        <f>$S$32*R47 +$S$32*T47</f>
        <v>32216.1</v>
      </c>
      <c r="AB16" s="12"/>
      <c r="AC16" s="12"/>
      <c r="AD16" s="12"/>
      <c r="AE16" s="12"/>
      <c r="AH16" s="12"/>
      <c r="AI16" s="12"/>
      <c r="AJ16" s="12" t="s">
        <v>230</v>
      </c>
      <c r="AN16" s="12">
        <f>AA71*Variables!E25</f>
        <v>192484.4906849798</v>
      </c>
      <c r="AO16" s="12">
        <f>AN16*(1 + Tickets!D$267/100)</f>
        <v>196838.48986427404</v>
      </c>
      <c r="AP16" s="12">
        <f>AO16*(1 + Tickets!E$267/100)</f>
        <v>198962.37716990957</v>
      </c>
      <c r="AQ16" s="12">
        <f>AP16*(1 + Tickets!F$267/100)</f>
        <v>202392.4885523188</v>
      </c>
      <c r="AR16" s="12">
        <f>AQ16*(1 + Tickets!G$267/100)</f>
        <v>206845.12330046983</v>
      </c>
      <c r="AS16" s="12">
        <f>AR16*(1 + Tickets!H$267/100)</f>
        <v>210154.64527327736</v>
      </c>
      <c r="AT16" s="12">
        <f>AS16*(1 + Tickets!I$267/100)</f>
        <v>214147.58353346962</v>
      </c>
      <c r="AU16" s="12">
        <f>AT16*(1 + Tickets!J$267/100)</f>
        <v>218216.38762060553</v>
      </c>
      <c r="AV16" s="12">
        <f>AU16*(1 + Tickets!K$267/100)</f>
        <v>222580.71537301765</v>
      </c>
      <c r="AW16" s="12">
        <f>AV16*(1 + Tickets!L$267/100)</f>
        <v>227143.62003816452</v>
      </c>
      <c r="AX16" s="12">
        <f>AW16*(1 + Tickets!M$267/100)</f>
        <v>231913.63605896596</v>
      </c>
      <c r="AY16" s="12">
        <f>AX16*(1 + Tickets!N$267/100)</f>
        <v>236899.77923423375</v>
      </c>
      <c r="AZ16" s="12">
        <f>AY16*(1 + Tickets!O$267/100)</f>
        <v>242111.57437738689</v>
      </c>
      <c r="BA16" s="12">
        <f>AZ16*(1 + Tickets!P$267/100)</f>
        <v>247438.0290136894</v>
      </c>
      <c r="BB16" s="12">
        <f>BA16*(1 + Tickets!Q$267/100)</f>
        <v>252881.66565199057</v>
      </c>
      <c r="BC16" s="12">
        <f>BB16*(1 + Tickets!R$267/100)</f>
        <v>258445.06229633436</v>
      </c>
      <c r="BD16" s="12">
        <f>BC16*(1 + Tickets!S$267/100)</f>
        <v>264130.85366685374</v>
      </c>
      <c r="BE16" s="12">
        <f>BD16*(1 + Tickets!T$267/100)</f>
        <v>269941.73244752456</v>
      </c>
      <c r="BF16" s="12">
        <f>BE16*(1 + Tickets!U$267/100)</f>
        <v>275880.45056137012</v>
      </c>
      <c r="BG16" s="12">
        <f>BF16*(1 + Tickets!V$267/100)</f>
        <v>281949.82047372026</v>
      </c>
      <c r="BH16" s="12">
        <f>BG16*(1 + Tickets!W$267/100)</f>
        <v>281949.82047372026</v>
      </c>
      <c r="BI16" s="12">
        <f>BH16*(1 + Tickets!X$267/100)</f>
        <v>281949.82047372026</v>
      </c>
      <c r="BJ16" s="12">
        <f>BI16*(1 + Tickets!Y$267/100)</f>
        <v>281949.82047372026</v>
      </c>
      <c r="BK16" s="12">
        <f>BJ16*(1 + Tickets!Z$267/100)</f>
        <v>281949.82047372026</v>
      </c>
      <c r="BL16" s="12">
        <f>BK16*(1 + Tickets!AA$267/100)</f>
        <v>281949.82047372026</v>
      </c>
      <c r="BM16" s="12">
        <f>BL16*(1 + Tickets!AB$267/100)</f>
        <v>281949.82047372026</v>
      </c>
      <c r="BN16" s="12">
        <f>BM16*(1 + Tickets!AC$267/100)</f>
        <v>281949.82047372026</v>
      </c>
      <c r="BO16" s="12">
        <f>BN16*(1 + Tickets!AD$267/100)</f>
        <v>281949.82047372026</v>
      </c>
      <c r="BP16" s="12">
        <f>BO16*(1 + Tickets!AE$267/100)</f>
        <v>281949.82047372026</v>
      </c>
      <c r="BQ16" s="12">
        <f>BP16*(1 + Tickets!AF$267/100)</f>
        <v>281949.82047372026</v>
      </c>
      <c r="BR16" s="12">
        <f>BQ16*(1 + Tickets!AG$267/100)</f>
        <v>281949.82047372026</v>
      </c>
      <c r="BS16" s="12">
        <f>BR16*(1 + Tickets!AH$267/100)</f>
        <v>281949.82047372026</v>
      </c>
      <c r="BT16" s="12">
        <f>BS16*(1 + Tickets!AI$267/100)</f>
        <v>281949.82047372026</v>
      </c>
      <c r="BU16" s="12">
        <f>BT16*(1 + Tickets!AJ$267/100)</f>
        <v>281949.82047372026</v>
      </c>
      <c r="BV16" s="12">
        <f>BU16*(1 + Tickets!AK$267/100)</f>
        <v>281949.82047372026</v>
      </c>
      <c r="BW16" s="12">
        <f>BV16*(1 + Tickets!AL$267/100)</f>
        <v>281949.82047372026</v>
      </c>
      <c r="BX16" s="12">
        <f>BW16*(1 + Tickets!AM$267/100)</f>
        <v>281949.82047372026</v>
      </c>
      <c r="BY16" s="12">
        <f>BX16*(1 + Tickets!AN$267/100)</f>
        <v>281949.82047372026</v>
      </c>
      <c r="BZ16" s="12">
        <f>BY16*(1 + Tickets!AO$267/100)</f>
        <v>281949.82047372026</v>
      </c>
      <c r="CA16" s="12">
        <f>BZ16*(1 + Tickets!AP$267/100)</f>
        <v>281949.82047372026</v>
      </c>
      <c r="CB16" s="12">
        <f>CA16*(1 + Tickets!AQ$267/100)</f>
        <v>281949.82047372026</v>
      </c>
      <c r="CC16" s="12">
        <f>CB16*(1 + Tickets!AR$267/100)</f>
        <v>281949.82047372026</v>
      </c>
      <c r="CD16" s="12">
        <f>CC16*(1 + Tickets!AS$267/100)</f>
        <v>281949.82047372026</v>
      </c>
      <c r="CE16" s="12">
        <f>CD16*(1 + Tickets!AT$267/100)</f>
        <v>281949.82047372026</v>
      </c>
      <c r="CF16" s="12">
        <f>CE16*(1 + Tickets!AU$267/100)</f>
        <v>281949.82047372026</v>
      </c>
      <c r="CG16" s="12">
        <f>CF16*(1 + Tickets!AV$267/100)</f>
        <v>281949.82047372026</v>
      </c>
      <c r="CH16" s="12">
        <f>CG16*(1 + Tickets!AW$267/100)</f>
        <v>281949.82047372026</v>
      </c>
      <c r="CI16" s="12">
        <f>CH16*(1 + Tickets!AX$267/100)</f>
        <v>281949.82047372026</v>
      </c>
      <c r="CJ16" s="12">
        <f>CI16*(1 + Tickets!AY$267/100)</f>
        <v>281949.82047372026</v>
      </c>
      <c r="CK16" s="12">
        <f>CJ16*(1 + Tickets!AZ$267/100)</f>
        <v>281949.82047372026</v>
      </c>
      <c r="CL16" s="12">
        <f>CK16*(1 + Tickets!BA$267/100)</f>
        <v>281949.82047372026</v>
      </c>
      <c r="CM16" s="12">
        <f>CL16*(1 + Tickets!BB$267/100)</f>
        <v>281949.82047372026</v>
      </c>
      <c r="CN16" s="12">
        <f>CM16*(1 + Tickets!BC$267/100)</f>
        <v>281949.82047372026</v>
      </c>
      <c r="CO16" s="12">
        <f>CN16*(1 + Tickets!BD$267/100)</f>
        <v>281949.82047372026</v>
      </c>
      <c r="CP16" s="12">
        <f>CO16*(1 + Tickets!BE$267/100)</f>
        <v>281949.82047372026</v>
      </c>
      <c r="CQ16" s="12">
        <f>CP16*(1 + Tickets!BF$267/100)</f>
        <v>281949.82047372026</v>
      </c>
      <c r="CR16" s="12">
        <f>CQ16*(1 + Tickets!BG$267/100)</f>
        <v>281949.82047372026</v>
      </c>
      <c r="CS16" s="12">
        <f>CR16*(1 + Tickets!BH$267/100)</f>
        <v>281949.82047372026</v>
      </c>
      <c r="CT16" s="12">
        <f>CS16*(1 + Tickets!BI$267/100)</f>
        <v>281949.82047372026</v>
      </c>
      <c r="CU16" s="12">
        <f>CT16*(1 + Tickets!BJ$267/100)</f>
        <v>281949.82047372026</v>
      </c>
      <c r="CV16" s="12">
        <f>CU16*(1 + Tickets!BK$267/100)</f>
        <v>281949.82047372026</v>
      </c>
    </row>
    <row r="17" spans="1:100">
      <c r="G17" s="12" t="s">
        <v>231</v>
      </c>
      <c r="J17">
        <f>J3*$S$31</f>
        <v>0</v>
      </c>
      <c r="K17" s="12">
        <f t="shared" ref="K17:T17" si="5">K3*$S$31</f>
        <v>0</v>
      </c>
      <c r="L17" s="12">
        <f t="shared" si="5"/>
        <v>0</v>
      </c>
      <c r="M17" s="12">
        <f t="shared" si="5"/>
        <v>0</v>
      </c>
      <c r="N17" s="12">
        <f t="shared" si="5"/>
        <v>0</v>
      </c>
      <c r="O17" s="12">
        <f t="shared" si="5"/>
        <v>0</v>
      </c>
      <c r="P17" s="12">
        <f t="shared" si="5"/>
        <v>0</v>
      </c>
      <c r="Q17" s="12">
        <f t="shared" si="5"/>
        <v>0</v>
      </c>
      <c r="R17" s="12">
        <f t="shared" si="5"/>
        <v>0</v>
      </c>
      <c r="S17">
        <f t="shared" si="5"/>
        <v>0</v>
      </c>
      <c r="T17">
        <f t="shared" si="5"/>
        <v>0</v>
      </c>
      <c r="W17" s="12" t="s">
        <v>233</v>
      </c>
      <c r="Z17" s="12">
        <f t="shared" si="3"/>
        <v>147711.54999999999</v>
      </c>
      <c r="AA17" s="12">
        <f>$S$33*R48 +$S$33*T48</f>
        <v>160096.65</v>
      </c>
      <c r="AB17" s="12"/>
      <c r="AC17" s="12"/>
      <c r="AD17" s="12"/>
      <c r="AE17" s="12"/>
      <c r="AH17" s="12"/>
      <c r="AI17" s="12"/>
      <c r="AJ17" s="12" t="s">
        <v>231</v>
      </c>
      <c r="AN17" s="12">
        <f>AA72*Variables!E25</f>
        <v>0</v>
      </c>
      <c r="AO17" s="12">
        <f>AN17*(1 + Tickets!D$267/100)</f>
        <v>0</v>
      </c>
      <c r="AP17" s="12">
        <f>AO17*(1 + Tickets!E$267/100)</f>
        <v>0</v>
      </c>
      <c r="AQ17" s="12">
        <f>AP17*(1 + Tickets!F$267/100)</f>
        <v>0</v>
      </c>
      <c r="AR17" s="12">
        <f>AQ17*(1 + Tickets!G$267/100)</f>
        <v>0</v>
      </c>
      <c r="AS17" s="12">
        <f>AR17*(1 + Tickets!H$267/100)</f>
        <v>0</v>
      </c>
      <c r="AT17" s="12">
        <f>AS17*(1 + Tickets!I$267/100)</f>
        <v>0</v>
      </c>
      <c r="AU17" s="12">
        <f>AT17*(1 + Tickets!J$267/100)</f>
        <v>0</v>
      </c>
      <c r="AV17" s="12">
        <f>AU17*(1 + Tickets!K$267/100)</f>
        <v>0</v>
      </c>
      <c r="AW17" s="12">
        <f>AV17*(1 + Tickets!L$267/100)</f>
        <v>0</v>
      </c>
      <c r="AX17" s="12">
        <f>AW17*(1 + Tickets!M$267/100)</f>
        <v>0</v>
      </c>
      <c r="AY17" s="12">
        <f>AX17*(1 + Tickets!N$267/100)</f>
        <v>0</v>
      </c>
      <c r="AZ17" s="12">
        <f>AY17*(1 + Tickets!O$267/100)</f>
        <v>0</v>
      </c>
      <c r="BA17" s="12">
        <f>AZ17*(1 + Tickets!P$267/100)</f>
        <v>0</v>
      </c>
      <c r="BB17" s="12">
        <f>BA17*(1 + Tickets!Q$267/100)</f>
        <v>0</v>
      </c>
      <c r="BC17" s="12">
        <f>BB17*(1 + Tickets!R$267/100)</f>
        <v>0</v>
      </c>
      <c r="BD17" s="12">
        <f>BC17*(1 + Tickets!S$267/100)</f>
        <v>0</v>
      </c>
      <c r="BE17" s="12">
        <f>BD17*(1 + Tickets!T$267/100)</f>
        <v>0</v>
      </c>
      <c r="BF17" s="12">
        <f>BE17*(1 + Tickets!U$267/100)</f>
        <v>0</v>
      </c>
      <c r="BG17" s="12">
        <f>BF17*(1 + Tickets!V$267/100)</f>
        <v>0</v>
      </c>
      <c r="BH17" s="12">
        <f>BG17*(1 + Tickets!W$267/100)</f>
        <v>0</v>
      </c>
      <c r="BI17" s="12">
        <f>BH17*(1 + Tickets!X$267/100)</f>
        <v>0</v>
      </c>
      <c r="BJ17" s="12">
        <f>BI17*(1 + Tickets!Y$267/100)</f>
        <v>0</v>
      </c>
      <c r="BK17" s="12">
        <f>BJ17*(1 + Tickets!Z$267/100)</f>
        <v>0</v>
      </c>
      <c r="BL17" s="12">
        <f>BK17*(1 + Tickets!AA$267/100)</f>
        <v>0</v>
      </c>
      <c r="BM17" s="12">
        <f>BL17*(1 + Tickets!AB$267/100)</f>
        <v>0</v>
      </c>
      <c r="BN17" s="12">
        <f>BM17*(1 + Tickets!AC$267/100)</f>
        <v>0</v>
      </c>
      <c r="BO17" s="12">
        <f>BN17*(1 + Tickets!AD$267/100)</f>
        <v>0</v>
      </c>
      <c r="BP17" s="12">
        <f>BO17*(1 + Tickets!AE$267/100)</f>
        <v>0</v>
      </c>
      <c r="BQ17" s="12">
        <f>BP17*(1 + Tickets!AF$267/100)</f>
        <v>0</v>
      </c>
      <c r="BR17" s="12">
        <f>BQ17*(1 + Tickets!AG$267/100)</f>
        <v>0</v>
      </c>
      <c r="BS17" s="12">
        <f>BR17*(1 + Tickets!AH$267/100)</f>
        <v>0</v>
      </c>
      <c r="BT17" s="12">
        <f>BS17*(1 + Tickets!AI$267/100)</f>
        <v>0</v>
      </c>
      <c r="BU17" s="12">
        <f>BT17*(1 + Tickets!AJ$267/100)</f>
        <v>0</v>
      </c>
      <c r="BV17" s="12">
        <f>BU17*(1 + Tickets!AK$267/100)</f>
        <v>0</v>
      </c>
      <c r="BW17" s="12">
        <f>BV17*(1 + Tickets!AL$267/100)</f>
        <v>0</v>
      </c>
      <c r="BX17" s="12">
        <f>BW17*(1 + Tickets!AM$267/100)</f>
        <v>0</v>
      </c>
      <c r="BY17" s="12">
        <f>BX17*(1 + Tickets!AN$267/100)</f>
        <v>0</v>
      </c>
      <c r="BZ17" s="12">
        <f>BY17*(1 + Tickets!AO$267/100)</f>
        <v>0</v>
      </c>
      <c r="CA17" s="12">
        <f>BZ17*(1 + Tickets!AP$267/100)</f>
        <v>0</v>
      </c>
      <c r="CB17" s="12">
        <f>CA17*(1 + Tickets!AQ$267/100)</f>
        <v>0</v>
      </c>
      <c r="CC17" s="12">
        <f>CB17*(1 + Tickets!AR$267/100)</f>
        <v>0</v>
      </c>
      <c r="CD17" s="12">
        <f>CC17*(1 + Tickets!AS$267/100)</f>
        <v>0</v>
      </c>
      <c r="CE17" s="12">
        <f>CD17*(1 + Tickets!AT$267/100)</f>
        <v>0</v>
      </c>
      <c r="CF17" s="12">
        <f>CE17*(1 + Tickets!AU$267/100)</f>
        <v>0</v>
      </c>
      <c r="CG17" s="12">
        <f>CF17*(1 + Tickets!AV$267/100)</f>
        <v>0</v>
      </c>
      <c r="CH17" s="12">
        <f>CG17*(1 + Tickets!AW$267/100)</f>
        <v>0</v>
      </c>
      <c r="CI17" s="12">
        <f>CH17*(1 + Tickets!AX$267/100)</f>
        <v>0</v>
      </c>
      <c r="CJ17" s="12">
        <f>CI17*(1 + Tickets!AY$267/100)</f>
        <v>0</v>
      </c>
      <c r="CK17" s="12">
        <f>CJ17*(1 + Tickets!AZ$267/100)</f>
        <v>0</v>
      </c>
      <c r="CL17" s="12">
        <f>CK17*(1 + Tickets!BA$267/100)</f>
        <v>0</v>
      </c>
      <c r="CM17" s="12">
        <f>CL17*(1 + Tickets!BB$267/100)</f>
        <v>0</v>
      </c>
      <c r="CN17" s="12">
        <f>CM17*(1 + Tickets!BC$267/100)</f>
        <v>0</v>
      </c>
      <c r="CO17" s="12">
        <f>CN17*(1 + Tickets!BD$267/100)</f>
        <v>0</v>
      </c>
      <c r="CP17" s="12">
        <f>CO17*(1 + Tickets!BE$267/100)</f>
        <v>0</v>
      </c>
      <c r="CQ17" s="12">
        <f>CP17*(1 + Tickets!BF$267/100)</f>
        <v>0</v>
      </c>
      <c r="CR17" s="12">
        <f>CQ17*(1 + Tickets!BG$267/100)</f>
        <v>0</v>
      </c>
      <c r="CS17" s="12">
        <f>CR17*(1 + Tickets!BH$267/100)</f>
        <v>0</v>
      </c>
      <c r="CT17" s="12">
        <f>CS17*(1 + Tickets!BI$267/100)</f>
        <v>0</v>
      </c>
      <c r="CU17" s="12">
        <f>CT17*(1 + Tickets!BJ$267/100)</f>
        <v>0</v>
      </c>
      <c r="CV17" s="12">
        <f>CU17*(1 + Tickets!BK$267/100)</f>
        <v>0</v>
      </c>
    </row>
    <row r="18" spans="1:100">
      <c r="G18" s="12" t="s">
        <v>232</v>
      </c>
      <c r="J18">
        <f>J4*$S$32</f>
        <v>3690.45</v>
      </c>
      <c r="K18">
        <f t="shared" ref="K18:T18" si="6">K4*$S$32</f>
        <v>8434.7999999999993</v>
      </c>
      <c r="L18">
        <f t="shared" si="6"/>
        <v>2303.25</v>
      </c>
      <c r="M18">
        <f t="shared" si="6"/>
        <v>14428.5</v>
      </c>
      <c r="N18">
        <f t="shared" si="6"/>
        <v>3690.45</v>
      </c>
      <c r="O18">
        <f t="shared" si="6"/>
        <v>8434.7999999999993</v>
      </c>
      <c r="P18">
        <f t="shared" si="6"/>
        <v>2303.25</v>
      </c>
      <c r="Q18">
        <f t="shared" si="6"/>
        <v>14428.5</v>
      </c>
      <c r="R18">
        <f t="shared" si="6"/>
        <v>28857</v>
      </c>
      <c r="S18">
        <f t="shared" si="6"/>
        <v>29583.3</v>
      </c>
      <c r="T18">
        <f t="shared" si="6"/>
        <v>79.8</v>
      </c>
      <c r="W18" s="12" t="s">
        <v>234</v>
      </c>
      <c r="X18" s="12"/>
      <c r="Y18" s="12"/>
      <c r="Z18" s="12">
        <f t="shared" si="3"/>
        <v>264750.08000000002</v>
      </c>
      <c r="AA18" s="12">
        <f>$S$34*R49 +$S$34*T49</f>
        <v>277150.27999999997</v>
      </c>
      <c r="AB18" s="12"/>
      <c r="AC18" s="12"/>
      <c r="AD18" s="12"/>
      <c r="AE18" s="12"/>
      <c r="AH18" s="12"/>
      <c r="AI18" s="12"/>
      <c r="AJ18" s="12" t="s">
        <v>232</v>
      </c>
      <c r="AN18" s="12">
        <f>AA73*Variables!E25</f>
        <v>11630.157969472062</v>
      </c>
      <c r="AO18" s="12">
        <f>AN18*(1 + Tickets!D$267/100)</f>
        <v>11893.232142741521</v>
      </c>
      <c r="AP18" s="12">
        <f>AO18*(1 + Tickets!E$267/100)</f>
        <v>12021.560117561703</v>
      </c>
      <c r="AQ18" s="12">
        <f>AP18*(1 + Tickets!F$267/100)</f>
        <v>12228.811813988466</v>
      </c>
      <c r="AR18" s="12">
        <f>AQ18*(1 + Tickets!G$267/100)</f>
        <v>12497.845673896212</v>
      </c>
      <c r="AS18" s="12">
        <f>AR18*(1 + Tickets!H$267/100)</f>
        <v>12697.811204678552</v>
      </c>
      <c r="AT18" s="12">
        <f>AS18*(1 + Tickets!I$267/100)</f>
        <v>12939.069617567444</v>
      </c>
      <c r="AU18" s="12">
        <f>AT18*(1 + Tickets!J$267/100)</f>
        <v>13184.911940301225</v>
      </c>
      <c r="AV18" s="12">
        <f>AU18*(1 + Tickets!K$267/100)</f>
        <v>13448.610179107249</v>
      </c>
      <c r="AW18" s="12">
        <f>AV18*(1 + Tickets!L$267/100)</f>
        <v>13724.306687778946</v>
      </c>
      <c r="AX18" s="12">
        <f>AW18*(1 + Tickets!M$267/100)</f>
        <v>14012.517128222302</v>
      </c>
      <c r="AY18" s="12">
        <f>AX18*(1 + Tickets!N$267/100)</f>
        <v>14313.786246479083</v>
      </c>
      <c r="AZ18" s="12">
        <f>AY18*(1 + Tickets!O$267/100)</f>
        <v>14628.689543901623</v>
      </c>
      <c r="BA18" s="12">
        <f>AZ18*(1 + Tickets!P$267/100)</f>
        <v>14950.520713867458</v>
      </c>
      <c r="BB18" s="12">
        <f>BA18*(1 + Tickets!Q$267/100)</f>
        <v>15279.432169572543</v>
      </c>
      <c r="BC18" s="12">
        <f>BB18*(1 + Tickets!R$267/100)</f>
        <v>15615.57967730314</v>
      </c>
      <c r="BD18" s="12">
        <f>BC18*(1 + Tickets!S$267/100)</f>
        <v>15959.12243020381</v>
      </c>
      <c r="BE18" s="12">
        <f>BD18*(1 + Tickets!T$267/100)</f>
        <v>16310.223123668295</v>
      </c>
      <c r="BF18" s="12">
        <f>BE18*(1 + Tickets!U$267/100)</f>
        <v>16669.048032388997</v>
      </c>
      <c r="BG18" s="12">
        <f>BF18*(1 + Tickets!V$267/100)</f>
        <v>17035.767089101555</v>
      </c>
      <c r="BH18" s="12">
        <f>BG18*(1 + Tickets!W$267/100)</f>
        <v>17035.767089101555</v>
      </c>
      <c r="BI18" s="12">
        <f>BH18*(1 + Tickets!X$267/100)</f>
        <v>17035.767089101555</v>
      </c>
      <c r="BJ18" s="12">
        <f>BI18*(1 + Tickets!Y$267/100)</f>
        <v>17035.767089101555</v>
      </c>
      <c r="BK18" s="12">
        <f>BJ18*(1 + Tickets!Z$267/100)</f>
        <v>17035.767089101555</v>
      </c>
      <c r="BL18" s="12">
        <f>BK18*(1 + Tickets!AA$267/100)</f>
        <v>17035.767089101555</v>
      </c>
      <c r="BM18" s="12">
        <f>BL18*(1 + Tickets!AB$267/100)</f>
        <v>17035.767089101555</v>
      </c>
      <c r="BN18" s="12">
        <f>BM18*(1 + Tickets!AC$267/100)</f>
        <v>17035.767089101555</v>
      </c>
      <c r="BO18" s="12">
        <f>BN18*(1 + Tickets!AD$267/100)</f>
        <v>17035.767089101555</v>
      </c>
      <c r="BP18" s="12">
        <f>BO18*(1 + Tickets!AE$267/100)</f>
        <v>17035.767089101555</v>
      </c>
      <c r="BQ18" s="12">
        <f>BP18*(1 + Tickets!AF$267/100)</f>
        <v>17035.767089101555</v>
      </c>
      <c r="BR18" s="12">
        <f>BQ18*(1 + Tickets!AG$267/100)</f>
        <v>17035.767089101555</v>
      </c>
      <c r="BS18" s="12">
        <f>BR18*(1 + Tickets!AH$267/100)</f>
        <v>17035.767089101555</v>
      </c>
      <c r="BT18" s="12">
        <f>BS18*(1 + Tickets!AI$267/100)</f>
        <v>17035.767089101555</v>
      </c>
      <c r="BU18" s="12">
        <f>BT18*(1 + Tickets!AJ$267/100)</f>
        <v>17035.767089101555</v>
      </c>
      <c r="BV18" s="12">
        <f>BU18*(1 + Tickets!AK$267/100)</f>
        <v>17035.767089101555</v>
      </c>
      <c r="BW18" s="12">
        <f>BV18*(1 + Tickets!AL$267/100)</f>
        <v>17035.767089101555</v>
      </c>
      <c r="BX18" s="12">
        <f>BW18*(1 + Tickets!AM$267/100)</f>
        <v>17035.767089101555</v>
      </c>
      <c r="BY18" s="12">
        <f>BX18*(1 + Tickets!AN$267/100)</f>
        <v>17035.767089101555</v>
      </c>
      <c r="BZ18" s="12">
        <f>BY18*(1 + Tickets!AO$267/100)</f>
        <v>17035.767089101555</v>
      </c>
      <c r="CA18" s="12">
        <f>BZ18*(1 + Tickets!AP$267/100)</f>
        <v>17035.767089101555</v>
      </c>
      <c r="CB18" s="12">
        <f>CA18*(1 + Tickets!AQ$267/100)</f>
        <v>17035.767089101555</v>
      </c>
      <c r="CC18" s="12">
        <f>CB18*(1 + Tickets!AR$267/100)</f>
        <v>17035.767089101555</v>
      </c>
      <c r="CD18" s="12">
        <f>CC18*(1 + Tickets!AS$267/100)</f>
        <v>17035.767089101555</v>
      </c>
      <c r="CE18" s="12">
        <f>CD18*(1 + Tickets!AT$267/100)</f>
        <v>17035.767089101555</v>
      </c>
      <c r="CF18" s="12">
        <f>CE18*(1 + Tickets!AU$267/100)</f>
        <v>17035.767089101555</v>
      </c>
      <c r="CG18" s="12">
        <f>CF18*(1 + Tickets!AV$267/100)</f>
        <v>17035.767089101555</v>
      </c>
      <c r="CH18" s="12">
        <f>CG18*(1 + Tickets!AW$267/100)</f>
        <v>17035.767089101555</v>
      </c>
      <c r="CI18" s="12">
        <f>CH18*(1 + Tickets!AX$267/100)</f>
        <v>17035.767089101555</v>
      </c>
      <c r="CJ18" s="12">
        <f>CI18*(1 + Tickets!AY$267/100)</f>
        <v>17035.767089101555</v>
      </c>
      <c r="CK18" s="12">
        <f>CJ18*(1 + Tickets!AZ$267/100)</f>
        <v>17035.767089101555</v>
      </c>
      <c r="CL18" s="12">
        <f>CK18*(1 + Tickets!BA$267/100)</f>
        <v>17035.767089101555</v>
      </c>
      <c r="CM18" s="12">
        <f>CL18*(1 + Tickets!BB$267/100)</f>
        <v>17035.767089101555</v>
      </c>
      <c r="CN18" s="12">
        <f>CM18*(1 + Tickets!BC$267/100)</f>
        <v>17035.767089101555</v>
      </c>
      <c r="CO18" s="12">
        <f>CN18*(1 + Tickets!BD$267/100)</f>
        <v>17035.767089101555</v>
      </c>
      <c r="CP18" s="12">
        <f>CO18*(1 + Tickets!BE$267/100)</f>
        <v>17035.767089101555</v>
      </c>
      <c r="CQ18" s="12">
        <f>CP18*(1 + Tickets!BF$267/100)</f>
        <v>17035.767089101555</v>
      </c>
      <c r="CR18" s="12">
        <f>CQ18*(1 + Tickets!BG$267/100)</f>
        <v>17035.767089101555</v>
      </c>
      <c r="CS18" s="12">
        <f>CR18*(1 + Tickets!BH$267/100)</f>
        <v>17035.767089101555</v>
      </c>
      <c r="CT18" s="12">
        <f>CS18*(1 + Tickets!BI$267/100)</f>
        <v>17035.767089101555</v>
      </c>
      <c r="CU18" s="12">
        <f>CT18*(1 + Tickets!BJ$267/100)</f>
        <v>17035.767089101555</v>
      </c>
      <c r="CV18" s="12">
        <f>CU18*(1 + Tickets!BK$267/100)</f>
        <v>17035.767089101555</v>
      </c>
    </row>
    <row r="19" spans="1:100">
      <c r="G19" s="12" t="s">
        <v>233</v>
      </c>
      <c r="J19">
        <f>J5*$S$33</f>
        <v>4678.7999999999993</v>
      </c>
      <c r="K19">
        <f t="shared" ref="K19:T19" si="7">K5*$S$33</f>
        <v>63400.049999999996</v>
      </c>
      <c r="L19">
        <f t="shared" si="7"/>
        <v>5325.5999999999995</v>
      </c>
      <c r="M19">
        <f t="shared" si="7"/>
        <v>73404.45</v>
      </c>
      <c r="N19">
        <f t="shared" si="7"/>
        <v>4678.7999999999993</v>
      </c>
      <c r="O19">
        <f t="shared" si="7"/>
        <v>63400.049999999996</v>
      </c>
      <c r="P19">
        <f t="shared" si="7"/>
        <v>5325.5999999999995</v>
      </c>
      <c r="Q19">
        <f t="shared" si="7"/>
        <v>73404.45</v>
      </c>
      <c r="R19">
        <f t="shared" si="7"/>
        <v>146808.9</v>
      </c>
      <c r="S19">
        <f t="shared" si="7"/>
        <v>142039.79999999999</v>
      </c>
      <c r="T19">
        <f t="shared" si="7"/>
        <v>902.65</v>
      </c>
      <c r="W19" s="12"/>
      <c r="X19" s="12"/>
      <c r="Y19" s="12"/>
      <c r="Z19" s="12"/>
      <c r="AA19" s="12"/>
      <c r="AB19" s="12"/>
      <c r="AC19" s="12"/>
      <c r="AD19" s="12"/>
      <c r="AE19" s="12"/>
      <c r="AH19" s="12"/>
      <c r="AI19" s="12"/>
      <c r="AJ19" s="12" t="s">
        <v>233</v>
      </c>
      <c r="AN19" s="12">
        <f>AA74*Variables!E25</f>
        <v>9223.9912697330219</v>
      </c>
      <c r="AO19" s="12">
        <f>AN19*(1 + Tickets!D$267/100)</f>
        <v>9432.637952254383</v>
      </c>
      <c r="AP19" s="12">
        <f>AO19*(1 + Tickets!E$267/100)</f>
        <v>9534.416115759208</v>
      </c>
      <c r="AQ19" s="12">
        <f>AP19*(1 + Tickets!F$267/100)</f>
        <v>9698.7894495948967</v>
      </c>
      <c r="AR19" s="12">
        <f>AQ19*(1 + Tickets!G$267/100)</f>
        <v>9912.1628174859852</v>
      </c>
      <c r="AS19" s="12">
        <f>AR19*(1 + Tickets!H$267/100)</f>
        <v>10070.757422565761</v>
      </c>
      <c r="AT19" s="12">
        <f>AS19*(1 + Tickets!I$267/100)</f>
        <v>10262.101813594509</v>
      </c>
      <c r="AU19" s="12">
        <f>AT19*(1 + Tickets!J$267/100)</f>
        <v>10457.081748052804</v>
      </c>
      <c r="AV19" s="12">
        <f>AU19*(1 + Tickets!K$267/100)</f>
        <v>10666.223383013859</v>
      </c>
      <c r="AW19" s="12">
        <f>AV19*(1 + Tickets!L$267/100)</f>
        <v>10884.880962365643</v>
      </c>
      <c r="AX19" s="12">
        <f>AW19*(1 + Tickets!M$267/100)</f>
        <v>11113.463462575321</v>
      </c>
      <c r="AY19" s="12">
        <f>AX19*(1 + Tickets!N$267/100)</f>
        <v>11352.40292702069</v>
      </c>
      <c r="AZ19" s="12">
        <f>AY19*(1 + Tickets!O$267/100)</f>
        <v>11602.155791415145</v>
      </c>
      <c r="BA19" s="12">
        <f>AZ19*(1 + Tickets!P$267/100)</f>
        <v>11857.403218826279</v>
      </c>
      <c r="BB19" s="12">
        <f>BA19*(1 + Tickets!Q$267/100)</f>
        <v>12118.266089640458</v>
      </c>
      <c r="BC19" s="12">
        <f>BB19*(1 + Tickets!R$267/100)</f>
        <v>12384.867943612548</v>
      </c>
      <c r="BD19" s="12">
        <f>BC19*(1 + Tickets!S$267/100)</f>
        <v>12657.335038372024</v>
      </c>
      <c r="BE19" s="12">
        <f>BD19*(1 + Tickets!T$267/100)</f>
        <v>12935.796409216209</v>
      </c>
      <c r="BF19" s="12">
        <f>BE19*(1 + Tickets!U$267/100)</f>
        <v>13220.383930218966</v>
      </c>
      <c r="BG19" s="12">
        <f>BF19*(1 + Tickets!V$267/100)</f>
        <v>13511.232376683784</v>
      </c>
      <c r="BH19" s="12">
        <f>BG19*(1 + Tickets!W$267/100)</f>
        <v>13511.232376683784</v>
      </c>
      <c r="BI19" s="12">
        <f>BH19*(1 + Tickets!X$267/100)</f>
        <v>13511.232376683784</v>
      </c>
      <c r="BJ19" s="12">
        <f>BI19*(1 + Tickets!Y$267/100)</f>
        <v>13511.232376683784</v>
      </c>
      <c r="BK19" s="12">
        <f>BJ19*(1 + Tickets!Z$267/100)</f>
        <v>13511.232376683784</v>
      </c>
      <c r="BL19" s="12">
        <f>BK19*(1 + Tickets!AA$267/100)</f>
        <v>13511.232376683784</v>
      </c>
      <c r="BM19" s="12">
        <f>BL19*(1 + Tickets!AB$267/100)</f>
        <v>13511.232376683784</v>
      </c>
      <c r="BN19" s="12">
        <f>BM19*(1 + Tickets!AC$267/100)</f>
        <v>13511.232376683784</v>
      </c>
      <c r="BO19" s="12">
        <f>BN19*(1 + Tickets!AD$267/100)</f>
        <v>13511.232376683784</v>
      </c>
      <c r="BP19" s="12">
        <f>BO19*(1 + Tickets!AE$267/100)</f>
        <v>13511.232376683784</v>
      </c>
      <c r="BQ19" s="12">
        <f>BP19*(1 + Tickets!AF$267/100)</f>
        <v>13511.232376683784</v>
      </c>
      <c r="BR19" s="12">
        <f>BQ19*(1 + Tickets!AG$267/100)</f>
        <v>13511.232376683784</v>
      </c>
      <c r="BS19" s="12">
        <f>BR19*(1 + Tickets!AH$267/100)</f>
        <v>13511.232376683784</v>
      </c>
      <c r="BT19" s="12">
        <f>BS19*(1 + Tickets!AI$267/100)</f>
        <v>13511.232376683784</v>
      </c>
      <c r="BU19" s="12">
        <f>BT19*(1 + Tickets!AJ$267/100)</f>
        <v>13511.232376683784</v>
      </c>
      <c r="BV19" s="12">
        <f>BU19*(1 + Tickets!AK$267/100)</f>
        <v>13511.232376683784</v>
      </c>
      <c r="BW19" s="12">
        <f>BV19*(1 + Tickets!AL$267/100)</f>
        <v>13511.232376683784</v>
      </c>
      <c r="BX19" s="12">
        <f>BW19*(1 + Tickets!AM$267/100)</f>
        <v>13511.232376683784</v>
      </c>
      <c r="BY19" s="12">
        <f>BX19*(1 + Tickets!AN$267/100)</f>
        <v>13511.232376683784</v>
      </c>
      <c r="BZ19" s="12">
        <f>BY19*(1 + Tickets!AO$267/100)</f>
        <v>13511.232376683784</v>
      </c>
      <c r="CA19" s="12">
        <f>BZ19*(1 + Tickets!AP$267/100)</f>
        <v>13511.232376683784</v>
      </c>
      <c r="CB19" s="12">
        <f>CA19*(1 + Tickets!AQ$267/100)</f>
        <v>13511.232376683784</v>
      </c>
      <c r="CC19" s="12">
        <f>CB19*(1 + Tickets!AR$267/100)</f>
        <v>13511.232376683784</v>
      </c>
      <c r="CD19" s="12">
        <f>CC19*(1 + Tickets!AS$267/100)</f>
        <v>13511.232376683784</v>
      </c>
      <c r="CE19" s="12">
        <f>CD19*(1 + Tickets!AT$267/100)</f>
        <v>13511.232376683784</v>
      </c>
      <c r="CF19" s="12">
        <f>CE19*(1 + Tickets!AU$267/100)</f>
        <v>13511.232376683784</v>
      </c>
      <c r="CG19" s="12">
        <f>CF19*(1 + Tickets!AV$267/100)</f>
        <v>13511.232376683784</v>
      </c>
      <c r="CH19" s="12">
        <f>CG19*(1 + Tickets!AW$267/100)</f>
        <v>13511.232376683784</v>
      </c>
      <c r="CI19" s="12">
        <f>CH19*(1 + Tickets!AX$267/100)</f>
        <v>13511.232376683784</v>
      </c>
      <c r="CJ19" s="12">
        <f>CI19*(1 + Tickets!AY$267/100)</f>
        <v>13511.232376683784</v>
      </c>
      <c r="CK19" s="12">
        <f>CJ19*(1 + Tickets!AZ$267/100)</f>
        <v>13511.232376683784</v>
      </c>
      <c r="CL19" s="12">
        <f>CK19*(1 + Tickets!BA$267/100)</f>
        <v>13511.232376683784</v>
      </c>
      <c r="CM19" s="12">
        <f>CL19*(1 + Tickets!BB$267/100)</f>
        <v>13511.232376683784</v>
      </c>
      <c r="CN19" s="12">
        <f>CM19*(1 + Tickets!BC$267/100)</f>
        <v>13511.232376683784</v>
      </c>
      <c r="CO19" s="12">
        <f>CN19*(1 + Tickets!BD$267/100)</f>
        <v>13511.232376683784</v>
      </c>
      <c r="CP19" s="12">
        <f>CO19*(1 + Tickets!BE$267/100)</f>
        <v>13511.232376683784</v>
      </c>
      <c r="CQ19" s="12">
        <f>CP19*(1 + Tickets!BF$267/100)</f>
        <v>13511.232376683784</v>
      </c>
      <c r="CR19" s="12">
        <f>CQ19*(1 + Tickets!BG$267/100)</f>
        <v>13511.232376683784</v>
      </c>
      <c r="CS19" s="12">
        <f>CR19*(1 + Tickets!BH$267/100)</f>
        <v>13511.232376683784</v>
      </c>
      <c r="CT19" s="12">
        <f>CS19*(1 + Tickets!BI$267/100)</f>
        <v>13511.232376683784</v>
      </c>
      <c r="CU19" s="12">
        <f>CT19*(1 + Tickets!BJ$267/100)</f>
        <v>13511.232376683784</v>
      </c>
      <c r="CV19" s="12">
        <f>CU19*(1 + Tickets!BK$267/100)</f>
        <v>13511.232376683784</v>
      </c>
    </row>
    <row r="20" spans="1:100" s="12" customFormat="1">
      <c r="G20" s="12" t="s">
        <v>234</v>
      </c>
      <c r="J20" s="12">
        <f>J6*$S$34</f>
        <v>9159.0499999999993</v>
      </c>
      <c r="K20" s="12">
        <f t="shared" ref="K20:T20" si="8">K6*$S$34</f>
        <v>71607.42</v>
      </c>
      <c r="L20" s="12">
        <f t="shared" si="8"/>
        <v>51608.57</v>
      </c>
      <c r="M20" s="12">
        <f t="shared" si="8"/>
        <v>132375.04000000001</v>
      </c>
      <c r="N20" s="12">
        <f t="shared" si="8"/>
        <v>9159.0499999999993</v>
      </c>
      <c r="O20" s="12">
        <f t="shared" si="8"/>
        <v>71607.42</v>
      </c>
      <c r="P20" s="12">
        <f t="shared" si="8"/>
        <v>51608.57</v>
      </c>
      <c r="Q20" s="12">
        <f t="shared" si="8"/>
        <v>132375.04000000001</v>
      </c>
      <c r="R20" s="12">
        <f t="shared" si="8"/>
        <v>264750.08000000002</v>
      </c>
      <c r="S20" s="12">
        <f t="shared" si="8"/>
        <v>281448.01999999996</v>
      </c>
      <c r="T20" s="12">
        <f t="shared" si="8"/>
        <v>0</v>
      </c>
      <c r="W20" s="12" t="s">
        <v>235</v>
      </c>
      <c r="AJ20" s="12" t="s">
        <v>234</v>
      </c>
      <c r="AN20" s="12">
        <f>AA75*Variables!E25</f>
        <v>19641.12</v>
      </c>
      <c r="AO20" s="12">
        <f>AN20*(1 + Tickets!D$267/100)</f>
        <v>20085.402134399999</v>
      </c>
      <c r="AP20" s="12">
        <f>AO20*(1 + Tickets!E$267/100)</f>
        <v>20302.123623430176</v>
      </c>
      <c r="AQ20" s="12">
        <f>AP20*(1 + Tickets!F$267/100)</f>
        <v>20652.132234698111</v>
      </c>
      <c r="AR20" s="12">
        <f>AQ20*(1 + Tickets!G$267/100)</f>
        <v>21106.47914386147</v>
      </c>
      <c r="AS20" s="12">
        <f>AR20*(1 + Tickets!H$267/100)</f>
        <v>21444.182810163253</v>
      </c>
      <c r="AT20" s="12">
        <f>AS20*(1 + Tickets!I$267/100)</f>
        <v>21851.622283556353</v>
      </c>
      <c r="AU20" s="12">
        <f>AT20*(1 + Tickets!J$267/100)</f>
        <v>22266.80310694392</v>
      </c>
      <c r="AV20" s="12">
        <f>AU20*(1 + Tickets!K$267/100)</f>
        <v>22712.139169082799</v>
      </c>
      <c r="AW20" s="12">
        <f>AV20*(1 + Tickets!L$267/100)</f>
        <v>23177.738022048994</v>
      </c>
      <c r="AX20" s="12">
        <f>AW20*(1 + Tickets!M$267/100)</f>
        <v>23664.470520512019</v>
      </c>
      <c r="AY20" s="12">
        <f>AX20*(1 + Tickets!N$267/100)</f>
        <v>24173.25663670303</v>
      </c>
      <c r="AZ20" s="12">
        <f>AY20*(1 + Tickets!O$267/100)</f>
        <v>24705.068282710497</v>
      </c>
      <c r="BA20" s="12">
        <f>AZ20*(1 + Tickets!P$267/100)</f>
        <v>25248.579784930127</v>
      </c>
      <c r="BB20" s="12">
        <f>BA20*(1 + Tickets!Q$267/100)</f>
        <v>25804.04854019859</v>
      </c>
      <c r="BC20" s="12">
        <f>BB20*(1 + Tickets!R$267/100)</f>
        <v>26371.73760808296</v>
      </c>
      <c r="BD20" s="12">
        <f>BC20*(1 + Tickets!S$267/100)</f>
        <v>26951.915835460786</v>
      </c>
      <c r="BE20" s="12">
        <f>BD20*(1 + Tickets!T$267/100)</f>
        <v>27544.857983840924</v>
      </c>
      <c r="BF20" s="12">
        <f>BE20*(1 + Tickets!U$267/100)</f>
        <v>28150.844859485424</v>
      </c>
      <c r="BG20" s="12">
        <f>BF20*(1 + Tickets!V$267/100)</f>
        <v>28770.163446394105</v>
      </c>
      <c r="BH20" s="12">
        <f>BG20*(1 + Tickets!W$267/100)</f>
        <v>28770.163446394105</v>
      </c>
      <c r="BI20" s="12">
        <f>BH20*(1 + Tickets!X$267/100)</f>
        <v>28770.163446394105</v>
      </c>
      <c r="BJ20" s="12">
        <f>BI20*(1 + Tickets!Y$267/100)</f>
        <v>28770.163446394105</v>
      </c>
      <c r="BK20" s="12">
        <f>BJ20*(1 + Tickets!Z$267/100)</f>
        <v>28770.163446394105</v>
      </c>
      <c r="BL20" s="12">
        <f>BK20*(1 + Tickets!AA$267/100)</f>
        <v>28770.163446394105</v>
      </c>
      <c r="BM20" s="12">
        <f>BL20*(1 + Tickets!AB$267/100)</f>
        <v>28770.163446394105</v>
      </c>
      <c r="BN20" s="12">
        <f>BM20*(1 + Tickets!AC$267/100)</f>
        <v>28770.163446394105</v>
      </c>
      <c r="BO20" s="12">
        <f>BN20*(1 + Tickets!AD$267/100)</f>
        <v>28770.163446394105</v>
      </c>
      <c r="BP20" s="12">
        <f>BO20*(1 + Tickets!AE$267/100)</f>
        <v>28770.163446394105</v>
      </c>
      <c r="BQ20" s="12">
        <f>BP20*(1 + Tickets!AF$267/100)</f>
        <v>28770.163446394105</v>
      </c>
      <c r="BR20" s="12">
        <f>BQ20*(1 + Tickets!AG$267/100)</f>
        <v>28770.163446394105</v>
      </c>
      <c r="BS20" s="12">
        <f>BR20*(1 + Tickets!AH$267/100)</f>
        <v>28770.163446394105</v>
      </c>
      <c r="BT20" s="12">
        <f>BS20*(1 + Tickets!AI$267/100)</f>
        <v>28770.163446394105</v>
      </c>
      <c r="BU20" s="12">
        <f>BT20*(1 + Tickets!AJ$267/100)</f>
        <v>28770.163446394105</v>
      </c>
      <c r="BV20" s="12">
        <f>BU20*(1 + Tickets!AK$267/100)</f>
        <v>28770.163446394105</v>
      </c>
      <c r="BW20" s="12">
        <f>BV20*(1 + Tickets!AL$267/100)</f>
        <v>28770.163446394105</v>
      </c>
      <c r="BX20" s="12">
        <f>BW20*(1 + Tickets!AM$267/100)</f>
        <v>28770.163446394105</v>
      </c>
      <c r="BY20" s="12">
        <f>BX20*(1 + Tickets!AN$267/100)</f>
        <v>28770.163446394105</v>
      </c>
      <c r="BZ20" s="12">
        <f>BY20*(1 + Tickets!AO$267/100)</f>
        <v>28770.163446394105</v>
      </c>
      <c r="CA20" s="12">
        <f>BZ20*(1 + Tickets!AP$267/100)</f>
        <v>28770.163446394105</v>
      </c>
      <c r="CB20" s="12">
        <f>CA20*(1 + Tickets!AQ$267/100)</f>
        <v>28770.163446394105</v>
      </c>
      <c r="CC20" s="12">
        <f>CB20*(1 + Tickets!AR$267/100)</f>
        <v>28770.163446394105</v>
      </c>
      <c r="CD20" s="12">
        <f>CC20*(1 + Tickets!AS$267/100)</f>
        <v>28770.163446394105</v>
      </c>
      <c r="CE20" s="12">
        <f>CD20*(1 + Tickets!AT$267/100)</f>
        <v>28770.163446394105</v>
      </c>
      <c r="CF20" s="12">
        <f>CE20*(1 + Tickets!AU$267/100)</f>
        <v>28770.163446394105</v>
      </c>
      <c r="CG20" s="12">
        <f>CF20*(1 + Tickets!AV$267/100)</f>
        <v>28770.163446394105</v>
      </c>
      <c r="CH20" s="12">
        <f>CG20*(1 + Tickets!AW$267/100)</f>
        <v>28770.163446394105</v>
      </c>
      <c r="CI20" s="12">
        <f>CH20*(1 + Tickets!AX$267/100)</f>
        <v>28770.163446394105</v>
      </c>
      <c r="CJ20" s="12">
        <f>CI20*(1 + Tickets!AY$267/100)</f>
        <v>28770.163446394105</v>
      </c>
      <c r="CK20" s="12">
        <f>CJ20*(1 + Tickets!AZ$267/100)</f>
        <v>28770.163446394105</v>
      </c>
      <c r="CL20" s="12">
        <f>CK20*(1 + Tickets!BA$267/100)</f>
        <v>28770.163446394105</v>
      </c>
      <c r="CM20" s="12">
        <f>CL20*(1 + Tickets!BB$267/100)</f>
        <v>28770.163446394105</v>
      </c>
      <c r="CN20" s="12">
        <f>CM20*(1 + Tickets!BC$267/100)</f>
        <v>28770.163446394105</v>
      </c>
      <c r="CO20" s="12">
        <f>CN20*(1 + Tickets!BD$267/100)</f>
        <v>28770.163446394105</v>
      </c>
      <c r="CP20" s="12">
        <f>CO20*(1 + Tickets!BE$267/100)</f>
        <v>28770.163446394105</v>
      </c>
      <c r="CQ20" s="12">
        <f>CP20*(1 + Tickets!BF$267/100)</f>
        <v>28770.163446394105</v>
      </c>
      <c r="CR20" s="12">
        <f>CQ20*(1 + Tickets!BG$267/100)</f>
        <v>28770.163446394105</v>
      </c>
      <c r="CS20" s="12">
        <f>CR20*(1 + Tickets!BH$267/100)</f>
        <v>28770.163446394105</v>
      </c>
      <c r="CT20" s="12">
        <f>CS20*(1 + Tickets!BI$267/100)</f>
        <v>28770.163446394105</v>
      </c>
      <c r="CU20" s="12">
        <f>CT20*(1 + Tickets!BJ$267/100)</f>
        <v>28770.163446394105</v>
      </c>
      <c r="CV20" s="12">
        <f>CU20*(1 + Tickets!BK$267/100)</f>
        <v>28770.163446394105</v>
      </c>
    </row>
    <row r="21" spans="1:100" s="12" customFormat="1">
      <c r="W21" s="12" t="s">
        <v>231</v>
      </c>
      <c r="X21"/>
      <c r="Y21"/>
      <c r="Z21" s="12">
        <f>$Q$31*R3+$Q$31*T3</f>
        <v>194251.34999999998</v>
      </c>
      <c r="AA21" s="12">
        <f>$Q$31*R46+$Q$31*T46</f>
        <v>207560.65</v>
      </c>
      <c r="AH21" s="12" t="s">
        <v>265</v>
      </c>
      <c r="AJ21" s="12" t="s">
        <v>231</v>
      </c>
      <c r="AN21" s="12">
        <f>AA76*Variables!E25</f>
        <v>71358.490880474783</v>
      </c>
      <c r="AO21" s="12">
        <f>AN21*(1 + Tickets!D$267/100)</f>
        <v>72972.61994419113</v>
      </c>
      <c r="AP21" s="12">
        <f>AO21*(1 + Tickets!E$267/100)</f>
        <v>73759.994513388956</v>
      </c>
      <c r="AQ21" s="12">
        <f>AP21*(1 + Tickets!F$267/100)</f>
        <v>75031.616818799783</v>
      </c>
      <c r="AR21" s="12">
        <f>AQ21*(1 + Tickets!G$267/100)</f>
        <v>76682.312388813385</v>
      </c>
      <c r="AS21" s="12">
        <f>AR21*(1 + Tickets!H$267/100)</f>
        <v>77909.2293870344</v>
      </c>
      <c r="AT21" s="12">
        <f>AS21*(1 + Tickets!I$267/100)</f>
        <v>79389.50474538804</v>
      </c>
      <c r="AU21" s="12">
        <f>AT21*(1 + Tickets!J$267/100)</f>
        <v>80897.9053355504</v>
      </c>
      <c r="AV21" s="12">
        <f>AU21*(1 + Tickets!K$267/100)</f>
        <v>82515.863442261412</v>
      </c>
      <c r="AW21" s="12">
        <f>AV21*(1 + Tickets!L$267/100)</f>
        <v>84207.438642827765</v>
      </c>
      <c r="AX21" s="12">
        <f>AW21*(1 + Tickets!M$267/100)</f>
        <v>85975.794854327134</v>
      </c>
      <c r="AY21" s="12">
        <f>AX21*(1 + Tickets!N$267/100)</f>
        <v>87824.274443695176</v>
      </c>
      <c r="AZ21" s="12">
        <f>AY21*(1 + Tickets!O$267/100)</f>
        <v>89756.40848145647</v>
      </c>
      <c r="BA21" s="12">
        <f>AZ21*(1 + Tickets!P$267/100)</f>
        <v>91731.049468048514</v>
      </c>
      <c r="BB21" s="12">
        <f>BA21*(1 + Tickets!Q$267/100)</f>
        <v>93749.132556345576</v>
      </c>
      <c r="BC21" s="12">
        <f>BB21*(1 + Tickets!R$267/100)</f>
        <v>95811.613472585173</v>
      </c>
      <c r="BD21" s="12">
        <f>BC21*(1 + Tickets!S$267/100)</f>
        <v>97919.468968982052</v>
      </c>
      <c r="BE21" s="12">
        <f>BD21*(1 + Tickets!T$267/100)</f>
        <v>100073.69728629966</v>
      </c>
      <c r="BF21" s="12">
        <f>BE21*(1 + Tickets!U$267/100)</f>
        <v>102275.31862659825</v>
      </c>
      <c r="BG21" s="12">
        <f>BF21*(1 + Tickets!V$267/100)</f>
        <v>104525.37563638341</v>
      </c>
      <c r="BH21" s="12">
        <f>BG21*(1 + Tickets!W$267/100)</f>
        <v>104525.37563638341</v>
      </c>
      <c r="BI21" s="12">
        <f>BH21*(1 + Tickets!X$267/100)</f>
        <v>104525.37563638341</v>
      </c>
      <c r="BJ21" s="12">
        <f>BI21*(1 + Tickets!Y$267/100)</f>
        <v>104525.37563638341</v>
      </c>
      <c r="BK21" s="12">
        <f>BJ21*(1 + Tickets!Z$267/100)</f>
        <v>104525.37563638341</v>
      </c>
      <c r="BL21" s="12">
        <f>BK21*(1 + Tickets!AA$267/100)</f>
        <v>104525.37563638341</v>
      </c>
      <c r="BM21" s="12">
        <f>BL21*(1 + Tickets!AB$267/100)</f>
        <v>104525.37563638341</v>
      </c>
      <c r="BN21" s="12">
        <f>BM21*(1 + Tickets!AC$267/100)</f>
        <v>104525.37563638341</v>
      </c>
      <c r="BO21" s="12">
        <f>BN21*(1 + Tickets!AD$267/100)</f>
        <v>104525.37563638341</v>
      </c>
      <c r="BP21" s="12">
        <f>BO21*(1 + Tickets!AE$267/100)</f>
        <v>104525.37563638341</v>
      </c>
      <c r="BQ21" s="12">
        <f>BP21*(1 + Tickets!AF$267/100)</f>
        <v>104525.37563638341</v>
      </c>
      <c r="BR21" s="12">
        <f>BQ21*(1 + Tickets!AG$267/100)</f>
        <v>104525.37563638341</v>
      </c>
      <c r="BS21" s="12">
        <f>BR21*(1 + Tickets!AH$267/100)</f>
        <v>104525.37563638341</v>
      </c>
      <c r="BT21" s="12">
        <f>BS21*(1 + Tickets!AI$267/100)</f>
        <v>104525.37563638341</v>
      </c>
      <c r="BU21" s="12">
        <f>BT21*(1 + Tickets!AJ$267/100)</f>
        <v>104525.37563638341</v>
      </c>
      <c r="BV21" s="12">
        <f>BU21*(1 + Tickets!AK$267/100)</f>
        <v>104525.37563638341</v>
      </c>
      <c r="BW21" s="12">
        <f>BV21*(1 + Tickets!AL$267/100)</f>
        <v>104525.37563638341</v>
      </c>
      <c r="BX21" s="12">
        <f>BW21*(1 + Tickets!AM$267/100)</f>
        <v>104525.37563638341</v>
      </c>
      <c r="BY21" s="12">
        <f>BX21*(1 + Tickets!AN$267/100)</f>
        <v>104525.37563638341</v>
      </c>
      <c r="BZ21" s="12">
        <f>BY21*(1 + Tickets!AO$267/100)</f>
        <v>104525.37563638341</v>
      </c>
      <c r="CA21" s="12">
        <f>BZ21*(1 + Tickets!AP$267/100)</f>
        <v>104525.37563638341</v>
      </c>
      <c r="CB21" s="12">
        <f>CA21*(1 + Tickets!AQ$267/100)</f>
        <v>104525.37563638341</v>
      </c>
      <c r="CC21" s="12">
        <f>CB21*(1 + Tickets!AR$267/100)</f>
        <v>104525.37563638341</v>
      </c>
      <c r="CD21" s="12">
        <f>CC21*(1 + Tickets!AS$267/100)</f>
        <v>104525.37563638341</v>
      </c>
      <c r="CE21" s="12">
        <f>CD21*(1 + Tickets!AT$267/100)</f>
        <v>104525.37563638341</v>
      </c>
      <c r="CF21" s="12">
        <f>CE21*(1 + Tickets!AU$267/100)</f>
        <v>104525.37563638341</v>
      </c>
      <c r="CG21" s="12">
        <f>CF21*(1 + Tickets!AV$267/100)</f>
        <v>104525.37563638341</v>
      </c>
      <c r="CH21" s="12">
        <f>CG21*(1 + Tickets!AW$267/100)</f>
        <v>104525.37563638341</v>
      </c>
      <c r="CI21" s="12">
        <f>CH21*(1 + Tickets!AX$267/100)</f>
        <v>104525.37563638341</v>
      </c>
      <c r="CJ21" s="12">
        <f>CI21*(1 + Tickets!AY$267/100)</f>
        <v>104525.37563638341</v>
      </c>
      <c r="CK21" s="12">
        <f>CJ21*(1 + Tickets!AZ$267/100)</f>
        <v>104525.37563638341</v>
      </c>
      <c r="CL21" s="12">
        <f>CK21*(1 + Tickets!BA$267/100)</f>
        <v>104525.37563638341</v>
      </c>
      <c r="CM21" s="12">
        <f>CL21*(1 + Tickets!BB$267/100)</f>
        <v>104525.37563638341</v>
      </c>
      <c r="CN21" s="12">
        <f>CM21*(1 + Tickets!BC$267/100)</f>
        <v>104525.37563638341</v>
      </c>
      <c r="CO21" s="12">
        <f>CN21*(1 + Tickets!BD$267/100)</f>
        <v>104525.37563638341</v>
      </c>
      <c r="CP21" s="12">
        <f>CO21*(1 + Tickets!BE$267/100)</f>
        <v>104525.37563638341</v>
      </c>
      <c r="CQ21" s="12">
        <f>CP21*(1 + Tickets!BF$267/100)</f>
        <v>104525.37563638341</v>
      </c>
      <c r="CR21" s="12">
        <f>CQ21*(1 + Tickets!BG$267/100)</f>
        <v>104525.37563638341</v>
      </c>
      <c r="CS21" s="12">
        <f>CR21*(1 + Tickets!BH$267/100)</f>
        <v>104525.37563638341</v>
      </c>
      <c r="CT21" s="12">
        <f>CS21*(1 + Tickets!BI$267/100)</f>
        <v>104525.37563638341</v>
      </c>
      <c r="CU21" s="12">
        <f>CT21*(1 + Tickets!BJ$267/100)</f>
        <v>104525.37563638341</v>
      </c>
      <c r="CV21" s="12">
        <f>CU21*(1 + Tickets!BK$267/100)</f>
        <v>104525.37563638341</v>
      </c>
    </row>
    <row r="22" spans="1:100" s="12" customFormat="1">
      <c r="K22" s="12" t="s">
        <v>260</v>
      </c>
      <c r="W22" s="12" t="s">
        <v>232</v>
      </c>
      <c r="X22"/>
      <c r="Y22"/>
      <c r="Z22">
        <f>$Q$32*R4+$Q$32*T4</f>
        <v>84881.279999999999</v>
      </c>
      <c r="AA22">
        <f>$Q$32*R47+$Q$32*T47</f>
        <v>94500.56</v>
      </c>
      <c r="AJ22" s="12" t="s">
        <v>232</v>
      </c>
      <c r="AN22" s="12">
        <f>AA77*Variables!E25</f>
        <v>34115.130043784717</v>
      </c>
      <c r="AO22" s="12">
        <f>AN22*(1 + Tickets!D$267/100)</f>
        <v>34886.814285375127</v>
      </c>
      <c r="AP22" s="12">
        <f>AO22*(1 + Tickets!E$267/100)</f>
        <v>35263.243011514329</v>
      </c>
      <c r="AQ22" s="12">
        <f>AP22*(1 + Tickets!F$267/100)</f>
        <v>35871.181321032833</v>
      </c>
      <c r="AR22" s="12">
        <f>AQ22*(1 + Tickets!G$267/100)</f>
        <v>36660.347310095553</v>
      </c>
      <c r="AS22" s="12">
        <f>AR22*(1 + Tickets!H$267/100)</f>
        <v>37246.912867057079</v>
      </c>
      <c r="AT22" s="12">
        <f>AS22*(1 + Tickets!I$267/100)</f>
        <v>37954.604211531157</v>
      </c>
      <c r="AU22" s="12">
        <f>AT22*(1 + Tickets!J$267/100)</f>
        <v>38675.741691550247</v>
      </c>
      <c r="AV22" s="12">
        <f>AU22*(1 + Tickets!K$267/100)</f>
        <v>39449.25652538125</v>
      </c>
      <c r="AW22" s="12">
        <f>AV22*(1 + Tickets!L$267/100)</f>
        <v>40257.966284151567</v>
      </c>
      <c r="AX22" s="12">
        <f>AW22*(1 + Tickets!M$267/100)</f>
        <v>41103.383576118744</v>
      </c>
      <c r="AY22" s="12">
        <f>AX22*(1 + Tickets!N$267/100)</f>
        <v>41987.106323005297</v>
      </c>
      <c r="AZ22" s="12">
        <f>AY22*(1 + Tickets!O$267/100)</f>
        <v>42910.822662111415</v>
      </c>
      <c r="BA22" s="12">
        <f>AZ22*(1 + Tickets!P$267/100)</f>
        <v>43854.860760677868</v>
      </c>
      <c r="BB22" s="12">
        <f>BA22*(1 + Tickets!Q$267/100)</f>
        <v>44819.667697412784</v>
      </c>
      <c r="BC22" s="12">
        <f>BB22*(1 + Tickets!R$267/100)</f>
        <v>45805.700386755867</v>
      </c>
      <c r="BD22" s="12">
        <f>BC22*(1 + Tickets!S$267/100)</f>
        <v>46813.425795264498</v>
      </c>
      <c r="BE22" s="12">
        <f>BD22*(1 + Tickets!T$267/100)</f>
        <v>47843.321162760316</v>
      </c>
      <c r="BF22" s="12">
        <f>BE22*(1 + Tickets!U$267/100)</f>
        <v>48895.874228341047</v>
      </c>
      <c r="BG22" s="12">
        <f>BF22*(1 + Tickets!V$267/100)</f>
        <v>49971.583461364549</v>
      </c>
      <c r="BH22" s="12">
        <f>BG22*(1 + Tickets!W$267/100)</f>
        <v>49971.583461364549</v>
      </c>
      <c r="BI22" s="12">
        <f>BH22*(1 + Tickets!X$267/100)</f>
        <v>49971.583461364549</v>
      </c>
      <c r="BJ22" s="12">
        <f>BI22*(1 + Tickets!Y$267/100)</f>
        <v>49971.583461364549</v>
      </c>
      <c r="BK22" s="12">
        <f>BJ22*(1 + Tickets!Z$267/100)</f>
        <v>49971.583461364549</v>
      </c>
      <c r="BL22" s="12">
        <f>BK22*(1 + Tickets!AA$267/100)</f>
        <v>49971.583461364549</v>
      </c>
      <c r="BM22" s="12">
        <f>BL22*(1 + Tickets!AB$267/100)</f>
        <v>49971.583461364549</v>
      </c>
      <c r="BN22" s="12">
        <f>BM22*(1 + Tickets!AC$267/100)</f>
        <v>49971.583461364549</v>
      </c>
      <c r="BO22" s="12">
        <f>BN22*(1 + Tickets!AD$267/100)</f>
        <v>49971.583461364549</v>
      </c>
      <c r="BP22" s="12">
        <f>BO22*(1 + Tickets!AE$267/100)</f>
        <v>49971.583461364549</v>
      </c>
      <c r="BQ22" s="12">
        <f>BP22*(1 + Tickets!AF$267/100)</f>
        <v>49971.583461364549</v>
      </c>
      <c r="BR22" s="12">
        <f>BQ22*(1 + Tickets!AG$267/100)</f>
        <v>49971.583461364549</v>
      </c>
      <c r="BS22" s="12">
        <f>BR22*(1 + Tickets!AH$267/100)</f>
        <v>49971.583461364549</v>
      </c>
      <c r="BT22" s="12">
        <f>BS22*(1 + Tickets!AI$267/100)</f>
        <v>49971.583461364549</v>
      </c>
      <c r="BU22" s="12">
        <f>BT22*(1 + Tickets!AJ$267/100)</f>
        <v>49971.583461364549</v>
      </c>
      <c r="BV22" s="12">
        <f>BU22*(1 + Tickets!AK$267/100)</f>
        <v>49971.583461364549</v>
      </c>
      <c r="BW22" s="12">
        <f>BV22*(1 + Tickets!AL$267/100)</f>
        <v>49971.583461364549</v>
      </c>
      <c r="BX22" s="12">
        <f>BW22*(1 + Tickets!AM$267/100)</f>
        <v>49971.583461364549</v>
      </c>
      <c r="BY22" s="12">
        <f>BX22*(1 + Tickets!AN$267/100)</f>
        <v>49971.583461364549</v>
      </c>
      <c r="BZ22" s="12">
        <f>BY22*(1 + Tickets!AO$267/100)</f>
        <v>49971.583461364549</v>
      </c>
      <c r="CA22" s="12">
        <f>BZ22*(1 + Tickets!AP$267/100)</f>
        <v>49971.583461364549</v>
      </c>
      <c r="CB22" s="12">
        <f>CA22*(1 + Tickets!AQ$267/100)</f>
        <v>49971.583461364549</v>
      </c>
      <c r="CC22" s="12">
        <f>CB22*(1 + Tickets!AR$267/100)</f>
        <v>49971.583461364549</v>
      </c>
      <c r="CD22" s="12">
        <f>CC22*(1 + Tickets!AS$267/100)</f>
        <v>49971.583461364549</v>
      </c>
      <c r="CE22" s="12">
        <f>CD22*(1 + Tickets!AT$267/100)</f>
        <v>49971.583461364549</v>
      </c>
      <c r="CF22" s="12">
        <f>CE22*(1 + Tickets!AU$267/100)</f>
        <v>49971.583461364549</v>
      </c>
      <c r="CG22" s="12">
        <f>CF22*(1 + Tickets!AV$267/100)</f>
        <v>49971.583461364549</v>
      </c>
      <c r="CH22" s="12">
        <f>CG22*(1 + Tickets!AW$267/100)</f>
        <v>49971.583461364549</v>
      </c>
      <c r="CI22" s="12">
        <f>CH22*(1 + Tickets!AX$267/100)</f>
        <v>49971.583461364549</v>
      </c>
      <c r="CJ22" s="12">
        <f>CI22*(1 + Tickets!AY$267/100)</f>
        <v>49971.583461364549</v>
      </c>
      <c r="CK22" s="12">
        <f>CJ22*(1 + Tickets!AZ$267/100)</f>
        <v>49971.583461364549</v>
      </c>
      <c r="CL22" s="12">
        <f>CK22*(1 + Tickets!BA$267/100)</f>
        <v>49971.583461364549</v>
      </c>
      <c r="CM22" s="12">
        <f>CL22*(1 + Tickets!BB$267/100)</f>
        <v>49971.583461364549</v>
      </c>
      <c r="CN22" s="12">
        <f>CM22*(1 + Tickets!BC$267/100)</f>
        <v>49971.583461364549</v>
      </c>
      <c r="CO22" s="12">
        <f>CN22*(1 + Tickets!BD$267/100)</f>
        <v>49971.583461364549</v>
      </c>
      <c r="CP22" s="12">
        <f>CO22*(1 + Tickets!BE$267/100)</f>
        <v>49971.583461364549</v>
      </c>
      <c r="CQ22" s="12">
        <f>CP22*(1 + Tickets!BF$267/100)</f>
        <v>49971.583461364549</v>
      </c>
      <c r="CR22" s="12">
        <f>CQ22*(1 + Tickets!BG$267/100)</f>
        <v>49971.583461364549</v>
      </c>
      <c r="CS22" s="12">
        <f>CR22*(1 + Tickets!BH$267/100)</f>
        <v>49971.583461364549</v>
      </c>
      <c r="CT22" s="12">
        <f>CS22*(1 + Tickets!BI$267/100)</f>
        <v>49971.583461364549</v>
      </c>
      <c r="CU22" s="12">
        <f>CT22*(1 + Tickets!BJ$267/100)</f>
        <v>49971.583461364549</v>
      </c>
      <c r="CV22" s="12">
        <f>CU22*(1 + Tickets!BK$267/100)</f>
        <v>49971.583461364549</v>
      </c>
    </row>
    <row r="23" spans="1:100">
      <c r="G23" s="12"/>
      <c r="J23" s="12"/>
      <c r="K23" s="12">
        <v>2009</v>
      </c>
      <c r="L23" s="12">
        <f>1467/7703</f>
        <v>0.19044528105932754</v>
      </c>
      <c r="M23" s="12"/>
      <c r="N23" s="12">
        <v>2013</v>
      </c>
      <c r="O23" s="12">
        <f>1751/8828</f>
        <v>0.19834617127322157</v>
      </c>
      <c r="P23" s="12"/>
      <c r="Q23" s="12" t="s">
        <v>261</v>
      </c>
      <c r="R23" s="12"/>
      <c r="S23" s="12"/>
      <c r="T23" s="12"/>
      <c r="U23" s="12"/>
      <c r="W23" s="12" t="s">
        <v>233</v>
      </c>
      <c r="Z23">
        <f>$Q$33*R5+$Q$33*T5</f>
        <v>101287.92</v>
      </c>
      <c r="AA23">
        <f>$Q$33*R48+$Q$33*T48</f>
        <v>109780.56</v>
      </c>
      <c r="AH23" s="12"/>
      <c r="AI23" s="12"/>
      <c r="AJ23" s="12" t="s">
        <v>233</v>
      </c>
      <c r="AN23" s="12">
        <f>AA78*Variables!E25</f>
        <v>6325.0225849597855</v>
      </c>
      <c r="AO23" s="12">
        <f>AN23*(1 + Tickets!D$267/100)</f>
        <v>6468.094595831576</v>
      </c>
      <c r="AP23" s="12">
        <f>AO23*(1 + Tickets!E$267/100)</f>
        <v>6537.8853365205996</v>
      </c>
      <c r="AQ23" s="12">
        <f>AP23*(1 + Tickets!F$267/100)</f>
        <v>6650.5984797222145</v>
      </c>
      <c r="AR23" s="12">
        <f>AQ23*(1 + Tickets!G$267/100)</f>
        <v>6796.9116462761031</v>
      </c>
      <c r="AS23" s="12">
        <f>AR23*(1 + Tickets!H$267/100)</f>
        <v>6905.6622326165207</v>
      </c>
      <c r="AT23" s="12">
        <f>AS23*(1 + Tickets!I$267/100)</f>
        <v>7036.8698150362343</v>
      </c>
      <c r="AU23" s="12">
        <f>AT23*(1 + Tickets!J$267/100)</f>
        <v>7170.5703415219223</v>
      </c>
      <c r="AV23" s="12">
        <f>AU23*(1 + Tickets!K$267/100)</f>
        <v>7313.9817483523611</v>
      </c>
      <c r="AW23" s="12">
        <f>AV23*(1 + Tickets!L$267/100)</f>
        <v>7463.918374193584</v>
      </c>
      <c r="AX23" s="12">
        <f>AW23*(1 + Tickets!M$267/100)</f>
        <v>7620.6606600516488</v>
      </c>
      <c r="AY23" s="12">
        <f>AX23*(1 + Tickets!N$267/100)</f>
        <v>7784.50486424276</v>
      </c>
      <c r="AZ23" s="12">
        <f>AY23*(1 + Tickets!O$267/100)</f>
        <v>7955.7639712561013</v>
      </c>
      <c r="BA23" s="12">
        <f>AZ23*(1 + Tickets!P$267/100)</f>
        <v>8130.7907786237356</v>
      </c>
      <c r="BB23" s="12">
        <f>BA23*(1 + Tickets!Q$267/100)</f>
        <v>8309.6681757534589</v>
      </c>
      <c r="BC23" s="12">
        <f>BB23*(1 + Tickets!R$267/100)</f>
        <v>8492.4808756200346</v>
      </c>
      <c r="BD23" s="12">
        <f>BC23*(1 + Tickets!S$267/100)</f>
        <v>8679.3154548836756</v>
      </c>
      <c r="BE23" s="12">
        <f>BD23*(1 + Tickets!T$267/100)</f>
        <v>8870.2603948911164</v>
      </c>
      <c r="BF23" s="12">
        <f>BE23*(1 + Tickets!U$267/100)</f>
        <v>9065.4061235787212</v>
      </c>
      <c r="BG23" s="12">
        <f>BF23*(1 + Tickets!V$267/100)</f>
        <v>9264.8450582974529</v>
      </c>
      <c r="BH23" s="12">
        <f>BG23*(1 + Tickets!W$267/100)</f>
        <v>9264.8450582974529</v>
      </c>
      <c r="BI23" s="12">
        <f>BH23*(1 + Tickets!X$267/100)</f>
        <v>9264.8450582974529</v>
      </c>
      <c r="BJ23" s="12">
        <f>BI23*(1 + Tickets!Y$267/100)</f>
        <v>9264.8450582974529</v>
      </c>
      <c r="BK23" s="12">
        <f>BJ23*(1 + Tickets!Z$267/100)</f>
        <v>9264.8450582974529</v>
      </c>
      <c r="BL23" s="12">
        <f>BK23*(1 + Tickets!AA$267/100)</f>
        <v>9264.8450582974529</v>
      </c>
      <c r="BM23" s="12">
        <f>BL23*(1 + Tickets!AB$267/100)</f>
        <v>9264.8450582974529</v>
      </c>
      <c r="BN23" s="12">
        <f>BM23*(1 + Tickets!AC$267/100)</f>
        <v>9264.8450582974529</v>
      </c>
      <c r="BO23" s="12">
        <f>BN23*(1 + Tickets!AD$267/100)</f>
        <v>9264.8450582974529</v>
      </c>
      <c r="BP23" s="12">
        <f>BO23*(1 + Tickets!AE$267/100)</f>
        <v>9264.8450582974529</v>
      </c>
      <c r="BQ23" s="12">
        <f>BP23*(1 + Tickets!AF$267/100)</f>
        <v>9264.8450582974529</v>
      </c>
      <c r="BR23" s="12">
        <f>BQ23*(1 + Tickets!AG$267/100)</f>
        <v>9264.8450582974529</v>
      </c>
      <c r="BS23" s="12">
        <f>BR23*(1 + Tickets!AH$267/100)</f>
        <v>9264.8450582974529</v>
      </c>
      <c r="BT23" s="12">
        <f>BS23*(1 + Tickets!AI$267/100)</f>
        <v>9264.8450582974529</v>
      </c>
      <c r="BU23" s="12">
        <f>BT23*(1 + Tickets!AJ$267/100)</f>
        <v>9264.8450582974529</v>
      </c>
      <c r="BV23" s="12">
        <f>BU23*(1 + Tickets!AK$267/100)</f>
        <v>9264.8450582974529</v>
      </c>
      <c r="BW23" s="12">
        <f>BV23*(1 + Tickets!AL$267/100)</f>
        <v>9264.8450582974529</v>
      </c>
      <c r="BX23" s="12">
        <f>BW23*(1 + Tickets!AM$267/100)</f>
        <v>9264.8450582974529</v>
      </c>
      <c r="BY23" s="12">
        <f>BX23*(1 + Tickets!AN$267/100)</f>
        <v>9264.8450582974529</v>
      </c>
      <c r="BZ23" s="12">
        <f>BY23*(1 + Tickets!AO$267/100)</f>
        <v>9264.8450582974529</v>
      </c>
      <c r="CA23" s="12">
        <f>BZ23*(1 + Tickets!AP$267/100)</f>
        <v>9264.8450582974529</v>
      </c>
      <c r="CB23" s="12">
        <f>CA23*(1 + Tickets!AQ$267/100)</f>
        <v>9264.8450582974529</v>
      </c>
      <c r="CC23" s="12">
        <f>CB23*(1 + Tickets!AR$267/100)</f>
        <v>9264.8450582974529</v>
      </c>
      <c r="CD23" s="12">
        <f>CC23*(1 + Tickets!AS$267/100)</f>
        <v>9264.8450582974529</v>
      </c>
      <c r="CE23" s="12">
        <f>CD23*(1 + Tickets!AT$267/100)</f>
        <v>9264.8450582974529</v>
      </c>
      <c r="CF23" s="12">
        <f>CE23*(1 + Tickets!AU$267/100)</f>
        <v>9264.8450582974529</v>
      </c>
      <c r="CG23" s="12">
        <f>CF23*(1 + Tickets!AV$267/100)</f>
        <v>9264.8450582974529</v>
      </c>
      <c r="CH23" s="12">
        <f>CG23*(1 + Tickets!AW$267/100)</f>
        <v>9264.8450582974529</v>
      </c>
      <c r="CI23" s="12">
        <f>CH23*(1 + Tickets!AX$267/100)</f>
        <v>9264.8450582974529</v>
      </c>
      <c r="CJ23" s="12">
        <f>CI23*(1 + Tickets!AY$267/100)</f>
        <v>9264.8450582974529</v>
      </c>
      <c r="CK23" s="12">
        <f>CJ23*(1 + Tickets!AZ$267/100)</f>
        <v>9264.8450582974529</v>
      </c>
      <c r="CL23" s="12">
        <f>CK23*(1 + Tickets!BA$267/100)</f>
        <v>9264.8450582974529</v>
      </c>
      <c r="CM23" s="12">
        <f>CL23*(1 + Tickets!BB$267/100)</f>
        <v>9264.8450582974529</v>
      </c>
      <c r="CN23" s="12">
        <f>CM23*(1 + Tickets!BC$267/100)</f>
        <v>9264.8450582974529</v>
      </c>
      <c r="CO23" s="12">
        <f>CN23*(1 + Tickets!BD$267/100)</f>
        <v>9264.8450582974529</v>
      </c>
      <c r="CP23" s="12">
        <f>CO23*(1 + Tickets!BE$267/100)</f>
        <v>9264.8450582974529</v>
      </c>
      <c r="CQ23" s="12">
        <f>CP23*(1 + Tickets!BF$267/100)</f>
        <v>9264.8450582974529</v>
      </c>
      <c r="CR23" s="12">
        <f>CQ23*(1 + Tickets!BG$267/100)</f>
        <v>9264.8450582974529</v>
      </c>
      <c r="CS23" s="12">
        <f>CR23*(1 + Tickets!BH$267/100)</f>
        <v>9264.8450582974529</v>
      </c>
      <c r="CT23" s="12">
        <f>CS23*(1 + Tickets!BI$267/100)</f>
        <v>9264.8450582974529</v>
      </c>
      <c r="CU23" s="12">
        <f>CT23*(1 + Tickets!BJ$267/100)</f>
        <v>9264.8450582974529</v>
      </c>
      <c r="CV23" s="12">
        <f>CU23*(1 + Tickets!BK$267/100)</f>
        <v>9264.8450582974529</v>
      </c>
    </row>
    <row r="24" spans="1:100">
      <c r="G24" s="12"/>
      <c r="K24" s="12">
        <v>2010</v>
      </c>
      <c r="L24" s="12">
        <f>1520/8002</f>
        <v>0.18995251187203199</v>
      </c>
      <c r="M24" s="12"/>
      <c r="N24" s="12">
        <v>2014</v>
      </c>
      <c r="O24" s="12">
        <f>1818/9285</f>
        <v>0.19579967689822295</v>
      </c>
      <c r="P24" s="12"/>
      <c r="Q24" s="12">
        <v>2009</v>
      </c>
      <c r="R24" s="12">
        <f>5437/13140</f>
        <v>0.41377473363774736</v>
      </c>
      <c r="S24" s="12"/>
      <c r="T24" s="12">
        <v>2013</v>
      </c>
      <c r="U24" s="12">
        <f>5948/14776</f>
        <v>0.40254466702761232</v>
      </c>
      <c r="W24" s="12" t="s">
        <v>234</v>
      </c>
      <c r="Z24">
        <f>$Q$34*R6+$Q$34*T6</f>
        <v>15948.800000000001</v>
      </c>
      <c r="AA24">
        <f>$Q$34*R49+$Q$34*T49</f>
        <v>16695.8</v>
      </c>
      <c r="AF24" s="12"/>
      <c r="AG24" s="12"/>
      <c r="AH24" s="12"/>
      <c r="AI24" s="12"/>
      <c r="AJ24" s="12" t="s">
        <v>234</v>
      </c>
      <c r="AK24" s="12"/>
      <c r="AL24" s="12"/>
      <c r="AM24" s="12"/>
      <c r="AN24" s="12">
        <f>AA79*Variables!E25</f>
        <v>1183.2</v>
      </c>
      <c r="AO24" s="12">
        <f>AN24*(1 + Tickets!D$267/100)</f>
        <v>1209.9639840000002</v>
      </c>
      <c r="AP24" s="12">
        <f>AO24*(1 + Tickets!E$267/100)</f>
        <v>1223.0194953873604</v>
      </c>
      <c r="AQ24" s="12">
        <f>AP24*(1 + Tickets!F$267/100)</f>
        <v>1244.1043514878384</v>
      </c>
      <c r="AR24" s="12">
        <f>AQ24*(1 + Tickets!G$267/100)</f>
        <v>1271.4746472205709</v>
      </c>
      <c r="AS24" s="12">
        <f>AR24*(1 + Tickets!H$267/100)</f>
        <v>1291.8182415761</v>
      </c>
      <c r="AT24" s="12">
        <f>AS24*(1 + Tickets!I$267/100)</f>
        <v>1316.3627881660459</v>
      </c>
      <c r="AU24" s="12">
        <f>AT24*(1 + Tickets!J$267/100)</f>
        <v>1341.3736811412007</v>
      </c>
      <c r="AV24" s="12">
        <f>AU24*(1 + Tickets!K$267/100)</f>
        <v>1368.2011547640247</v>
      </c>
      <c r="AW24" s="12">
        <f>AV24*(1 + Tickets!L$267/100)</f>
        <v>1396.2492784366873</v>
      </c>
      <c r="AX24" s="12">
        <f>AW24*(1 + Tickets!M$267/100)</f>
        <v>1425.5705132838575</v>
      </c>
      <c r="AY24" s="12">
        <f>AX24*(1 + Tickets!N$267/100)</f>
        <v>1456.2202793194606</v>
      </c>
      <c r="AZ24" s="12">
        <f>AY24*(1 + Tickets!O$267/100)</f>
        <v>1488.2571254644888</v>
      </c>
      <c r="BA24" s="12">
        <f>AZ24*(1 + Tickets!P$267/100)</f>
        <v>1520.9987822247076</v>
      </c>
      <c r="BB24" s="12">
        <f>BA24*(1 + Tickets!Q$267/100)</f>
        <v>1554.4607554336512</v>
      </c>
      <c r="BC24" s="12">
        <f>BB24*(1 + Tickets!R$267/100)</f>
        <v>1588.6588920531915</v>
      </c>
      <c r="BD24" s="12">
        <f>BC24*(1 + Tickets!S$267/100)</f>
        <v>1623.6093876783618</v>
      </c>
      <c r="BE24" s="12">
        <f>BD24*(1 + Tickets!T$267/100)</f>
        <v>1659.3287942072859</v>
      </c>
      <c r="BF24" s="12">
        <f>BE24*(1 + Tickets!U$267/100)</f>
        <v>1695.8340276798463</v>
      </c>
      <c r="BG24" s="12">
        <f>BF24*(1 + Tickets!V$267/100)</f>
        <v>1733.142376288803</v>
      </c>
      <c r="BH24" s="12">
        <f>BG24*(1 + Tickets!W$267/100)</f>
        <v>1733.142376288803</v>
      </c>
      <c r="BI24" s="12">
        <f>BH24*(1 + Tickets!X$267/100)</f>
        <v>1733.142376288803</v>
      </c>
      <c r="BJ24" s="12">
        <f>BI24*(1 + Tickets!Y$267/100)</f>
        <v>1733.142376288803</v>
      </c>
      <c r="BK24" s="12">
        <f>BJ24*(1 + Tickets!Z$267/100)</f>
        <v>1733.142376288803</v>
      </c>
      <c r="BL24" s="12">
        <f>BK24*(1 + Tickets!AA$267/100)</f>
        <v>1733.142376288803</v>
      </c>
      <c r="BM24" s="12">
        <f>BL24*(1 + Tickets!AB$267/100)</f>
        <v>1733.142376288803</v>
      </c>
      <c r="BN24" s="12">
        <f>BM24*(1 + Tickets!AC$267/100)</f>
        <v>1733.142376288803</v>
      </c>
      <c r="BO24" s="12">
        <f>BN24*(1 + Tickets!AD$267/100)</f>
        <v>1733.142376288803</v>
      </c>
      <c r="BP24" s="12">
        <f>BO24*(1 + Tickets!AE$267/100)</f>
        <v>1733.142376288803</v>
      </c>
      <c r="BQ24" s="12">
        <f>BP24*(1 + Tickets!AF$267/100)</f>
        <v>1733.142376288803</v>
      </c>
      <c r="BR24" s="12">
        <f>BQ24*(1 + Tickets!AG$267/100)</f>
        <v>1733.142376288803</v>
      </c>
      <c r="BS24" s="12">
        <f>BR24*(1 + Tickets!AH$267/100)</f>
        <v>1733.142376288803</v>
      </c>
      <c r="BT24" s="12">
        <f>BS24*(1 + Tickets!AI$267/100)</f>
        <v>1733.142376288803</v>
      </c>
      <c r="BU24" s="12">
        <f>BT24*(1 + Tickets!AJ$267/100)</f>
        <v>1733.142376288803</v>
      </c>
      <c r="BV24" s="12">
        <f>BU24*(1 + Tickets!AK$267/100)</f>
        <v>1733.142376288803</v>
      </c>
      <c r="BW24" s="12">
        <f>BV24*(1 + Tickets!AL$267/100)</f>
        <v>1733.142376288803</v>
      </c>
      <c r="BX24" s="12">
        <f>BW24*(1 + Tickets!AM$267/100)</f>
        <v>1733.142376288803</v>
      </c>
      <c r="BY24" s="12">
        <f>BX24*(1 + Tickets!AN$267/100)</f>
        <v>1733.142376288803</v>
      </c>
      <c r="BZ24" s="12">
        <f>BY24*(1 + Tickets!AO$267/100)</f>
        <v>1733.142376288803</v>
      </c>
      <c r="CA24" s="12">
        <f>BZ24*(1 + Tickets!AP$267/100)</f>
        <v>1733.142376288803</v>
      </c>
      <c r="CB24" s="12">
        <f>CA24*(1 + Tickets!AQ$267/100)</f>
        <v>1733.142376288803</v>
      </c>
      <c r="CC24" s="12">
        <f>CB24*(1 + Tickets!AR$267/100)</f>
        <v>1733.142376288803</v>
      </c>
      <c r="CD24" s="12">
        <f>CC24*(1 + Tickets!AS$267/100)</f>
        <v>1733.142376288803</v>
      </c>
      <c r="CE24" s="12">
        <f>CD24*(1 + Tickets!AT$267/100)</f>
        <v>1733.142376288803</v>
      </c>
      <c r="CF24" s="12">
        <f>CE24*(1 + Tickets!AU$267/100)</f>
        <v>1733.142376288803</v>
      </c>
      <c r="CG24" s="12">
        <f>CF24*(1 + Tickets!AV$267/100)</f>
        <v>1733.142376288803</v>
      </c>
      <c r="CH24" s="12">
        <f>CG24*(1 + Tickets!AW$267/100)</f>
        <v>1733.142376288803</v>
      </c>
      <c r="CI24" s="12">
        <f>CH24*(1 + Tickets!AX$267/100)</f>
        <v>1733.142376288803</v>
      </c>
      <c r="CJ24" s="12">
        <f>CI24*(1 + Tickets!AY$267/100)</f>
        <v>1733.142376288803</v>
      </c>
      <c r="CK24" s="12">
        <f>CJ24*(1 + Tickets!AZ$267/100)</f>
        <v>1733.142376288803</v>
      </c>
      <c r="CL24" s="12">
        <f>CK24*(1 + Tickets!BA$267/100)</f>
        <v>1733.142376288803</v>
      </c>
      <c r="CM24" s="12">
        <f>CL24*(1 + Tickets!BB$267/100)</f>
        <v>1733.142376288803</v>
      </c>
      <c r="CN24" s="12">
        <f>CM24*(1 + Tickets!BC$267/100)</f>
        <v>1733.142376288803</v>
      </c>
      <c r="CO24" s="12">
        <f>CN24*(1 + Tickets!BD$267/100)</f>
        <v>1733.142376288803</v>
      </c>
      <c r="CP24" s="12">
        <f>CO24*(1 + Tickets!BE$267/100)</f>
        <v>1733.142376288803</v>
      </c>
      <c r="CQ24" s="12">
        <f>CP24*(1 + Tickets!BF$267/100)</f>
        <v>1733.142376288803</v>
      </c>
      <c r="CR24" s="12">
        <f>CQ24*(1 + Tickets!BG$267/100)</f>
        <v>1733.142376288803</v>
      </c>
      <c r="CS24" s="12">
        <f>CR24*(1 + Tickets!BH$267/100)</f>
        <v>1733.142376288803</v>
      </c>
      <c r="CT24" s="12">
        <f>CS24*(1 + Tickets!BI$267/100)</f>
        <v>1733.142376288803</v>
      </c>
      <c r="CU24" s="12">
        <f>CT24*(1 + Tickets!BJ$267/100)</f>
        <v>1733.142376288803</v>
      </c>
      <c r="CV24" s="12">
        <f>CU24*(1 + Tickets!BK$267/100)</f>
        <v>1733.142376288803</v>
      </c>
    </row>
    <row r="25" spans="1:100">
      <c r="K25" s="12">
        <v>2011</v>
      </c>
      <c r="L25" s="12">
        <f>1576/8333</f>
        <v>0.18912756510260412</v>
      </c>
      <c r="M25" s="12"/>
      <c r="N25" s="12"/>
      <c r="O25" s="12"/>
      <c r="P25" s="12"/>
      <c r="Q25" s="12">
        <v>2010</v>
      </c>
      <c r="R25" s="12">
        <f>5750/13752</f>
        <v>0.41812100058173357</v>
      </c>
      <c r="S25" s="12"/>
      <c r="T25" s="12">
        <v>2014</v>
      </c>
      <c r="U25" s="12">
        <f>5700/14985</f>
        <v>0.38038038038038036</v>
      </c>
      <c r="AN25" s="12"/>
      <c r="AO25" s="12"/>
    </row>
    <row r="26" spans="1:100">
      <c r="D26" s="12"/>
      <c r="E26" s="12"/>
      <c r="F26" s="12"/>
      <c r="G26" s="12"/>
      <c r="H26" s="12" t="s">
        <v>251</v>
      </c>
      <c r="I26" s="12"/>
      <c r="J26" s="12"/>
      <c r="K26" s="12">
        <v>2012</v>
      </c>
      <c r="L26" s="21">
        <f>1637/8445</f>
        <v>0.19384251036116046</v>
      </c>
      <c r="M26" s="12"/>
      <c r="N26" s="12"/>
      <c r="O26" s="12"/>
      <c r="P26" s="12"/>
      <c r="Q26" s="12">
        <v>2011</v>
      </c>
      <c r="R26" s="12">
        <f>5848/14181</f>
        <v>0.41238276567237853</v>
      </c>
      <c r="S26" s="12"/>
      <c r="T26" s="12"/>
      <c r="U26" s="12"/>
      <c r="AN26" s="12"/>
      <c r="AO26" s="12"/>
    </row>
    <row r="27" spans="1:100">
      <c r="A27" t="s">
        <v>248</v>
      </c>
      <c r="D27" s="12"/>
      <c r="E27" s="12"/>
      <c r="F27" s="12"/>
      <c r="G27" s="12" t="s">
        <v>252</v>
      </c>
      <c r="H27" s="12"/>
      <c r="I27" s="12"/>
      <c r="J27" s="12"/>
      <c r="K27" s="1"/>
      <c r="L27" s="12"/>
      <c r="M27" s="12"/>
      <c r="N27" s="12"/>
      <c r="O27" s="12"/>
      <c r="P27" s="12"/>
      <c r="Q27" s="12">
        <v>2012</v>
      </c>
      <c r="R27" s="12">
        <f>5807/14252</f>
        <v>0.40745158574235196</v>
      </c>
      <c r="S27" s="12"/>
      <c r="T27" s="12"/>
      <c r="U27" s="12"/>
      <c r="W27" t="s">
        <v>93</v>
      </c>
      <c r="Z27" s="12">
        <v>2009</v>
      </c>
      <c r="AA27" s="12">
        <v>2010</v>
      </c>
      <c r="AB27" s="12"/>
      <c r="AC27" s="12"/>
      <c r="AD27" s="12"/>
      <c r="AE27" s="12"/>
      <c r="AJ27" t="s">
        <v>145</v>
      </c>
      <c r="AN27" s="12"/>
      <c r="AO27" s="12"/>
    </row>
    <row r="28" spans="1:100">
      <c r="A28" t="s">
        <v>78</v>
      </c>
      <c r="D28" s="12"/>
      <c r="E28" s="12"/>
      <c r="F28" s="12" t="s">
        <v>79</v>
      </c>
      <c r="G28" s="12" t="s">
        <v>111</v>
      </c>
      <c r="H28" s="12"/>
      <c r="I28" s="12"/>
      <c r="J28" s="12" t="s">
        <v>253</v>
      </c>
      <c r="K28" s="12"/>
      <c r="L28" s="12"/>
      <c r="W28" s="12" t="s">
        <v>230</v>
      </c>
      <c r="Z28">
        <f>Z14*$F$29</f>
        <v>92017765.079999998</v>
      </c>
      <c r="AA28" s="12">
        <f t="shared" ref="AA28:AE28" si="9">AA14*$F$29</f>
        <v>96369461.519999996</v>
      </c>
      <c r="AB28" s="12"/>
      <c r="AC28" s="12"/>
      <c r="AD28" s="12"/>
      <c r="AE28" s="12"/>
      <c r="AH28" s="12"/>
      <c r="AI28" s="12"/>
      <c r="AJ28" s="12" t="s">
        <v>230</v>
      </c>
      <c r="AN28" s="12">
        <f>AA14-AN16-AN4</f>
        <v>621174.41995176207</v>
      </c>
      <c r="AO28" s="12">
        <f>AN28*(1 + Tickets!D$267/100)</f>
        <v>635225.38533107098</v>
      </c>
      <c r="AP28" s="12">
        <f>AO28*(1 + Tickets!E$267/100)</f>
        <v>642079.46723879327</v>
      </c>
      <c r="AQ28" s="12">
        <f>AP28*(1 + Tickets!F$267/100)</f>
        <v>653148.91725398996</v>
      </c>
      <c r="AR28" s="12">
        <f>AQ28*(1 + Tickets!G$267/100)</f>
        <v>667518.19343357778</v>
      </c>
      <c r="AS28" s="12">
        <f>AR28*(1 + Tickets!H$267/100)</f>
        <v>678198.48452851502</v>
      </c>
      <c r="AT28" s="12">
        <f>AS28*(1 + Tickets!I$267/100)</f>
        <v>691084.2557345567</v>
      </c>
      <c r="AU28" s="12">
        <f>AT28*(1 + Tickets!J$267/100)</f>
        <v>704214.85659351316</v>
      </c>
      <c r="AV28" s="12">
        <f>AU28*(1 + Tickets!K$267/100)</f>
        <v>718299.15372538345</v>
      </c>
      <c r="AW28" s="12">
        <f>AV28*(1 + Tickets!L$267/100)</f>
        <v>733024.28637675382</v>
      </c>
      <c r="AX28" s="12">
        <f>AW28*(1 + Tickets!M$267/100)</f>
        <v>748417.79639066558</v>
      </c>
      <c r="AY28" s="12">
        <f>AX28*(1 + Tickets!N$267/100)</f>
        <v>764508.77901306492</v>
      </c>
      <c r="AZ28" s="12">
        <f>AY28*(1 + Tickets!O$267/100)</f>
        <v>781327.97215135233</v>
      </c>
      <c r="BA28" s="12">
        <f>AZ28*(1 + Tickets!P$267/100)</f>
        <v>798517.18753868213</v>
      </c>
      <c r="BB28" s="12">
        <f>BA28*(1 + Tickets!Q$267/100)</f>
        <v>816084.56566453318</v>
      </c>
      <c r="BC28" s="12">
        <f>BB28*(1 + Tickets!R$267/100)</f>
        <v>834038.42610915296</v>
      </c>
      <c r="BD28" s="12">
        <f>BC28*(1 + Tickets!S$267/100)</f>
        <v>852387.27148355439</v>
      </c>
      <c r="BE28" s="12">
        <f>BD28*(1 + Tickets!T$267/100)</f>
        <v>871139.79145619262</v>
      </c>
      <c r="BF28" s="12">
        <f>BE28*(1 + Tickets!U$267/100)</f>
        <v>890304.86686822888</v>
      </c>
      <c r="BG28" s="12">
        <f>BF28*(1 + Tickets!V$267/100)</f>
        <v>909891.57393932994</v>
      </c>
      <c r="BH28" s="12">
        <f>BG28*(1 + Tickets!W$267/100)</f>
        <v>909891.57393932994</v>
      </c>
      <c r="BI28" s="12">
        <f>BH28*(1 + Tickets!X$267/100)</f>
        <v>909891.57393932994</v>
      </c>
      <c r="BJ28" s="12">
        <f>BI28*(1 + Tickets!Y$267/100)</f>
        <v>909891.57393932994</v>
      </c>
      <c r="BK28" s="12">
        <f>BJ28*(1 + Tickets!Z$267/100)</f>
        <v>909891.57393932994</v>
      </c>
      <c r="BL28" s="12">
        <f>BK28*(1 + Tickets!AA$267/100)</f>
        <v>909891.57393932994</v>
      </c>
      <c r="BM28" s="12">
        <f>BL28*(1 + Tickets!AB$267/100)</f>
        <v>909891.57393932994</v>
      </c>
      <c r="BN28" s="12">
        <f>BM28*(1 + Tickets!AC$267/100)</f>
        <v>909891.57393932994</v>
      </c>
      <c r="BO28" s="12">
        <f>BN28*(1 + Tickets!AD$267/100)</f>
        <v>909891.57393932994</v>
      </c>
      <c r="BP28" s="12">
        <f>BO28*(1 + Tickets!AE$267/100)</f>
        <v>909891.57393932994</v>
      </c>
      <c r="BQ28" s="12">
        <f>BP28*(1 + Tickets!AF$267/100)</f>
        <v>909891.57393932994</v>
      </c>
      <c r="BR28" s="12">
        <f>BQ28*(1 + Tickets!AG$267/100)</f>
        <v>909891.57393932994</v>
      </c>
      <c r="BS28" s="12">
        <f>BR28*(1 + Tickets!AH$267/100)</f>
        <v>909891.57393932994</v>
      </c>
      <c r="BT28" s="12">
        <f>BS28*(1 + Tickets!AI$267/100)</f>
        <v>909891.57393932994</v>
      </c>
      <c r="BU28" s="12">
        <f>BT28*(1 + Tickets!AJ$267/100)</f>
        <v>909891.57393932994</v>
      </c>
      <c r="BV28" s="12">
        <f>BU28*(1 + Tickets!AK$267/100)</f>
        <v>909891.57393932994</v>
      </c>
      <c r="BW28" s="12">
        <f>BV28*(1 + Tickets!AL$267/100)</f>
        <v>909891.57393932994</v>
      </c>
      <c r="BX28" s="12">
        <f>BW28*(1 + Tickets!AM$267/100)</f>
        <v>909891.57393932994</v>
      </c>
      <c r="BY28" s="12">
        <f>BX28*(1 + Tickets!AN$267/100)</f>
        <v>909891.57393932994</v>
      </c>
      <c r="BZ28" s="12">
        <f>BY28*(1 + Tickets!AO$267/100)</f>
        <v>909891.57393932994</v>
      </c>
      <c r="CA28" s="12">
        <f>BZ28*(1 + Tickets!AP$267/100)</f>
        <v>909891.57393932994</v>
      </c>
      <c r="CB28" s="12">
        <f>CA28*(1 + Tickets!AQ$267/100)</f>
        <v>909891.57393932994</v>
      </c>
      <c r="CC28" s="12">
        <f>CB28*(1 + Tickets!AR$267/100)</f>
        <v>909891.57393932994</v>
      </c>
      <c r="CD28" s="12">
        <f>CC28*(1 + Tickets!AS$267/100)</f>
        <v>909891.57393932994</v>
      </c>
      <c r="CE28" s="12">
        <f>CD28*(1 + Tickets!AT$267/100)</f>
        <v>909891.57393932994</v>
      </c>
      <c r="CF28" s="12">
        <f>CE28*(1 + Tickets!AU$267/100)</f>
        <v>909891.57393932994</v>
      </c>
      <c r="CG28" s="12">
        <f>CF28*(1 + Tickets!AV$267/100)</f>
        <v>909891.57393932994</v>
      </c>
      <c r="CH28" s="12">
        <f>CG28*(1 + Tickets!AW$267/100)</f>
        <v>909891.57393932994</v>
      </c>
      <c r="CI28" s="12">
        <f>CH28*(1 + Tickets!AX$267/100)</f>
        <v>909891.57393932994</v>
      </c>
      <c r="CJ28" s="12">
        <f>CI28*(1 + Tickets!AY$267/100)</f>
        <v>909891.57393932994</v>
      </c>
      <c r="CK28" s="12">
        <f>CJ28*(1 + Tickets!AZ$267/100)</f>
        <v>909891.57393932994</v>
      </c>
      <c r="CL28" s="12">
        <f>CK28*(1 + Tickets!BA$267/100)</f>
        <v>909891.57393932994</v>
      </c>
      <c r="CM28" s="12">
        <f>CL28*(1 + Tickets!BB$267/100)</f>
        <v>909891.57393932994</v>
      </c>
      <c r="CN28" s="12">
        <f>CM28*(1 + Tickets!BC$267/100)</f>
        <v>909891.57393932994</v>
      </c>
      <c r="CO28" s="12">
        <f>CN28*(1 + Tickets!BD$267/100)</f>
        <v>909891.57393932994</v>
      </c>
      <c r="CP28" s="12">
        <f>CO28*(1 + Tickets!BE$267/100)</f>
        <v>909891.57393932994</v>
      </c>
      <c r="CQ28" s="12">
        <f>CP28*(1 + Tickets!BF$267/100)</f>
        <v>909891.57393932994</v>
      </c>
      <c r="CR28" s="12">
        <f>CQ28*(1 + Tickets!BG$267/100)</f>
        <v>909891.57393932994</v>
      </c>
      <c r="CS28" s="12">
        <f>CR28*(1 + Tickets!BH$267/100)</f>
        <v>909891.57393932994</v>
      </c>
      <c r="CT28" s="12">
        <f>CS28*(1 + Tickets!BI$267/100)</f>
        <v>909891.57393932994</v>
      </c>
      <c r="CU28" s="12">
        <f>CT28*(1 + Tickets!BJ$267/100)</f>
        <v>909891.57393932994</v>
      </c>
      <c r="CV28" s="12">
        <f>CU28*(1 + Tickets!BK$267/100)</f>
        <v>909891.57393932994</v>
      </c>
    </row>
    <row r="29" spans="1:100">
      <c r="A29" s="12" t="s">
        <v>230</v>
      </c>
      <c r="D29" s="12" t="s">
        <v>254</v>
      </c>
      <c r="E29" s="12"/>
      <c r="F29" s="12">
        <v>103</v>
      </c>
      <c r="G29" s="12">
        <f>F29/60</f>
        <v>1.7166666666666666</v>
      </c>
      <c r="H29" s="12"/>
      <c r="I29" s="12"/>
      <c r="J29" s="12" t="s">
        <v>255</v>
      </c>
      <c r="K29" s="12"/>
      <c r="L29" s="12"/>
      <c r="O29" s="12"/>
      <c r="P29" s="12"/>
      <c r="Q29" s="12" t="s">
        <v>251</v>
      </c>
      <c r="R29" s="12"/>
      <c r="S29" s="12" t="s">
        <v>252</v>
      </c>
      <c r="W29" s="12" t="s">
        <v>231</v>
      </c>
      <c r="Z29" s="12">
        <f>Z15*$F$30</f>
        <v>0</v>
      </c>
      <c r="AA29" s="12">
        <f>AA15*$F$30</f>
        <v>0</v>
      </c>
      <c r="AB29" s="12"/>
      <c r="AC29" s="12"/>
      <c r="AD29" s="12"/>
      <c r="AE29" s="12"/>
      <c r="AH29" s="12"/>
      <c r="AI29" s="12"/>
      <c r="AJ29" s="12" t="s">
        <v>231</v>
      </c>
      <c r="AN29" s="12">
        <f>AA15-AN17-AN5</f>
        <v>0</v>
      </c>
      <c r="AO29" s="12">
        <f>AN29*(1 + Tickets!D$267/100)</f>
        <v>0</v>
      </c>
      <c r="AP29" s="12">
        <f>AO29*(1 + Tickets!E$267/100)</f>
        <v>0</v>
      </c>
      <c r="AQ29" s="12">
        <f>AP29*(1 + Tickets!F$267/100)</f>
        <v>0</v>
      </c>
      <c r="AR29" s="12">
        <f>AQ29*(1 + Tickets!G$267/100)</f>
        <v>0</v>
      </c>
      <c r="AS29" s="12">
        <f>AR29*(1 + Tickets!H$267/100)</f>
        <v>0</v>
      </c>
      <c r="AT29" s="12">
        <f>AS29*(1 + Tickets!I$267/100)</f>
        <v>0</v>
      </c>
      <c r="AU29" s="12">
        <f>AT29*(1 + Tickets!J$267/100)</f>
        <v>0</v>
      </c>
      <c r="AV29" s="12">
        <f>AU29*(1 + Tickets!K$267/100)</f>
        <v>0</v>
      </c>
      <c r="AW29" s="12">
        <f>AV29*(1 + Tickets!L$267/100)</f>
        <v>0</v>
      </c>
      <c r="AX29" s="12">
        <f>AW29*(1 + Tickets!M$267/100)</f>
        <v>0</v>
      </c>
      <c r="AY29" s="12">
        <f>AX29*(1 + Tickets!N$267/100)</f>
        <v>0</v>
      </c>
      <c r="AZ29" s="12">
        <f>AY29*(1 + Tickets!O$267/100)</f>
        <v>0</v>
      </c>
      <c r="BA29" s="12">
        <f>AZ29*(1 + Tickets!P$267/100)</f>
        <v>0</v>
      </c>
      <c r="BB29" s="12">
        <f>BA29*(1 + Tickets!Q$267/100)</f>
        <v>0</v>
      </c>
      <c r="BC29" s="12">
        <f>BB29*(1 + Tickets!R$267/100)</f>
        <v>0</v>
      </c>
      <c r="BD29" s="12">
        <f>BC29*(1 + Tickets!S$267/100)</f>
        <v>0</v>
      </c>
      <c r="BE29" s="12">
        <f>BD29*(1 + Tickets!T$267/100)</f>
        <v>0</v>
      </c>
      <c r="BF29" s="12">
        <f>BE29*(1 + Tickets!U$267/100)</f>
        <v>0</v>
      </c>
      <c r="BG29" s="12">
        <f>BF29*(1 + Tickets!V$267/100)</f>
        <v>0</v>
      </c>
      <c r="BH29" s="12">
        <f>BG29*(1 + Tickets!W$267/100)</f>
        <v>0</v>
      </c>
      <c r="BI29" s="12">
        <f>BH29*(1 + Tickets!X$267/100)</f>
        <v>0</v>
      </c>
      <c r="BJ29" s="12">
        <f>BI29*(1 + Tickets!Y$267/100)</f>
        <v>0</v>
      </c>
      <c r="BK29" s="12">
        <f>BJ29*(1 + Tickets!Z$267/100)</f>
        <v>0</v>
      </c>
      <c r="BL29" s="12">
        <f>BK29*(1 + Tickets!AA$267/100)</f>
        <v>0</v>
      </c>
      <c r="BM29" s="12">
        <f>BL29*(1 + Tickets!AB$267/100)</f>
        <v>0</v>
      </c>
      <c r="BN29" s="12">
        <f>BM29*(1 + Tickets!AC$267/100)</f>
        <v>0</v>
      </c>
      <c r="BO29" s="12">
        <f>BN29*(1 + Tickets!AD$267/100)</f>
        <v>0</v>
      </c>
      <c r="BP29" s="12">
        <f>BO29*(1 + Tickets!AE$267/100)</f>
        <v>0</v>
      </c>
      <c r="BQ29" s="12">
        <f>BP29*(1 + Tickets!AF$267/100)</f>
        <v>0</v>
      </c>
      <c r="BR29" s="12">
        <f>BQ29*(1 + Tickets!AG$267/100)</f>
        <v>0</v>
      </c>
      <c r="BS29" s="12">
        <f>BR29*(1 + Tickets!AH$267/100)</f>
        <v>0</v>
      </c>
      <c r="BT29" s="12">
        <f>BS29*(1 + Tickets!AI$267/100)</f>
        <v>0</v>
      </c>
      <c r="BU29" s="12">
        <f>BT29*(1 + Tickets!AJ$267/100)</f>
        <v>0</v>
      </c>
      <c r="BV29" s="12">
        <f>BU29*(1 + Tickets!AK$267/100)</f>
        <v>0</v>
      </c>
      <c r="BW29" s="12">
        <f>BV29*(1 + Tickets!AL$267/100)</f>
        <v>0</v>
      </c>
      <c r="BX29" s="12">
        <f>BW29*(1 + Tickets!AM$267/100)</f>
        <v>0</v>
      </c>
      <c r="BY29" s="12">
        <f>BX29*(1 + Tickets!AN$267/100)</f>
        <v>0</v>
      </c>
      <c r="BZ29" s="12">
        <f>BY29*(1 + Tickets!AO$267/100)</f>
        <v>0</v>
      </c>
      <c r="CA29" s="12">
        <f>BZ29*(1 + Tickets!AP$267/100)</f>
        <v>0</v>
      </c>
      <c r="CB29" s="12">
        <f>CA29*(1 + Tickets!AQ$267/100)</f>
        <v>0</v>
      </c>
      <c r="CC29" s="12">
        <f>CB29*(1 + Tickets!AR$267/100)</f>
        <v>0</v>
      </c>
      <c r="CD29" s="12">
        <f>CC29*(1 + Tickets!AS$267/100)</f>
        <v>0</v>
      </c>
      <c r="CE29" s="12">
        <f>CD29*(1 + Tickets!AT$267/100)</f>
        <v>0</v>
      </c>
      <c r="CF29" s="12">
        <f>CE29*(1 + Tickets!AU$267/100)</f>
        <v>0</v>
      </c>
      <c r="CG29" s="12">
        <f>CF29*(1 + Tickets!AV$267/100)</f>
        <v>0</v>
      </c>
      <c r="CH29" s="12">
        <f>CG29*(1 + Tickets!AW$267/100)</f>
        <v>0</v>
      </c>
      <c r="CI29" s="12">
        <f>CH29*(1 + Tickets!AX$267/100)</f>
        <v>0</v>
      </c>
      <c r="CJ29" s="12">
        <f>CI29*(1 + Tickets!AY$267/100)</f>
        <v>0</v>
      </c>
      <c r="CK29" s="12">
        <f>CJ29*(1 + Tickets!AZ$267/100)</f>
        <v>0</v>
      </c>
      <c r="CL29" s="12">
        <f>CK29*(1 + Tickets!BA$267/100)</f>
        <v>0</v>
      </c>
      <c r="CM29" s="12">
        <f>CL29*(1 + Tickets!BB$267/100)</f>
        <v>0</v>
      </c>
      <c r="CN29" s="12">
        <f>CM29*(1 + Tickets!BC$267/100)</f>
        <v>0</v>
      </c>
      <c r="CO29" s="12">
        <f>CN29*(1 + Tickets!BD$267/100)</f>
        <v>0</v>
      </c>
      <c r="CP29" s="12">
        <f>CO29*(1 + Tickets!BE$267/100)</f>
        <v>0</v>
      </c>
      <c r="CQ29" s="12">
        <f>CP29*(1 + Tickets!BF$267/100)</f>
        <v>0</v>
      </c>
      <c r="CR29" s="12">
        <f>CQ29*(1 + Tickets!BG$267/100)</f>
        <v>0</v>
      </c>
      <c r="CS29" s="12">
        <f>CR29*(1 + Tickets!BH$267/100)</f>
        <v>0</v>
      </c>
      <c r="CT29" s="12">
        <f>CS29*(1 + Tickets!BI$267/100)</f>
        <v>0</v>
      </c>
      <c r="CU29" s="12">
        <f>CT29*(1 + Tickets!BJ$267/100)</f>
        <v>0</v>
      </c>
      <c r="CV29" s="12">
        <f>CU29*(1 + Tickets!BK$267/100)</f>
        <v>0</v>
      </c>
    </row>
    <row r="30" spans="1:100">
      <c r="A30" s="12" t="s">
        <v>231</v>
      </c>
      <c r="D30" s="12" t="s">
        <v>223</v>
      </c>
      <c r="E30" s="12"/>
      <c r="F30" s="12">
        <v>87</v>
      </c>
      <c r="G30" s="12">
        <f t="shared" ref="G30:G31" si="10">F30/60</f>
        <v>1.45</v>
      </c>
      <c r="H30" s="12">
        <f>F$29-F30</f>
        <v>16</v>
      </c>
      <c r="I30" s="12"/>
      <c r="J30" s="12" t="s">
        <v>255</v>
      </c>
      <c r="K30" s="12"/>
      <c r="L30" s="12"/>
      <c r="O30" s="12" t="s">
        <v>262</v>
      </c>
      <c r="P30" s="12"/>
      <c r="Q30" s="12"/>
      <c r="R30" s="12"/>
      <c r="S30" s="2">
        <v>0.12</v>
      </c>
      <c r="W30" s="12" t="s">
        <v>232</v>
      </c>
      <c r="Z30" s="12">
        <f t="shared" ref="Z30:AE30" si="11">Z16*$F$31</f>
        <v>2025576</v>
      </c>
      <c r="AA30" s="12">
        <f>AA16*$F$31</f>
        <v>2255127</v>
      </c>
      <c r="AB30" s="12"/>
      <c r="AC30" s="12"/>
      <c r="AD30" s="12"/>
      <c r="AE30" s="12"/>
      <c r="AH30" s="12"/>
      <c r="AI30" s="12"/>
      <c r="AJ30" s="12" t="s">
        <v>232</v>
      </c>
      <c r="AN30" s="12">
        <f>AA16-AN18-AN6</f>
        <v>16075.71810670774</v>
      </c>
      <c r="AO30" s="12">
        <f>AN30*(1 + Tickets!D$267/100)</f>
        <v>16439.350850281469</v>
      </c>
      <c r="AP30" s="12">
        <f>AO30*(1 + Tickets!E$267/100)</f>
        <v>16616.731445956008</v>
      </c>
      <c r="AQ30" s="12">
        <f>AP30*(1 + Tickets!F$267/100)</f>
        <v>16903.203896084287</v>
      </c>
      <c r="AR30" s="12">
        <f>AQ30*(1 + Tickets!G$267/100)</f>
        <v>17275.074381798142</v>
      </c>
      <c r="AS30" s="12">
        <f>AR30*(1 + Tickets!H$267/100)</f>
        <v>17551.475571906911</v>
      </c>
      <c r="AT30" s="12">
        <f>AS30*(1 + Tickets!I$267/100)</f>
        <v>17884.953607773139</v>
      </c>
      <c r="AU30" s="12">
        <f>AT30*(1 + Tickets!J$267/100)</f>
        <v>18224.767726320828</v>
      </c>
      <c r="AV30" s="12">
        <f>AU30*(1 + Tickets!K$267/100)</f>
        <v>18589.263080847246</v>
      </c>
      <c r="AW30" s="12">
        <f>AV30*(1 + Tickets!L$267/100)</f>
        <v>18970.342974004612</v>
      </c>
      <c r="AX30" s="12">
        <f>AW30*(1 + Tickets!M$267/100)</f>
        <v>19368.720176458708</v>
      </c>
      <c r="AY30" s="12">
        <f>AX30*(1 + Tickets!N$267/100)</f>
        <v>19785.147660252573</v>
      </c>
      <c r="AZ30" s="12">
        <f>AY30*(1 + Tickets!O$267/100)</f>
        <v>20220.420908778131</v>
      </c>
      <c r="BA30" s="12">
        <f>AZ30*(1 + Tickets!P$267/100)</f>
        <v>20665.270168771251</v>
      </c>
      <c r="BB30" s="12">
        <f>BA30*(1 + Tickets!Q$267/100)</f>
        <v>21119.906112484219</v>
      </c>
      <c r="BC30" s="12">
        <f>BB30*(1 + Tickets!R$267/100)</f>
        <v>21584.544046958872</v>
      </c>
      <c r="BD30" s="12">
        <f>BC30*(1 + Tickets!S$267/100)</f>
        <v>22059.404015991968</v>
      </c>
      <c r="BE30" s="12">
        <f>BD30*(1 + Tickets!T$267/100)</f>
        <v>22544.710904343792</v>
      </c>
      <c r="BF30" s="12">
        <f>BE30*(1 + Tickets!U$267/100)</f>
        <v>23040.694544239355</v>
      </c>
      <c r="BG30" s="12">
        <f>BF30*(1 + Tickets!V$267/100)</f>
        <v>23547.58982421262</v>
      </c>
      <c r="BH30" s="12">
        <f>BG30*(1 + Tickets!W$267/100)</f>
        <v>23547.58982421262</v>
      </c>
      <c r="BI30" s="12">
        <f>BH30*(1 + Tickets!X$267/100)</f>
        <v>23547.58982421262</v>
      </c>
      <c r="BJ30" s="12">
        <f>BI30*(1 + Tickets!Y$267/100)</f>
        <v>23547.58982421262</v>
      </c>
      <c r="BK30" s="12">
        <f>BJ30*(1 + Tickets!Z$267/100)</f>
        <v>23547.58982421262</v>
      </c>
      <c r="BL30" s="12">
        <f>BK30*(1 + Tickets!AA$267/100)</f>
        <v>23547.58982421262</v>
      </c>
      <c r="BM30" s="12">
        <f>BL30*(1 + Tickets!AB$267/100)</f>
        <v>23547.58982421262</v>
      </c>
      <c r="BN30" s="12">
        <f>BM30*(1 + Tickets!AC$267/100)</f>
        <v>23547.58982421262</v>
      </c>
      <c r="BO30" s="12">
        <f>BN30*(1 + Tickets!AD$267/100)</f>
        <v>23547.58982421262</v>
      </c>
      <c r="BP30" s="12">
        <f>BO30*(1 + Tickets!AE$267/100)</f>
        <v>23547.58982421262</v>
      </c>
      <c r="BQ30" s="12">
        <f>BP30*(1 + Tickets!AF$267/100)</f>
        <v>23547.58982421262</v>
      </c>
      <c r="BR30" s="12">
        <f>BQ30*(1 + Tickets!AG$267/100)</f>
        <v>23547.58982421262</v>
      </c>
      <c r="BS30" s="12">
        <f>BR30*(1 + Tickets!AH$267/100)</f>
        <v>23547.58982421262</v>
      </c>
      <c r="BT30" s="12">
        <f>BS30*(1 + Tickets!AI$267/100)</f>
        <v>23547.58982421262</v>
      </c>
      <c r="BU30" s="12">
        <f>BT30*(1 + Tickets!AJ$267/100)</f>
        <v>23547.58982421262</v>
      </c>
      <c r="BV30" s="12">
        <f>BU30*(1 + Tickets!AK$267/100)</f>
        <v>23547.58982421262</v>
      </c>
      <c r="BW30" s="12">
        <f>BV30*(1 + Tickets!AL$267/100)</f>
        <v>23547.58982421262</v>
      </c>
      <c r="BX30" s="12">
        <f>BW30*(1 + Tickets!AM$267/100)</f>
        <v>23547.58982421262</v>
      </c>
      <c r="BY30" s="12">
        <f>BX30*(1 + Tickets!AN$267/100)</f>
        <v>23547.58982421262</v>
      </c>
      <c r="BZ30" s="12">
        <f>BY30*(1 + Tickets!AO$267/100)</f>
        <v>23547.58982421262</v>
      </c>
      <c r="CA30" s="12">
        <f>BZ30*(1 + Tickets!AP$267/100)</f>
        <v>23547.58982421262</v>
      </c>
      <c r="CB30" s="12">
        <f>CA30*(1 + Tickets!AQ$267/100)</f>
        <v>23547.58982421262</v>
      </c>
      <c r="CC30" s="12">
        <f>CB30*(1 + Tickets!AR$267/100)</f>
        <v>23547.58982421262</v>
      </c>
      <c r="CD30" s="12">
        <f>CC30*(1 + Tickets!AS$267/100)</f>
        <v>23547.58982421262</v>
      </c>
      <c r="CE30" s="12">
        <f>CD30*(1 + Tickets!AT$267/100)</f>
        <v>23547.58982421262</v>
      </c>
      <c r="CF30" s="12">
        <f>CE30*(1 + Tickets!AU$267/100)</f>
        <v>23547.58982421262</v>
      </c>
      <c r="CG30" s="12">
        <f>CF30*(1 + Tickets!AV$267/100)</f>
        <v>23547.58982421262</v>
      </c>
      <c r="CH30" s="12">
        <f>CG30*(1 + Tickets!AW$267/100)</f>
        <v>23547.58982421262</v>
      </c>
      <c r="CI30" s="12">
        <f>CH30*(1 + Tickets!AX$267/100)</f>
        <v>23547.58982421262</v>
      </c>
      <c r="CJ30" s="12">
        <f>CI30*(1 + Tickets!AY$267/100)</f>
        <v>23547.58982421262</v>
      </c>
      <c r="CK30" s="12">
        <f>CJ30*(1 + Tickets!AZ$267/100)</f>
        <v>23547.58982421262</v>
      </c>
      <c r="CL30" s="12">
        <f>CK30*(1 + Tickets!BA$267/100)</f>
        <v>23547.58982421262</v>
      </c>
      <c r="CM30" s="12">
        <f>CL30*(1 + Tickets!BB$267/100)</f>
        <v>23547.58982421262</v>
      </c>
      <c r="CN30" s="12">
        <f>CM30*(1 + Tickets!BC$267/100)</f>
        <v>23547.58982421262</v>
      </c>
      <c r="CO30" s="12">
        <f>CN30*(1 + Tickets!BD$267/100)</f>
        <v>23547.58982421262</v>
      </c>
      <c r="CP30" s="12">
        <f>CO30*(1 + Tickets!BE$267/100)</f>
        <v>23547.58982421262</v>
      </c>
      <c r="CQ30" s="12">
        <f>CP30*(1 + Tickets!BF$267/100)</f>
        <v>23547.58982421262</v>
      </c>
      <c r="CR30" s="12">
        <f>CQ30*(1 + Tickets!BG$267/100)</f>
        <v>23547.58982421262</v>
      </c>
      <c r="CS30" s="12">
        <f>CR30*(1 + Tickets!BH$267/100)</f>
        <v>23547.58982421262</v>
      </c>
      <c r="CT30" s="12">
        <f>CS30*(1 + Tickets!BI$267/100)</f>
        <v>23547.58982421262</v>
      </c>
      <c r="CU30" s="12">
        <f>CT30*(1 + Tickets!BJ$267/100)</f>
        <v>23547.58982421262</v>
      </c>
      <c r="CV30" s="12">
        <f>CU30*(1 + Tickets!BK$267/100)</f>
        <v>23547.58982421262</v>
      </c>
    </row>
    <row r="31" spans="1:100">
      <c r="A31" s="12" t="s">
        <v>232</v>
      </c>
      <c r="D31" s="12" t="s">
        <v>256</v>
      </c>
      <c r="E31" s="12"/>
      <c r="F31" s="12">
        <v>70</v>
      </c>
      <c r="G31" s="12">
        <f t="shared" si="10"/>
        <v>1.1666666666666667</v>
      </c>
      <c r="H31" s="12">
        <f t="shared" ref="H31:H33" si="12">F$29-F31</f>
        <v>33</v>
      </c>
      <c r="I31" s="12"/>
      <c r="J31" s="12" t="s">
        <v>255</v>
      </c>
      <c r="K31" s="12"/>
      <c r="L31" s="12"/>
      <c r="O31" s="12" t="s">
        <v>231</v>
      </c>
      <c r="P31" s="12"/>
      <c r="Q31" s="2">
        <v>0.85</v>
      </c>
      <c r="R31" s="12"/>
      <c r="S31" s="12"/>
      <c r="W31" s="12" t="s">
        <v>233</v>
      </c>
      <c r="Z31" s="12">
        <f t="shared" ref="Z31:AE31" si="13">Z17*$F$32</f>
        <v>6942442.8499999996</v>
      </c>
      <c r="AA31" s="12">
        <f t="shared" si="13"/>
        <v>7524542.5499999998</v>
      </c>
      <c r="AB31" s="12"/>
      <c r="AC31" s="12"/>
      <c r="AD31" s="12"/>
      <c r="AE31" s="12"/>
      <c r="AH31" s="12"/>
      <c r="AI31" s="12"/>
      <c r="AJ31" s="12" t="s">
        <v>233</v>
      </c>
      <c r="AN31" s="12">
        <f>AA17-AN19-AN7</f>
        <v>137266.6552658788</v>
      </c>
      <c r="AO31" s="12">
        <f>AN31*(1 + Tickets!D$267/100)</f>
        <v>140371.627007993</v>
      </c>
      <c r="AP31" s="12">
        <f>AO31*(1 + Tickets!E$267/100)</f>
        <v>141886.23686340926</v>
      </c>
      <c r="AQ31" s="12">
        <f>AP31*(1 + Tickets!F$267/100)</f>
        <v>144332.35558693443</v>
      </c>
      <c r="AR31" s="12">
        <f>AQ31*(1 + Tickets!G$267/100)</f>
        <v>147507.667409847</v>
      </c>
      <c r="AS31" s="12">
        <f>AR31*(1 + Tickets!H$267/100)</f>
        <v>149867.79008840455</v>
      </c>
      <c r="AT31" s="12">
        <f>AS31*(1 + Tickets!I$267/100)</f>
        <v>152715.27810008422</v>
      </c>
      <c r="AU31" s="12">
        <f>AT31*(1 + Tickets!J$267/100)</f>
        <v>155616.8683839858</v>
      </c>
      <c r="AV31" s="12">
        <f>AU31*(1 + Tickets!K$267/100)</f>
        <v>158729.20575166552</v>
      </c>
      <c r="AW31" s="12">
        <f>AV31*(1 + Tickets!L$267/100)</f>
        <v>161983.15446957466</v>
      </c>
      <c r="AX31" s="12">
        <f>AW31*(1 + Tickets!M$267/100)</f>
        <v>165384.80071343572</v>
      </c>
      <c r="AY31" s="12">
        <f>AX31*(1 + Tickets!N$267/100)</f>
        <v>168940.5739287746</v>
      </c>
      <c r="AZ31" s="12">
        <f>AY31*(1 + Tickets!O$267/100)</f>
        <v>172657.26655520764</v>
      </c>
      <c r="BA31" s="12">
        <f>AZ31*(1 + Tickets!P$267/100)</f>
        <v>176455.72641942219</v>
      </c>
      <c r="BB31" s="12">
        <f>BA31*(1 + Tickets!Q$267/100)</f>
        <v>180337.75240064948</v>
      </c>
      <c r="BC31" s="12">
        <f>BB31*(1 + Tickets!R$267/100)</f>
        <v>184305.18295346378</v>
      </c>
      <c r="BD31" s="12">
        <f>BC31*(1 + Tickets!S$267/100)</f>
        <v>188359.89697844</v>
      </c>
      <c r="BE31" s="12">
        <f>BD31*(1 + Tickets!T$267/100)</f>
        <v>192503.81471196568</v>
      </c>
      <c r="BF31" s="12">
        <f>BE31*(1 + Tickets!U$267/100)</f>
        <v>196738.89863562892</v>
      </c>
      <c r="BG31" s="12">
        <f>BF31*(1 + Tickets!V$267/100)</f>
        <v>201067.15440561276</v>
      </c>
      <c r="BH31" s="12">
        <f>BG31*(1 + Tickets!W$267/100)</f>
        <v>201067.15440561276</v>
      </c>
      <c r="BI31" s="12">
        <f>BH31*(1 + Tickets!X$267/100)</f>
        <v>201067.15440561276</v>
      </c>
      <c r="BJ31" s="12">
        <f>BI31*(1 + Tickets!Y$267/100)</f>
        <v>201067.15440561276</v>
      </c>
      <c r="BK31" s="12">
        <f>BJ31*(1 + Tickets!Z$267/100)</f>
        <v>201067.15440561276</v>
      </c>
      <c r="BL31" s="12">
        <f>BK31*(1 + Tickets!AA$267/100)</f>
        <v>201067.15440561276</v>
      </c>
      <c r="BM31" s="12">
        <f>BL31*(1 + Tickets!AB$267/100)</f>
        <v>201067.15440561276</v>
      </c>
      <c r="BN31" s="12">
        <f>BM31*(1 + Tickets!AC$267/100)</f>
        <v>201067.15440561276</v>
      </c>
      <c r="BO31" s="12">
        <f>BN31*(1 + Tickets!AD$267/100)</f>
        <v>201067.15440561276</v>
      </c>
      <c r="BP31" s="12">
        <f>BO31*(1 + Tickets!AE$267/100)</f>
        <v>201067.15440561276</v>
      </c>
      <c r="BQ31" s="12">
        <f>BP31*(1 + Tickets!AF$267/100)</f>
        <v>201067.15440561276</v>
      </c>
      <c r="BR31" s="12">
        <f>BQ31*(1 + Tickets!AG$267/100)</f>
        <v>201067.15440561276</v>
      </c>
      <c r="BS31" s="12">
        <f>BR31*(1 + Tickets!AH$267/100)</f>
        <v>201067.15440561276</v>
      </c>
      <c r="BT31" s="12">
        <f>BS31*(1 + Tickets!AI$267/100)</f>
        <v>201067.15440561276</v>
      </c>
      <c r="BU31" s="12">
        <f>BT31*(1 + Tickets!AJ$267/100)</f>
        <v>201067.15440561276</v>
      </c>
      <c r="BV31" s="12">
        <f>BU31*(1 + Tickets!AK$267/100)</f>
        <v>201067.15440561276</v>
      </c>
      <c r="BW31" s="12">
        <f>BV31*(1 + Tickets!AL$267/100)</f>
        <v>201067.15440561276</v>
      </c>
      <c r="BX31" s="12">
        <f>BW31*(1 + Tickets!AM$267/100)</f>
        <v>201067.15440561276</v>
      </c>
      <c r="BY31" s="12">
        <f>BX31*(1 + Tickets!AN$267/100)</f>
        <v>201067.15440561276</v>
      </c>
      <c r="BZ31" s="12">
        <f>BY31*(1 + Tickets!AO$267/100)</f>
        <v>201067.15440561276</v>
      </c>
      <c r="CA31" s="12">
        <f>BZ31*(1 + Tickets!AP$267/100)</f>
        <v>201067.15440561276</v>
      </c>
      <c r="CB31" s="12">
        <f>CA31*(1 + Tickets!AQ$267/100)</f>
        <v>201067.15440561276</v>
      </c>
      <c r="CC31" s="12">
        <f>CB31*(1 + Tickets!AR$267/100)</f>
        <v>201067.15440561276</v>
      </c>
      <c r="CD31" s="12">
        <f>CC31*(1 + Tickets!AS$267/100)</f>
        <v>201067.15440561276</v>
      </c>
      <c r="CE31" s="12">
        <f>CD31*(1 + Tickets!AT$267/100)</f>
        <v>201067.15440561276</v>
      </c>
      <c r="CF31" s="12">
        <f>CE31*(1 + Tickets!AU$267/100)</f>
        <v>201067.15440561276</v>
      </c>
      <c r="CG31" s="12">
        <f>CF31*(1 + Tickets!AV$267/100)</f>
        <v>201067.15440561276</v>
      </c>
      <c r="CH31" s="12">
        <f>CG31*(1 + Tickets!AW$267/100)</f>
        <v>201067.15440561276</v>
      </c>
      <c r="CI31" s="12">
        <f>CH31*(1 + Tickets!AX$267/100)</f>
        <v>201067.15440561276</v>
      </c>
      <c r="CJ31" s="12">
        <f>CI31*(1 + Tickets!AY$267/100)</f>
        <v>201067.15440561276</v>
      </c>
      <c r="CK31" s="12">
        <f>CJ31*(1 + Tickets!AZ$267/100)</f>
        <v>201067.15440561276</v>
      </c>
      <c r="CL31" s="12">
        <f>CK31*(1 + Tickets!BA$267/100)</f>
        <v>201067.15440561276</v>
      </c>
      <c r="CM31" s="12">
        <f>CL31*(1 + Tickets!BB$267/100)</f>
        <v>201067.15440561276</v>
      </c>
      <c r="CN31" s="12">
        <f>CM31*(1 + Tickets!BC$267/100)</f>
        <v>201067.15440561276</v>
      </c>
      <c r="CO31" s="12">
        <f>CN31*(1 + Tickets!BD$267/100)</f>
        <v>201067.15440561276</v>
      </c>
      <c r="CP31" s="12">
        <f>CO31*(1 + Tickets!BE$267/100)</f>
        <v>201067.15440561276</v>
      </c>
      <c r="CQ31" s="12">
        <f>CP31*(1 + Tickets!BF$267/100)</f>
        <v>201067.15440561276</v>
      </c>
      <c r="CR31" s="12">
        <f>CQ31*(1 + Tickets!BG$267/100)</f>
        <v>201067.15440561276</v>
      </c>
      <c r="CS31" s="12">
        <f>CR31*(1 + Tickets!BH$267/100)</f>
        <v>201067.15440561276</v>
      </c>
      <c r="CT31" s="12">
        <f>CS31*(1 + Tickets!BI$267/100)</f>
        <v>201067.15440561276</v>
      </c>
      <c r="CU31" s="12">
        <f>CT31*(1 + Tickets!BJ$267/100)</f>
        <v>201067.15440561276</v>
      </c>
      <c r="CV31" s="12">
        <f>CU31*(1 + Tickets!BK$267/100)</f>
        <v>201067.15440561276</v>
      </c>
    </row>
    <row r="32" spans="1:100" s="12" customFormat="1">
      <c r="A32" s="12" t="s">
        <v>233</v>
      </c>
      <c r="B32"/>
      <c r="C32"/>
      <c r="D32" s="12" t="s">
        <v>257</v>
      </c>
      <c r="F32" s="12">
        <v>47</v>
      </c>
      <c r="G32" s="12">
        <f>F32/60</f>
        <v>0.78333333333333333</v>
      </c>
      <c r="H32" s="12">
        <f t="shared" si="12"/>
        <v>56</v>
      </c>
      <c r="J32" s="12" t="s">
        <v>255</v>
      </c>
      <c r="O32" s="12" t="s">
        <v>232</v>
      </c>
      <c r="Q32" s="2">
        <v>0.44</v>
      </c>
      <c r="S32" s="2">
        <v>0.15</v>
      </c>
      <c r="W32" s="12" t="s">
        <v>234</v>
      </c>
      <c r="Z32" s="12">
        <f>Z18*$F$33</f>
        <v>5824501.7600000007</v>
      </c>
      <c r="AA32" s="12">
        <f t="shared" ref="AA32:AC32" si="14">AA18*$F$33</f>
        <v>6097306.1599999992</v>
      </c>
      <c r="AJ32" s="12" t="s">
        <v>234</v>
      </c>
      <c r="AN32" s="12">
        <f>AA18-AN20-AN8</f>
        <v>152510.83999999997</v>
      </c>
      <c r="AO32" s="12">
        <f>AN32*(1 + Tickets!D$267/100)</f>
        <v>155960.63520079997</v>
      </c>
      <c r="AP32" s="12">
        <f>AO32*(1 + Tickets!E$267/100)</f>
        <v>157643.4504546166</v>
      </c>
      <c r="AQ32" s="12">
        <f>AP32*(1 + Tickets!F$267/100)</f>
        <v>160361.22354045417</v>
      </c>
      <c r="AR32" s="12">
        <f>AQ32*(1 + Tickets!G$267/100)</f>
        <v>163889.17045834416</v>
      </c>
      <c r="AS32" s="12">
        <f>AR32*(1 + Tickets!H$267/100)</f>
        <v>166511.39718567766</v>
      </c>
      <c r="AT32" s="12">
        <f>AS32*(1 + Tickets!I$267/100)</f>
        <v>169675.11373220553</v>
      </c>
      <c r="AU32" s="12">
        <f>AT32*(1 + Tickets!J$267/100)</f>
        <v>172898.94089311743</v>
      </c>
      <c r="AV32" s="12">
        <f>AU32*(1 + Tickets!K$267/100)</f>
        <v>176356.91971097977</v>
      </c>
      <c r="AW32" s="12">
        <f>AV32*(1 + Tickets!L$267/100)</f>
        <v>179972.23656505486</v>
      </c>
      <c r="AX32" s="12">
        <f>AW32*(1 + Tickets!M$267/100)</f>
        <v>183751.65353292099</v>
      </c>
      <c r="AY32" s="12">
        <f>AX32*(1 + Tickets!N$267/100)</f>
        <v>187702.31408387879</v>
      </c>
      <c r="AZ32" s="12">
        <f>AY32*(1 + Tickets!O$267/100)</f>
        <v>191831.76499372412</v>
      </c>
      <c r="BA32" s="12">
        <f>AZ32*(1 + Tickets!P$267/100)</f>
        <v>196052.06382358607</v>
      </c>
      <c r="BB32" s="12">
        <f>BA32*(1 + Tickets!Q$267/100)</f>
        <v>200365.20922770497</v>
      </c>
      <c r="BC32" s="12">
        <f>BB32*(1 + Tickets!R$267/100)</f>
        <v>204773.24383071449</v>
      </c>
      <c r="BD32" s="12">
        <f>BC32*(1 + Tickets!S$267/100)</f>
        <v>209278.25519499023</v>
      </c>
      <c r="BE32" s="12">
        <f>BD32*(1 + Tickets!T$267/100)</f>
        <v>213882.37680928002</v>
      </c>
      <c r="BF32" s="12">
        <f>BE32*(1 + Tickets!U$267/100)</f>
        <v>218587.78909908418</v>
      </c>
      <c r="BG32" s="12">
        <f>BF32*(1 + Tickets!V$267/100)</f>
        <v>223396.72045926403</v>
      </c>
      <c r="BH32" s="12">
        <f>BG32*(1 + Tickets!W$267/100)</f>
        <v>223396.72045926403</v>
      </c>
      <c r="BI32" s="12">
        <f>BH32*(1 + Tickets!X$267/100)</f>
        <v>223396.72045926403</v>
      </c>
      <c r="BJ32" s="12">
        <f>BI32*(1 + Tickets!Y$267/100)</f>
        <v>223396.72045926403</v>
      </c>
      <c r="BK32" s="12">
        <f>BJ32*(1 + Tickets!Z$267/100)</f>
        <v>223396.72045926403</v>
      </c>
      <c r="BL32" s="12">
        <f>BK32*(1 + Tickets!AA$267/100)</f>
        <v>223396.72045926403</v>
      </c>
      <c r="BM32" s="12">
        <f>BL32*(1 + Tickets!AB$267/100)</f>
        <v>223396.72045926403</v>
      </c>
      <c r="BN32" s="12">
        <f>BM32*(1 + Tickets!AC$267/100)</f>
        <v>223396.72045926403</v>
      </c>
      <c r="BO32" s="12">
        <f>BN32*(1 + Tickets!AD$267/100)</f>
        <v>223396.72045926403</v>
      </c>
      <c r="BP32" s="12">
        <f>BO32*(1 + Tickets!AE$267/100)</f>
        <v>223396.72045926403</v>
      </c>
      <c r="BQ32" s="12">
        <f>BP32*(1 + Tickets!AF$267/100)</f>
        <v>223396.72045926403</v>
      </c>
      <c r="BR32" s="12">
        <f>BQ32*(1 + Tickets!AG$267/100)</f>
        <v>223396.72045926403</v>
      </c>
      <c r="BS32" s="12">
        <f>BR32*(1 + Tickets!AH$267/100)</f>
        <v>223396.72045926403</v>
      </c>
      <c r="BT32" s="12">
        <f>BS32*(1 + Tickets!AI$267/100)</f>
        <v>223396.72045926403</v>
      </c>
      <c r="BU32" s="12">
        <f>BT32*(1 + Tickets!AJ$267/100)</f>
        <v>223396.72045926403</v>
      </c>
      <c r="BV32" s="12">
        <f>BU32*(1 + Tickets!AK$267/100)</f>
        <v>223396.72045926403</v>
      </c>
      <c r="BW32" s="12">
        <f>BV32*(1 + Tickets!AL$267/100)</f>
        <v>223396.72045926403</v>
      </c>
      <c r="BX32" s="12">
        <f>BW32*(1 + Tickets!AM$267/100)</f>
        <v>223396.72045926403</v>
      </c>
      <c r="BY32" s="12">
        <f>BX32*(1 + Tickets!AN$267/100)</f>
        <v>223396.72045926403</v>
      </c>
      <c r="BZ32" s="12">
        <f>BY32*(1 + Tickets!AO$267/100)</f>
        <v>223396.72045926403</v>
      </c>
      <c r="CA32" s="12">
        <f>BZ32*(1 + Tickets!AP$267/100)</f>
        <v>223396.72045926403</v>
      </c>
      <c r="CB32" s="12">
        <f>CA32*(1 + Tickets!AQ$267/100)</f>
        <v>223396.72045926403</v>
      </c>
      <c r="CC32" s="12">
        <f>CB32*(1 + Tickets!AR$267/100)</f>
        <v>223396.72045926403</v>
      </c>
      <c r="CD32" s="12">
        <f>CC32*(1 + Tickets!AS$267/100)</f>
        <v>223396.72045926403</v>
      </c>
      <c r="CE32" s="12">
        <f>CD32*(1 + Tickets!AT$267/100)</f>
        <v>223396.72045926403</v>
      </c>
      <c r="CF32" s="12">
        <f>CE32*(1 + Tickets!AU$267/100)</f>
        <v>223396.72045926403</v>
      </c>
      <c r="CG32" s="12">
        <f>CF32*(1 + Tickets!AV$267/100)</f>
        <v>223396.72045926403</v>
      </c>
      <c r="CH32" s="12">
        <f>CG32*(1 + Tickets!AW$267/100)</f>
        <v>223396.72045926403</v>
      </c>
      <c r="CI32" s="12">
        <f>CH32*(1 + Tickets!AX$267/100)</f>
        <v>223396.72045926403</v>
      </c>
      <c r="CJ32" s="12">
        <f>CI32*(1 + Tickets!AY$267/100)</f>
        <v>223396.72045926403</v>
      </c>
      <c r="CK32" s="12">
        <f>CJ32*(1 + Tickets!AZ$267/100)</f>
        <v>223396.72045926403</v>
      </c>
      <c r="CL32" s="12">
        <f>CK32*(1 + Tickets!BA$267/100)</f>
        <v>223396.72045926403</v>
      </c>
      <c r="CM32" s="12">
        <f>CL32*(1 + Tickets!BB$267/100)</f>
        <v>223396.72045926403</v>
      </c>
      <c r="CN32" s="12">
        <f>CM32*(1 + Tickets!BC$267/100)</f>
        <v>223396.72045926403</v>
      </c>
      <c r="CO32" s="12">
        <f>CN32*(1 + Tickets!BD$267/100)</f>
        <v>223396.72045926403</v>
      </c>
      <c r="CP32" s="12">
        <f>CO32*(1 + Tickets!BE$267/100)</f>
        <v>223396.72045926403</v>
      </c>
      <c r="CQ32" s="12">
        <f>CP32*(1 + Tickets!BF$267/100)</f>
        <v>223396.72045926403</v>
      </c>
      <c r="CR32" s="12">
        <f>CQ32*(1 + Tickets!BG$267/100)</f>
        <v>223396.72045926403</v>
      </c>
      <c r="CS32" s="12">
        <f>CR32*(1 + Tickets!BH$267/100)</f>
        <v>223396.72045926403</v>
      </c>
      <c r="CT32" s="12">
        <f>CS32*(1 + Tickets!BI$267/100)</f>
        <v>223396.72045926403</v>
      </c>
      <c r="CU32" s="12">
        <f>CT32*(1 + Tickets!BJ$267/100)</f>
        <v>223396.72045926403</v>
      </c>
      <c r="CV32" s="12">
        <f>CU32*(1 + Tickets!BK$267/100)</f>
        <v>223396.72045926403</v>
      </c>
    </row>
    <row r="33" spans="1:100" s="12" customFormat="1">
      <c r="A33" s="12" t="s">
        <v>234</v>
      </c>
      <c r="D33" s="12" t="s">
        <v>258</v>
      </c>
      <c r="F33" s="12">
        <v>22</v>
      </c>
      <c r="G33" s="12">
        <f>F33/60</f>
        <v>0.36666666666666664</v>
      </c>
      <c r="H33" s="12">
        <f t="shared" si="12"/>
        <v>81</v>
      </c>
      <c r="J33" s="12" t="s">
        <v>259</v>
      </c>
      <c r="O33" s="12" t="s">
        <v>233</v>
      </c>
      <c r="Q33" s="2">
        <v>0.24</v>
      </c>
      <c r="S33" s="2">
        <v>0.35</v>
      </c>
      <c r="AH33" s="12" t="s">
        <v>265</v>
      </c>
      <c r="AJ33" s="12" t="s">
        <v>231</v>
      </c>
      <c r="AN33" s="12">
        <f>AA21-AN21-AN9</f>
        <v>94520.225176037595</v>
      </c>
      <c r="AO33" s="12">
        <f>AN33*(1 + Tickets!D$267/100)</f>
        <v>96658.272669519574</v>
      </c>
      <c r="AP33" s="12">
        <f>AO33*(1 + Tickets!E$267/100)</f>
        <v>97701.215431623699</v>
      </c>
      <c r="AQ33" s="12">
        <f>AP33*(1 + Tickets!F$267/100)</f>
        <v>99385.584385664886</v>
      </c>
      <c r="AR33" s="12">
        <f>AQ33*(1 + Tickets!G$267/100)</f>
        <v>101572.06724214951</v>
      </c>
      <c r="AS33" s="12">
        <f>AR33*(1 + Tickets!H$267/100)</f>
        <v>103197.2203180239</v>
      </c>
      <c r="AT33" s="12">
        <f>AS33*(1 + Tickets!I$267/100)</f>
        <v>105157.96750406634</v>
      </c>
      <c r="AU33" s="12">
        <f>AT33*(1 + Tickets!J$267/100)</f>
        <v>107155.96888664359</v>
      </c>
      <c r="AV33" s="12">
        <f>AU33*(1 + Tickets!K$267/100)</f>
        <v>109299.08826437646</v>
      </c>
      <c r="AW33" s="12">
        <f>AV33*(1 + Tickets!L$267/100)</f>
        <v>111539.71957379617</v>
      </c>
      <c r="AX33" s="12">
        <f>AW33*(1 + Tickets!M$267/100)</f>
        <v>113882.05368484589</v>
      </c>
      <c r="AY33" s="12">
        <f>AX33*(1 + Tickets!N$267/100)</f>
        <v>116330.51783907007</v>
      </c>
      <c r="AZ33" s="12">
        <f>AY33*(1 + Tickets!O$267/100)</f>
        <v>118889.78923152962</v>
      </c>
      <c r="BA33" s="12">
        <f>AZ33*(1 + Tickets!P$267/100)</f>
        <v>121505.36459462327</v>
      </c>
      <c r="BB33" s="12">
        <f>BA33*(1 + Tickets!Q$267/100)</f>
        <v>124178.48261570498</v>
      </c>
      <c r="BC33" s="12">
        <f>BB33*(1 + Tickets!R$267/100)</f>
        <v>126910.4092332505</v>
      </c>
      <c r="BD33" s="12">
        <f>BC33*(1 + Tickets!S$267/100)</f>
        <v>129702.438236382</v>
      </c>
      <c r="BE33" s="12">
        <f>BD33*(1 + Tickets!T$267/100)</f>
        <v>132555.89187758241</v>
      </c>
      <c r="BF33" s="12">
        <f>BE33*(1 + Tickets!U$267/100)</f>
        <v>135472.12149888923</v>
      </c>
      <c r="BG33" s="12">
        <f>BF33*(1 + Tickets!V$267/100)</f>
        <v>138452.50817186479</v>
      </c>
      <c r="BH33" s="12">
        <f>BG33*(1 + Tickets!W$267/100)</f>
        <v>138452.50817186479</v>
      </c>
      <c r="BI33" s="12">
        <f>BH33*(1 + Tickets!X$267/100)</f>
        <v>138452.50817186479</v>
      </c>
      <c r="BJ33" s="12">
        <f>BI33*(1 + Tickets!Y$267/100)</f>
        <v>138452.50817186479</v>
      </c>
      <c r="BK33" s="12">
        <f>BJ33*(1 + Tickets!Z$267/100)</f>
        <v>138452.50817186479</v>
      </c>
      <c r="BL33" s="12">
        <f>BK33*(1 + Tickets!AA$267/100)</f>
        <v>138452.50817186479</v>
      </c>
      <c r="BM33" s="12">
        <f>BL33*(1 + Tickets!AB$267/100)</f>
        <v>138452.50817186479</v>
      </c>
      <c r="BN33" s="12">
        <f>BM33*(1 + Tickets!AC$267/100)</f>
        <v>138452.50817186479</v>
      </c>
      <c r="BO33" s="12">
        <f>BN33*(1 + Tickets!AD$267/100)</f>
        <v>138452.50817186479</v>
      </c>
      <c r="BP33" s="12">
        <f>BO33*(1 + Tickets!AE$267/100)</f>
        <v>138452.50817186479</v>
      </c>
      <c r="BQ33" s="12">
        <f>BP33*(1 + Tickets!AF$267/100)</f>
        <v>138452.50817186479</v>
      </c>
      <c r="BR33" s="12">
        <f>BQ33*(1 + Tickets!AG$267/100)</f>
        <v>138452.50817186479</v>
      </c>
      <c r="BS33" s="12">
        <f>BR33*(1 + Tickets!AH$267/100)</f>
        <v>138452.50817186479</v>
      </c>
      <c r="BT33" s="12">
        <f>BS33*(1 + Tickets!AI$267/100)</f>
        <v>138452.50817186479</v>
      </c>
      <c r="BU33" s="12">
        <f>BT33*(1 + Tickets!AJ$267/100)</f>
        <v>138452.50817186479</v>
      </c>
      <c r="BV33" s="12">
        <f>BU33*(1 + Tickets!AK$267/100)</f>
        <v>138452.50817186479</v>
      </c>
      <c r="BW33" s="12">
        <f>BV33*(1 + Tickets!AL$267/100)</f>
        <v>138452.50817186479</v>
      </c>
      <c r="BX33" s="12">
        <f>BW33*(1 + Tickets!AM$267/100)</f>
        <v>138452.50817186479</v>
      </c>
      <c r="BY33" s="12">
        <f>BX33*(1 + Tickets!AN$267/100)</f>
        <v>138452.50817186479</v>
      </c>
      <c r="BZ33" s="12">
        <f>BY33*(1 + Tickets!AO$267/100)</f>
        <v>138452.50817186479</v>
      </c>
      <c r="CA33" s="12">
        <f>BZ33*(1 + Tickets!AP$267/100)</f>
        <v>138452.50817186479</v>
      </c>
      <c r="CB33" s="12">
        <f>CA33*(1 + Tickets!AQ$267/100)</f>
        <v>138452.50817186479</v>
      </c>
      <c r="CC33" s="12">
        <f>CB33*(1 + Tickets!AR$267/100)</f>
        <v>138452.50817186479</v>
      </c>
      <c r="CD33" s="12">
        <f>CC33*(1 + Tickets!AS$267/100)</f>
        <v>138452.50817186479</v>
      </c>
      <c r="CE33" s="12">
        <f>CD33*(1 + Tickets!AT$267/100)</f>
        <v>138452.50817186479</v>
      </c>
      <c r="CF33" s="12">
        <f>CE33*(1 + Tickets!AU$267/100)</f>
        <v>138452.50817186479</v>
      </c>
      <c r="CG33" s="12">
        <f>CF33*(1 + Tickets!AV$267/100)</f>
        <v>138452.50817186479</v>
      </c>
      <c r="CH33" s="12">
        <f>CG33*(1 + Tickets!AW$267/100)</f>
        <v>138452.50817186479</v>
      </c>
      <c r="CI33" s="12">
        <f>CH33*(1 + Tickets!AX$267/100)</f>
        <v>138452.50817186479</v>
      </c>
      <c r="CJ33" s="12">
        <f>CI33*(1 + Tickets!AY$267/100)</f>
        <v>138452.50817186479</v>
      </c>
      <c r="CK33" s="12">
        <f>CJ33*(1 + Tickets!AZ$267/100)</f>
        <v>138452.50817186479</v>
      </c>
      <c r="CL33" s="12">
        <f>CK33*(1 + Tickets!BA$267/100)</f>
        <v>138452.50817186479</v>
      </c>
      <c r="CM33" s="12">
        <f>CL33*(1 + Tickets!BB$267/100)</f>
        <v>138452.50817186479</v>
      </c>
      <c r="CN33" s="12">
        <f>CM33*(1 + Tickets!BC$267/100)</f>
        <v>138452.50817186479</v>
      </c>
      <c r="CO33" s="12">
        <f>CN33*(1 + Tickets!BD$267/100)</f>
        <v>138452.50817186479</v>
      </c>
      <c r="CP33" s="12">
        <f>CO33*(1 + Tickets!BE$267/100)</f>
        <v>138452.50817186479</v>
      </c>
      <c r="CQ33" s="12">
        <f>CP33*(1 + Tickets!BF$267/100)</f>
        <v>138452.50817186479</v>
      </c>
      <c r="CR33" s="12">
        <f>CQ33*(1 + Tickets!BG$267/100)</f>
        <v>138452.50817186479</v>
      </c>
      <c r="CS33" s="12">
        <f>CR33*(1 + Tickets!BH$267/100)</f>
        <v>138452.50817186479</v>
      </c>
      <c r="CT33" s="12">
        <f>CS33*(1 + Tickets!BI$267/100)</f>
        <v>138452.50817186479</v>
      </c>
      <c r="CU33" s="12">
        <f>CT33*(1 + Tickets!BJ$267/100)</f>
        <v>138452.50817186479</v>
      </c>
      <c r="CV33" s="12">
        <f>CU33*(1 + Tickets!BK$267/100)</f>
        <v>138452.50817186479</v>
      </c>
    </row>
    <row r="34" spans="1:100" s="12" customFormat="1">
      <c r="O34" s="12" t="s">
        <v>234</v>
      </c>
      <c r="Q34" s="2">
        <v>0.05</v>
      </c>
      <c r="S34" s="2">
        <v>0.83</v>
      </c>
      <c r="AJ34" s="12" t="s">
        <v>232</v>
      </c>
      <c r="AN34" s="12">
        <f>AA22-AN22-AN10</f>
        <v>47155.439779676046</v>
      </c>
      <c r="AO34" s="12">
        <f>AN34*(1 + Tickets!D$267/100)</f>
        <v>48222.095827492325</v>
      </c>
      <c r="AP34" s="12">
        <f>AO34*(1 + Tickets!E$267/100)</f>
        <v>48742.412241470971</v>
      </c>
      <c r="AQ34" s="12">
        <f>AP34*(1 + Tickets!F$267/100)</f>
        <v>49582.731428513929</v>
      </c>
      <c r="AR34" s="12">
        <f>AQ34*(1 + Tickets!G$267/100)</f>
        <v>50673.551519941233</v>
      </c>
      <c r="AS34" s="12">
        <f>AR34*(1 + Tickets!H$267/100)</f>
        <v>51484.328344260291</v>
      </c>
      <c r="AT34" s="12">
        <f>AS34*(1 + Tickets!I$267/100)</f>
        <v>52462.530582801235</v>
      </c>
      <c r="AU34" s="12">
        <f>AT34*(1 + Tickets!J$267/100)</f>
        <v>53459.318663874452</v>
      </c>
      <c r="AV34" s="12">
        <f>AU34*(1 + Tickets!K$267/100)</f>
        <v>54528.505037151939</v>
      </c>
      <c r="AW34" s="12">
        <f>AV34*(1 + Tickets!L$267/100)</f>
        <v>55646.339390413552</v>
      </c>
      <c r="AX34" s="12">
        <f>AW34*(1 + Tickets!M$267/100)</f>
        <v>56814.912517612232</v>
      </c>
      <c r="AY34" s="12">
        <f>AX34*(1 + Tickets!N$267/100)</f>
        <v>58036.433136740903</v>
      </c>
      <c r="AZ34" s="12">
        <f>AY34*(1 + Tickets!O$267/100)</f>
        <v>59313.234665749202</v>
      </c>
      <c r="BA34" s="12">
        <f>AZ34*(1 + Tickets!P$267/100)</f>
        <v>60618.125828395685</v>
      </c>
      <c r="BB34" s="12">
        <f>BA34*(1 + Tickets!Q$267/100)</f>
        <v>61951.724596620392</v>
      </c>
      <c r="BC34" s="12">
        <f>BB34*(1 + Tickets!R$267/100)</f>
        <v>63314.662537746044</v>
      </c>
      <c r="BD34" s="12">
        <f>BC34*(1 + Tickets!S$267/100)</f>
        <v>64707.585113576461</v>
      </c>
      <c r="BE34" s="12">
        <f>BD34*(1 + Tickets!T$267/100)</f>
        <v>66131.151986075143</v>
      </c>
      <c r="BF34" s="12">
        <f>BE34*(1 + Tickets!U$267/100)</f>
        <v>67586.037329768791</v>
      </c>
      <c r="BG34" s="12">
        <f>BF34*(1 + Tickets!V$267/100)</f>
        <v>69072.930151023713</v>
      </c>
      <c r="BH34" s="12">
        <f>BG34*(1 + Tickets!W$267/100)</f>
        <v>69072.930151023713</v>
      </c>
      <c r="BI34" s="12">
        <f>BH34*(1 + Tickets!X$267/100)</f>
        <v>69072.930151023713</v>
      </c>
      <c r="BJ34" s="12">
        <f>BI34*(1 + Tickets!Y$267/100)</f>
        <v>69072.930151023713</v>
      </c>
      <c r="BK34" s="12">
        <f>BJ34*(1 + Tickets!Z$267/100)</f>
        <v>69072.930151023713</v>
      </c>
      <c r="BL34" s="12">
        <f>BK34*(1 + Tickets!AA$267/100)</f>
        <v>69072.930151023713</v>
      </c>
      <c r="BM34" s="12">
        <f>BL34*(1 + Tickets!AB$267/100)</f>
        <v>69072.930151023713</v>
      </c>
      <c r="BN34" s="12">
        <f>BM34*(1 + Tickets!AC$267/100)</f>
        <v>69072.930151023713</v>
      </c>
      <c r="BO34" s="12">
        <f>BN34*(1 + Tickets!AD$267/100)</f>
        <v>69072.930151023713</v>
      </c>
      <c r="BP34" s="12">
        <f>BO34*(1 + Tickets!AE$267/100)</f>
        <v>69072.930151023713</v>
      </c>
      <c r="BQ34" s="12">
        <f>BP34*(1 + Tickets!AF$267/100)</f>
        <v>69072.930151023713</v>
      </c>
      <c r="BR34" s="12">
        <f>BQ34*(1 + Tickets!AG$267/100)</f>
        <v>69072.930151023713</v>
      </c>
      <c r="BS34" s="12">
        <f>BR34*(1 + Tickets!AH$267/100)</f>
        <v>69072.930151023713</v>
      </c>
      <c r="BT34" s="12">
        <f>BS34*(1 + Tickets!AI$267/100)</f>
        <v>69072.930151023713</v>
      </c>
      <c r="BU34" s="12">
        <f>BT34*(1 + Tickets!AJ$267/100)</f>
        <v>69072.930151023713</v>
      </c>
      <c r="BV34" s="12">
        <f>BU34*(1 + Tickets!AK$267/100)</f>
        <v>69072.930151023713</v>
      </c>
      <c r="BW34" s="12">
        <f>BV34*(1 + Tickets!AL$267/100)</f>
        <v>69072.930151023713</v>
      </c>
      <c r="BX34" s="12">
        <f>BW34*(1 + Tickets!AM$267/100)</f>
        <v>69072.930151023713</v>
      </c>
      <c r="BY34" s="12">
        <f>BX34*(1 + Tickets!AN$267/100)</f>
        <v>69072.930151023713</v>
      </c>
      <c r="BZ34" s="12">
        <f>BY34*(1 + Tickets!AO$267/100)</f>
        <v>69072.930151023713</v>
      </c>
      <c r="CA34" s="12">
        <f>BZ34*(1 + Tickets!AP$267/100)</f>
        <v>69072.930151023713</v>
      </c>
      <c r="CB34" s="12">
        <f>CA34*(1 + Tickets!AQ$267/100)</f>
        <v>69072.930151023713</v>
      </c>
      <c r="CC34" s="12">
        <f>CB34*(1 + Tickets!AR$267/100)</f>
        <v>69072.930151023713</v>
      </c>
      <c r="CD34" s="12">
        <f>CC34*(1 + Tickets!AS$267/100)</f>
        <v>69072.930151023713</v>
      </c>
      <c r="CE34" s="12">
        <f>CD34*(1 + Tickets!AT$267/100)</f>
        <v>69072.930151023713</v>
      </c>
      <c r="CF34" s="12">
        <f>CE34*(1 + Tickets!AU$267/100)</f>
        <v>69072.930151023713</v>
      </c>
      <c r="CG34" s="12">
        <f>CF34*(1 + Tickets!AV$267/100)</f>
        <v>69072.930151023713</v>
      </c>
      <c r="CH34" s="12">
        <f>CG34*(1 + Tickets!AW$267/100)</f>
        <v>69072.930151023713</v>
      </c>
      <c r="CI34" s="12">
        <f>CH34*(1 + Tickets!AX$267/100)</f>
        <v>69072.930151023713</v>
      </c>
      <c r="CJ34" s="12">
        <f>CI34*(1 + Tickets!AY$267/100)</f>
        <v>69072.930151023713</v>
      </c>
      <c r="CK34" s="12">
        <f>CJ34*(1 + Tickets!AZ$267/100)</f>
        <v>69072.930151023713</v>
      </c>
      <c r="CL34" s="12">
        <f>CK34*(1 + Tickets!BA$267/100)</f>
        <v>69072.930151023713</v>
      </c>
      <c r="CM34" s="12">
        <f>CL34*(1 + Tickets!BB$267/100)</f>
        <v>69072.930151023713</v>
      </c>
      <c r="CN34" s="12">
        <f>CM34*(1 + Tickets!BC$267/100)</f>
        <v>69072.930151023713</v>
      </c>
      <c r="CO34" s="12">
        <f>CN34*(1 + Tickets!BD$267/100)</f>
        <v>69072.930151023713</v>
      </c>
      <c r="CP34" s="12">
        <f>CO34*(1 + Tickets!BE$267/100)</f>
        <v>69072.930151023713</v>
      </c>
      <c r="CQ34" s="12">
        <f>CP34*(1 + Tickets!BF$267/100)</f>
        <v>69072.930151023713</v>
      </c>
      <c r="CR34" s="12">
        <f>CQ34*(1 + Tickets!BG$267/100)</f>
        <v>69072.930151023713</v>
      </c>
      <c r="CS34" s="12">
        <f>CR34*(1 + Tickets!BH$267/100)</f>
        <v>69072.930151023713</v>
      </c>
      <c r="CT34" s="12">
        <f>CS34*(1 + Tickets!BI$267/100)</f>
        <v>69072.930151023713</v>
      </c>
      <c r="CU34" s="12">
        <f>CT34*(1 + Tickets!BJ$267/100)</f>
        <v>69072.930151023713</v>
      </c>
      <c r="CV34" s="12">
        <f>CU34*(1 + Tickets!BK$267/100)</f>
        <v>69072.930151023713</v>
      </c>
    </row>
    <row r="35" spans="1:100">
      <c r="A35" s="12" t="s">
        <v>249</v>
      </c>
      <c r="B35" s="12"/>
      <c r="C35" s="12"/>
      <c r="D35" s="12"/>
      <c r="E35" s="12"/>
      <c r="F35" s="12"/>
      <c r="G35" s="12"/>
      <c r="H35" s="12"/>
      <c r="I35" s="12" t="s">
        <v>250</v>
      </c>
      <c r="J35" s="12"/>
      <c r="K35" s="12"/>
      <c r="L35" s="12"/>
      <c r="M35" s="12"/>
      <c r="W35" s="12" t="s">
        <v>231</v>
      </c>
      <c r="Z35" s="12">
        <f>Z21*$H$30</f>
        <v>3108021.5999999996</v>
      </c>
      <c r="AA35" s="12">
        <f t="shared" ref="AA35:AE35" si="15">AA21*$H$30</f>
        <v>3320970.4</v>
      </c>
      <c r="AB35" s="12"/>
      <c r="AC35" s="12"/>
      <c r="AD35" s="12"/>
      <c r="AE35" s="12"/>
      <c r="AH35" s="12"/>
      <c r="AI35" s="12"/>
      <c r="AJ35" s="12" t="s">
        <v>233</v>
      </c>
      <c r="AN35" s="12">
        <f>AA23-AN23-AN11</f>
        <v>94125.706468031174</v>
      </c>
      <c r="AO35" s="12">
        <f>AN35*(1 + Tickets!D$267/100)</f>
        <v>96254.829948338054</v>
      </c>
      <c r="AP35" s="12">
        <f>AO35*(1 + Tickets!E$267/100)</f>
        <v>97293.419563480624</v>
      </c>
      <c r="AQ35" s="12">
        <f>AP35*(1 + Tickets!F$267/100)</f>
        <v>98970.758116755023</v>
      </c>
      <c r="AR35" s="12">
        <f>AQ35*(1 + Tickets!G$267/100)</f>
        <v>101148.11479532364</v>
      </c>
      <c r="AS35" s="12">
        <f>AR35*(1 + Tickets!H$267/100)</f>
        <v>102766.48463204881</v>
      </c>
      <c r="AT35" s="12">
        <f>AS35*(1 + Tickets!I$267/100)</f>
        <v>104719.04784005773</v>
      </c>
      <c r="AU35" s="12">
        <f>AT35*(1 + Tickets!J$267/100)</f>
        <v>106708.70974901882</v>
      </c>
      <c r="AV35" s="12">
        <f>AU35*(1 + Tickets!K$267/100)</f>
        <v>108842.8839439992</v>
      </c>
      <c r="AW35" s="12">
        <f>AV35*(1 + Tickets!L$267/100)</f>
        <v>111074.16306485118</v>
      </c>
      <c r="AX35" s="12">
        <f>AW35*(1 + Tickets!M$267/100)</f>
        <v>113406.72048921304</v>
      </c>
      <c r="AY35" s="12">
        <f>AX35*(1 + Tickets!N$267/100)</f>
        <v>115844.96497973113</v>
      </c>
      <c r="AZ35" s="12">
        <f>AY35*(1 + Tickets!O$267/100)</f>
        <v>118393.55420928521</v>
      </c>
      <c r="BA35" s="12">
        <f>AZ35*(1 + Tickets!P$267/100)</f>
        <v>120998.21240188948</v>
      </c>
      <c r="BB35" s="12">
        <f>BA35*(1 + Tickets!Q$267/100)</f>
        <v>123660.17307473105</v>
      </c>
      <c r="BC35" s="12">
        <f>BB35*(1 + Tickets!R$267/100)</f>
        <v>126380.69688237514</v>
      </c>
      <c r="BD35" s="12">
        <f>BC35*(1 + Tickets!S$267/100)</f>
        <v>129161.0722137874</v>
      </c>
      <c r="BE35" s="12">
        <f>BD35*(1 + Tickets!T$267/100)</f>
        <v>132002.61580249073</v>
      </c>
      <c r="BF35" s="12">
        <f>BE35*(1 + Tickets!U$267/100)</f>
        <v>134906.67335014555</v>
      </c>
      <c r="BG35" s="12">
        <f>BF35*(1 + Tickets!V$267/100)</f>
        <v>137874.62016384874</v>
      </c>
      <c r="BH35" s="12">
        <f>BG35*(1 + Tickets!W$267/100)</f>
        <v>137874.62016384874</v>
      </c>
      <c r="BI35" s="12">
        <f>BH35*(1 + Tickets!X$267/100)</f>
        <v>137874.62016384874</v>
      </c>
      <c r="BJ35" s="12">
        <f>BI35*(1 + Tickets!Y$267/100)</f>
        <v>137874.62016384874</v>
      </c>
      <c r="BK35" s="12">
        <f>BJ35*(1 + Tickets!Z$267/100)</f>
        <v>137874.62016384874</v>
      </c>
      <c r="BL35" s="12">
        <f>BK35*(1 + Tickets!AA$267/100)</f>
        <v>137874.62016384874</v>
      </c>
      <c r="BM35" s="12">
        <f>BL35*(1 + Tickets!AB$267/100)</f>
        <v>137874.62016384874</v>
      </c>
      <c r="BN35" s="12">
        <f>BM35*(1 + Tickets!AC$267/100)</f>
        <v>137874.62016384874</v>
      </c>
      <c r="BO35" s="12">
        <f>BN35*(1 + Tickets!AD$267/100)</f>
        <v>137874.62016384874</v>
      </c>
      <c r="BP35" s="12">
        <f>BO35*(1 + Tickets!AE$267/100)</f>
        <v>137874.62016384874</v>
      </c>
      <c r="BQ35" s="12">
        <f>BP35*(1 + Tickets!AF$267/100)</f>
        <v>137874.62016384874</v>
      </c>
      <c r="BR35" s="12">
        <f>BQ35*(1 + Tickets!AG$267/100)</f>
        <v>137874.62016384874</v>
      </c>
      <c r="BS35" s="12">
        <f>BR35*(1 + Tickets!AH$267/100)</f>
        <v>137874.62016384874</v>
      </c>
      <c r="BT35" s="12">
        <f>BS35*(1 + Tickets!AI$267/100)</f>
        <v>137874.62016384874</v>
      </c>
      <c r="BU35" s="12">
        <f>BT35*(1 + Tickets!AJ$267/100)</f>
        <v>137874.62016384874</v>
      </c>
      <c r="BV35" s="12">
        <f>BU35*(1 + Tickets!AK$267/100)</f>
        <v>137874.62016384874</v>
      </c>
      <c r="BW35" s="12">
        <f>BV35*(1 + Tickets!AL$267/100)</f>
        <v>137874.62016384874</v>
      </c>
      <c r="BX35" s="12">
        <f>BW35*(1 + Tickets!AM$267/100)</f>
        <v>137874.62016384874</v>
      </c>
      <c r="BY35" s="12">
        <f>BX35*(1 + Tickets!AN$267/100)</f>
        <v>137874.62016384874</v>
      </c>
      <c r="BZ35" s="12">
        <f>BY35*(1 + Tickets!AO$267/100)</f>
        <v>137874.62016384874</v>
      </c>
      <c r="CA35" s="12">
        <f>BZ35*(1 + Tickets!AP$267/100)</f>
        <v>137874.62016384874</v>
      </c>
      <c r="CB35" s="12">
        <f>CA35*(1 + Tickets!AQ$267/100)</f>
        <v>137874.62016384874</v>
      </c>
      <c r="CC35" s="12">
        <f>CB35*(1 + Tickets!AR$267/100)</f>
        <v>137874.62016384874</v>
      </c>
      <c r="CD35" s="12">
        <f>CC35*(1 + Tickets!AS$267/100)</f>
        <v>137874.62016384874</v>
      </c>
      <c r="CE35" s="12">
        <f>CD35*(1 + Tickets!AT$267/100)</f>
        <v>137874.62016384874</v>
      </c>
      <c r="CF35" s="12">
        <f>CE35*(1 + Tickets!AU$267/100)</f>
        <v>137874.62016384874</v>
      </c>
      <c r="CG35" s="12">
        <f>CF35*(1 + Tickets!AV$267/100)</f>
        <v>137874.62016384874</v>
      </c>
      <c r="CH35" s="12">
        <f>CG35*(1 + Tickets!AW$267/100)</f>
        <v>137874.62016384874</v>
      </c>
      <c r="CI35" s="12">
        <f>CH35*(1 + Tickets!AX$267/100)</f>
        <v>137874.62016384874</v>
      </c>
      <c r="CJ35" s="12">
        <f>CI35*(1 + Tickets!AY$267/100)</f>
        <v>137874.62016384874</v>
      </c>
      <c r="CK35" s="12">
        <f>CJ35*(1 + Tickets!AZ$267/100)</f>
        <v>137874.62016384874</v>
      </c>
      <c r="CL35" s="12">
        <f>CK35*(1 + Tickets!BA$267/100)</f>
        <v>137874.62016384874</v>
      </c>
      <c r="CM35" s="12">
        <f>CL35*(1 + Tickets!BB$267/100)</f>
        <v>137874.62016384874</v>
      </c>
      <c r="CN35" s="12">
        <f>CM35*(1 + Tickets!BC$267/100)</f>
        <v>137874.62016384874</v>
      </c>
      <c r="CO35" s="12">
        <f>CN35*(1 + Tickets!BD$267/100)</f>
        <v>137874.62016384874</v>
      </c>
      <c r="CP35" s="12">
        <f>CO35*(1 + Tickets!BE$267/100)</f>
        <v>137874.62016384874</v>
      </c>
      <c r="CQ35" s="12">
        <f>CP35*(1 + Tickets!BF$267/100)</f>
        <v>137874.62016384874</v>
      </c>
      <c r="CR35" s="12">
        <f>CQ35*(1 + Tickets!BG$267/100)</f>
        <v>137874.62016384874</v>
      </c>
      <c r="CS35" s="12">
        <f>CR35*(1 + Tickets!BH$267/100)</f>
        <v>137874.62016384874</v>
      </c>
      <c r="CT35" s="12">
        <f>CS35*(1 + Tickets!BI$267/100)</f>
        <v>137874.62016384874</v>
      </c>
      <c r="CU35" s="12">
        <f>CT35*(1 + Tickets!BJ$267/100)</f>
        <v>137874.62016384874</v>
      </c>
      <c r="CV35" s="12">
        <f>CU35*(1 + Tickets!BK$267/100)</f>
        <v>137874.62016384874</v>
      </c>
    </row>
    <row r="36" spans="1:100" s="12" customFormat="1">
      <c r="A36" s="12">
        <v>2009</v>
      </c>
      <c r="B36" s="12">
        <f>1467/6641</f>
        <v>0.2209004667971691</v>
      </c>
      <c r="E36" s="12">
        <v>2013</v>
      </c>
      <c r="F36" s="12">
        <f>1751/7978</f>
        <v>0.2194785660566558</v>
      </c>
      <c r="I36" s="12">
        <v>2009</v>
      </c>
      <c r="J36" s="12">
        <f>73153/82285</f>
        <v>0.88901986996414895</v>
      </c>
      <c r="L36" s="12">
        <v>2013</v>
      </c>
      <c r="M36" s="12">
        <f>82691/90669</f>
        <v>0.91200961739955222</v>
      </c>
      <c r="W36" s="12" t="s">
        <v>232</v>
      </c>
      <c r="Z36" s="12">
        <f>Z22*$H$31</f>
        <v>2801082.2399999998</v>
      </c>
      <c r="AA36" s="12">
        <f t="shared" ref="AA36:AE36" si="16">AA22*$H$31</f>
        <v>3118518.48</v>
      </c>
      <c r="AJ36" s="12" t="s">
        <v>234</v>
      </c>
      <c r="AN36" s="12">
        <f>AA24-AN24-AN12</f>
        <v>9187.3999999999978</v>
      </c>
      <c r="AO36" s="12">
        <f>AN36*(1 + Tickets!D$267/100)</f>
        <v>9395.2189879999987</v>
      </c>
      <c r="AP36" s="12">
        <f>AO36*(1 + Tickets!E$267/100)</f>
        <v>9496.5934008805198</v>
      </c>
      <c r="AQ36" s="12">
        <f>AP36*(1 + Tickets!F$267/100)</f>
        <v>9660.3146711116988</v>
      </c>
      <c r="AR36" s="12">
        <f>AQ36*(1 + Tickets!G$267/100)</f>
        <v>9872.8415938761555</v>
      </c>
      <c r="AS36" s="12">
        <f>AR36*(1 + Tickets!H$267/100)</f>
        <v>10030.807059378174</v>
      </c>
      <c r="AT36" s="12">
        <f>AS36*(1 + Tickets!I$267/100)</f>
        <v>10221.392393506358</v>
      </c>
      <c r="AU36" s="12">
        <f>AT36*(1 + Tickets!J$267/100)</f>
        <v>10415.598848982978</v>
      </c>
      <c r="AV36" s="12">
        <f>AU36*(1 + Tickets!K$267/100)</f>
        <v>10623.910825962637</v>
      </c>
      <c r="AW36" s="12">
        <f>AV36*(1 + Tickets!L$267/100)</f>
        <v>10841.700997894872</v>
      </c>
      <c r="AX36" s="12">
        <f>AW36*(1 + Tickets!M$267/100)</f>
        <v>11069.376718850663</v>
      </c>
      <c r="AY36" s="12">
        <f>AX36*(1 + Tickets!N$267/100)</f>
        <v>11307.368318305953</v>
      </c>
      <c r="AZ36" s="12">
        <f>AY36*(1 + Tickets!O$267/100)</f>
        <v>11556.130421308684</v>
      </c>
      <c r="BA36" s="12">
        <f>AZ36*(1 + Tickets!P$267/100)</f>
        <v>11810.365290577476</v>
      </c>
      <c r="BB36" s="12">
        <f>BA36*(1 + Tickets!Q$267/100)</f>
        <v>12070.19332697018</v>
      </c>
      <c r="BC36" s="12">
        <f>BB36*(1 + Tickets!R$267/100)</f>
        <v>12335.737580163524</v>
      </c>
      <c r="BD36" s="12">
        <f>BC36*(1 + Tickets!S$267/100)</f>
        <v>12607.123806927122</v>
      </c>
      <c r="BE36" s="12">
        <f>BD36*(1 + Tickets!T$267/100)</f>
        <v>12884.480530679519</v>
      </c>
      <c r="BF36" s="12">
        <f>BE36*(1 + Tickets!U$267/100)</f>
        <v>13167.939102354469</v>
      </c>
      <c r="BG36" s="12">
        <f>BF36*(1 + Tickets!V$267/100)</f>
        <v>13457.633762606267</v>
      </c>
      <c r="BH36" s="12">
        <f>BG36*(1 + Tickets!W$267/100)</f>
        <v>13457.633762606267</v>
      </c>
      <c r="BI36" s="12">
        <f>BH36*(1 + Tickets!X$267/100)</f>
        <v>13457.633762606267</v>
      </c>
      <c r="BJ36" s="12">
        <f>BI36*(1 + Tickets!Y$267/100)</f>
        <v>13457.633762606267</v>
      </c>
      <c r="BK36" s="12">
        <f>BJ36*(1 + Tickets!Z$267/100)</f>
        <v>13457.633762606267</v>
      </c>
      <c r="BL36" s="12">
        <f>BK36*(1 + Tickets!AA$267/100)</f>
        <v>13457.633762606267</v>
      </c>
      <c r="BM36" s="12">
        <f>BL36*(1 + Tickets!AB$267/100)</f>
        <v>13457.633762606267</v>
      </c>
      <c r="BN36" s="12">
        <f>BM36*(1 + Tickets!AC$267/100)</f>
        <v>13457.633762606267</v>
      </c>
      <c r="BO36" s="12">
        <f>BN36*(1 + Tickets!AD$267/100)</f>
        <v>13457.633762606267</v>
      </c>
      <c r="BP36" s="12">
        <f>BO36*(1 + Tickets!AE$267/100)</f>
        <v>13457.633762606267</v>
      </c>
      <c r="BQ36" s="12">
        <f>BP36*(1 + Tickets!AF$267/100)</f>
        <v>13457.633762606267</v>
      </c>
      <c r="BR36" s="12">
        <f>BQ36*(1 + Tickets!AG$267/100)</f>
        <v>13457.633762606267</v>
      </c>
      <c r="BS36" s="12">
        <f>BR36*(1 + Tickets!AH$267/100)</f>
        <v>13457.633762606267</v>
      </c>
      <c r="BT36" s="12">
        <f>BS36*(1 + Tickets!AI$267/100)</f>
        <v>13457.633762606267</v>
      </c>
      <c r="BU36" s="12">
        <f>BT36*(1 + Tickets!AJ$267/100)</f>
        <v>13457.633762606267</v>
      </c>
      <c r="BV36" s="12">
        <f>BU36*(1 + Tickets!AK$267/100)</f>
        <v>13457.633762606267</v>
      </c>
      <c r="BW36" s="12">
        <f>BV36*(1 + Tickets!AL$267/100)</f>
        <v>13457.633762606267</v>
      </c>
      <c r="BX36" s="12">
        <f>BW36*(1 + Tickets!AM$267/100)</f>
        <v>13457.633762606267</v>
      </c>
      <c r="BY36" s="12">
        <f>BX36*(1 + Tickets!AN$267/100)</f>
        <v>13457.633762606267</v>
      </c>
      <c r="BZ36" s="12">
        <f>BY36*(1 + Tickets!AO$267/100)</f>
        <v>13457.633762606267</v>
      </c>
      <c r="CA36" s="12">
        <f>BZ36*(1 + Tickets!AP$267/100)</f>
        <v>13457.633762606267</v>
      </c>
      <c r="CB36" s="12">
        <f>CA36*(1 + Tickets!AQ$267/100)</f>
        <v>13457.633762606267</v>
      </c>
      <c r="CC36" s="12">
        <f>CB36*(1 + Tickets!AR$267/100)</f>
        <v>13457.633762606267</v>
      </c>
      <c r="CD36" s="12">
        <f>CC36*(1 + Tickets!AS$267/100)</f>
        <v>13457.633762606267</v>
      </c>
      <c r="CE36" s="12">
        <f>CD36*(1 + Tickets!AT$267/100)</f>
        <v>13457.633762606267</v>
      </c>
      <c r="CF36" s="12">
        <f>CE36*(1 + Tickets!AU$267/100)</f>
        <v>13457.633762606267</v>
      </c>
      <c r="CG36" s="12">
        <f>CF36*(1 + Tickets!AV$267/100)</f>
        <v>13457.633762606267</v>
      </c>
      <c r="CH36" s="12">
        <f>CG36*(1 + Tickets!AW$267/100)</f>
        <v>13457.633762606267</v>
      </c>
      <c r="CI36" s="12">
        <f>CH36*(1 + Tickets!AX$267/100)</f>
        <v>13457.633762606267</v>
      </c>
      <c r="CJ36" s="12">
        <f>CI36*(1 + Tickets!AY$267/100)</f>
        <v>13457.633762606267</v>
      </c>
      <c r="CK36" s="12">
        <f>CJ36*(1 + Tickets!AZ$267/100)</f>
        <v>13457.633762606267</v>
      </c>
      <c r="CL36" s="12">
        <f>CK36*(1 + Tickets!BA$267/100)</f>
        <v>13457.633762606267</v>
      </c>
      <c r="CM36" s="12">
        <f>CL36*(1 + Tickets!BB$267/100)</f>
        <v>13457.633762606267</v>
      </c>
      <c r="CN36" s="12">
        <f>CM36*(1 + Tickets!BC$267/100)</f>
        <v>13457.633762606267</v>
      </c>
      <c r="CO36" s="12">
        <f>CN36*(1 + Tickets!BD$267/100)</f>
        <v>13457.633762606267</v>
      </c>
      <c r="CP36" s="12">
        <f>CO36*(1 + Tickets!BE$267/100)</f>
        <v>13457.633762606267</v>
      </c>
      <c r="CQ36" s="12">
        <f>CP36*(1 + Tickets!BF$267/100)</f>
        <v>13457.633762606267</v>
      </c>
      <c r="CR36" s="12">
        <f>CQ36*(1 + Tickets!BG$267/100)</f>
        <v>13457.633762606267</v>
      </c>
      <c r="CS36" s="12">
        <f>CR36*(1 + Tickets!BH$267/100)</f>
        <v>13457.633762606267</v>
      </c>
      <c r="CT36" s="12">
        <f>CS36*(1 + Tickets!BI$267/100)</f>
        <v>13457.633762606267</v>
      </c>
      <c r="CU36" s="12">
        <f>CT36*(1 + Tickets!BJ$267/100)</f>
        <v>13457.633762606267</v>
      </c>
      <c r="CV36" s="12">
        <f>CU36*(1 + Tickets!BK$267/100)</f>
        <v>13457.633762606267</v>
      </c>
    </row>
    <row r="37" spans="1:100" s="12" customFormat="1">
      <c r="A37" s="12">
        <v>2010</v>
      </c>
      <c r="B37" s="12">
        <f>1520/7419</f>
        <v>0.2048793637956598</v>
      </c>
      <c r="E37" s="12">
        <v>2014</v>
      </c>
      <c r="F37" s="12">
        <f>1818/8669</f>
        <v>0.20971276963894336</v>
      </c>
      <c r="I37" s="12">
        <v>2010</v>
      </c>
      <c r="J37" s="12">
        <f>75780/85881</f>
        <v>0.88238376357983717</v>
      </c>
      <c r="L37" s="12">
        <v>2014</v>
      </c>
      <c r="M37" s="12">
        <f>87404/96037</f>
        <v>0.91010756271020543</v>
      </c>
      <c r="W37" s="12" t="s">
        <v>233</v>
      </c>
      <c r="Z37" s="12">
        <f>Z23*$H$32</f>
        <v>5672123.5199999996</v>
      </c>
      <c r="AA37" s="12">
        <f t="shared" ref="AA37:AE37" si="17">AA23*$H$32</f>
        <v>6147711.3599999994</v>
      </c>
    </row>
    <row r="38" spans="1:100" s="12" customFormat="1">
      <c r="A38" s="12">
        <v>2011</v>
      </c>
      <c r="B38" s="12">
        <f>1576/7599</f>
        <v>0.20739570996183709</v>
      </c>
      <c r="I38" s="12">
        <v>2011</v>
      </c>
      <c r="J38" s="12">
        <f>79541/87140</f>
        <v>0.91279550149185218</v>
      </c>
      <c r="W38" s="12" t="s">
        <v>234</v>
      </c>
      <c r="Z38" s="12">
        <f>Z24*$H$33</f>
        <v>1291852.8</v>
      </c>
      <c r="AA38" s="12">
        <f t="shared" ref="AA38:AE38" si="18">AA24*$H$33</f>
        <v>1352359.8</v>
      </c>
    </row>
    <row r="39" spans="1:100">
      <c r="A39" s="12">
        <v>2012</v>
      </c>
      <c r="B39" s="12">
        <f>1637/7745</f>
        <v>0.21136216914138153</v>
      </c>
      <c r="C39" s="12"/>
      <c r="D39" s="12"/>
      <c r="E39" s="12"/>
      <c r="F39" s="12"/>
      <c r="G39" s="12"/>
      <c r="H39" s="12"/>
      <c r="I39" s="12">
        <v>2012</v>
      </c>
      <c r="J39" s="12">
        <f>81883/89628</f>
        <v>0.91358727183469457</v>
      </c>
      <c r="K39" s="12"/>
      <c r="L39" s="12"/>
      <c r="M39" s="12"/>
    </row>
    <row r="42" spans="1:100">
      <c r="A42" t="s">
        <v>92</v>
      </c>
      <c r="AJ42" s="19" t="s">
        <v>146</v>
      </c>
      <c r="AK42" s="19"/>
      <c r="AL42" s="19"/>
      <c r="AM42" s="19"/>
      <c r="AN42" s="19"/>
      <c r="AO42" s="19"/>
      <c r="AP42" s="19"/>
    </row>
    <row r="43" spans="1:100">
      <c r="A43" s="8">
        <v>0.91600000000000004</v>
      </c>
      <c r="B43" s="12"/>
      <c r="W43" t="s">
        <v>94</v>
      </c>
      <c r="Z43">
        <f>SUM(Z28:Z38)/60</f>
        <v>1994722.7641666664</v>
      </c>
      <c r="AA43" s="12">
        <f t="shared" ref="AA43:AD43" si="19">SUM(AA28:AA38)/60</f>
        <v>2103099.9545</v>
      </c>
      <c r="AB43" s="12"/>
      <c r="AC43" s="12"/>
      <c r="AD43" s="12"/>
      <c r="AE43" s="12"/>
    </row>
    <row r="44" spans="1:100" ht="38.25">
      <c r="A44" t="s">
        <v>73</v>
      </c>
      <c r="C44">
        <v>2010</v>
      </c>
      <c r="J44" s="9" t="s">
        <v>62</v>
      </c>
      <c r="K44" s="9" t="s">
        <v>63</v>
      </c>
      <c r="L44" s="10" t="s">
        <v>64</v>
      </c>
      <c r="M44" s="11" t="s">
        <v>65</v>
      </c>
      <c r="N44" s="11" t="s">
        <v>66</v>
      </c>
      <c r="O44" s="11" t="s">
        <v>67</v>
      </c>
      <c r="P44" s="11" t="s">
        <v>68</v>
      </c>
      <c r="Q44" s="11" t="s">
        <v>69</v>
      </c>
      <c r="R44" s="11" t="s">
        <v>80</v>
      </c>
      <c r="S44" s="11" t="s">
        <v>70</v>
      </c>
      <c r="T44" s="11" t="s">
        <v>81</v>
      </c>
      <c r="AJ44" t="s">
        <v>89</v>
      </c>
    </row>
    <row r="45" spans="1:100">
      <c r="A45" s="12" t="s">
        <v>230</v>
      </c>
      <c r="J45" s="13">
        <v>771515</v>
      </c>
      <c r="K45" s="13">
        <v>2489787</v>
      </c>
      <c r="L45" s="13">
        <v>488867</v>
      </c>
      <c r="M45" s="13">
        <v>3750169</v>
      </c>
      <c r="N45" s="14">
        <v>771515</v>
      </c>
      <c r="O45" s="14">
        <v>2489787</v>
      </c>
      <c r="P45" s="14">
        <v>488867</v>
      </c>
      <c r="Q45" s="14">
        <v>3750169</v>
      </c>
      <c r="R45" s="14">
        <v>7500338</v>
      </c>
      <c r="S45" s="14">
        <v>7163284</v>
      </c>
      <c r="T45" s="14">
        <v>296544</v>
      </c>
      <c r="W45" s="12" t="s">
        <v>96</v>
      </c>
      <c r="X45" s="12"/>
      <c r="Y45" s="12"/>
      <c r="Z45" s="12"/>
      <c r="AA45" s="12"/>
      <c r="AB45" s="12"/>
      <c r="AC45" s="12"/>
      <c r="AD45" s="12"/>
      <c r="AE45" s="12"/>
      <c r="AH45" s="12"/>
      <c r="AI45" s="12"/>
      <c r="AJ45" s="12" t="s">
        <v>230</v>
      </c>
      <c r="AN45">
        <f>AN4*$AE$3/100 + AN16*$AC$3/100 + AN28*$AD$3/100</f>
        <v>244805.87676851271</v>
      </c>
      <c r="AO45" s="12">
        <f t="shared" ref="AO45" si="20">AO4*$AE$3/100 + AO16*$AC$3/100 + AO28*$AD$3/100</f>
        <v>250343.38570101652</v>
      </c>
      <c r="AP45" s="12">
        <f t="shared" ref="AP45:CV45" si="21">AP4*$AE$3/100 + AP16*$AC$3/100 + AP28*$AD$3/100</f>
        <v>253044.59083273049</v>
      </c>
      <c r="AQ45" s="12">
        <f t="shared" si="21"/>
        <v>257407.07957868671</v>
      </c>
      <c r="AR45" s="12">
        <f t="shared" si="21"/>
        <v>263070.03532941779</v>
      </c>
      <c r="AS45" s="12">
        <f t="shared" si="21"/>
        <v>267279.15589468856</v>
      </c>
      <c r="AT45" s="12">
        <f t="shared" si="21"/>
        <v>272357.45985668758</v>
      </c>
      <c r="AU45" s="12">
        <f t="shared" si="21"/>
        <v>277532.25159396464</v>
      </c>
      <c r="AV45" s="12">
        <f t="shared" si="21"/>
        <v>283082.89662584395</v>
      </c>
      <c r="AW45" s="12">
        <f t="shared" si="21"/>
        <v>288886.09600667376</v>
      </c>
      <c r="AX45" s="12">
        <f t="shared" si="21"/>
        <v>294952.70402281382</v>
      </c>
      <c r="AY45" s="12">
        <f t="shared" si="21"/>
        <v>301294.18715930433</v>
      </c>
      <c r="AZ45" s="12">
        <f t="shared" si="21"/>
        <v>307922.65927680902</v>
      </c>
      <c r="BA45" s="12">
        <f t="shared" si="21"/>
        <v>314696.9577808989</v>
      </c>
      <c r="BB45" s="12">
        <f t="shared" si="21"/>
        <v>321620.29085207864</v>
      </c>
      <c r="BC45" s="12">
        <f t="shared" si="21"/>
        <v>328695.93725082441</v>
      </c>
      <c r="BD45" s="12">
        <f t="shared" si="21"/>
        <v>335927.24787034257</v>
      </c>
      <c r="BE45" s="12">
        <f t="shared" si="21"/>
        <v>343317.64732349006</v>
      </c>
      <c r="BF45" s="12">
        <f t="shared" si="21"/>
        <v>350870.63556460687</v>
      </c>
      <c r="BG45" s="12">
        <f t="shared" si="21"/>
        <v>358589.78954702825</v>
      </c>
      <c r="BH45" s="12">
        <f t="shared" si="21"/>
        <v>358589.78954702825</v>
      </c>
      <c r="BI45" s="12">
        <f t="shared" si="21"/>
        <v>358589.78954702825</v>
      </c>
      <c r="BJ45" s="12">
        <f t="shared" si="21"/>
        <v>358589.78954702825</v>
      </c>
      <c r="BK45" s="12">
        <f t="shared" si="21"/>
        <v>358589.78954702825</v>
      </c>
      <c r="BL45" s="12">
        <f t="shared" si="21"/>
        <v>358589.78954702825</v>
      </c>
      <c r="BM45" s="12">
        <f t="shared" si="21"/>
        <v>358589.78954702825</v>
      </c>
      <c r="BN45" s="12">
        <f t="shared" si="21"/>
        <v>358589.78954702825</v>
      </c>
      <c r="BO45" s="12">
        <f t="shared" si="21"/>
        <v>358589.78954702825</v>
      </c>
      <c r="BP45" s="12">
        <f t="shared" si="21"/>
        <v>358589.78954702825</v>
      </c>
      <c r="BQ45" s="12">
        <f t="shared" si="21"/>
        <v>358589.78954702825</v>
      </c>
      <c r="BR45" s="12">
        <f t="shared" si="21"/>
        <v>358589.78954702825</v>
      </c>
      <c r="BS45" s="12">
        <f t="shared" si="21"/>
        <v>358589.78954702825</v>
      </c>
      <c r="BT45" s="12">
        <f t="shared" si="21"/>
        <v>358589.78954702825</v>
      </c>
      <c r="BU45" s="12">
        <f t="shared" si="21"/>
        <v>358589.78954702825</v>
      </c>
      <c r="BV45" s="12">
        <f t="shared" si="21"/>
        <v>358589.78954702825</v>
      </c>
      <c r="BW45" s="12">
        <f t="shared" si="21"/>
        <v>358589.78954702825</v>
      </c>
      <c r="BX45" s="12">
        <f t="shared" si="21"/>
        <v>358589.78954702825</v>
      </c>
      <c r="BY45" s="12">
        <f t="shared" si="21"/>
        <v>358589.78954702825</v>
      </c>
      <c r="BZ45" s="12">
        <f t="shared" si="21"/>
        <v>358589.78954702825</v>
      </c>
      <c r="CA45" s="12">
        <f t="shared" si="21"/>
        <v>358589.78954702825</v>
      </c>
      <c r="CB45" s="12">
        <f t="shared" si="21"/>
        <v>358589.78954702825</v>
      </c>
      <c r="CC45" s="12">
        <f t="shared" si="21"/>
        <v>358589.78954702825</v>
      </c>
      <c r="CD45" s="12">
        <f t="shared" si="21"/>
        <v>358589.78954702825</v>
      </c>
      <c r="CE45" s="12">
        <f t="shared" si="21"/>
        <v>358589.78954702825</v>
      </c>
      <c r="CF45" s="12">
        <f t="shared" si="21"/>
        <v>358589.78954702825</v>
      </c>
      <c r="CG45" s="12">
        <f t="shared" si="21"/>
        <v>358589.78954702825</v>
      </c>
      <c r="CH45" s="12">
        <f t="shared" si="21"/>
        <v>358589.78954702825</v>
      </c>
      <c r="CI45" s="12">
        <f t="shared" si="21"/>
        <v>358589.78954702825</v>
      </c>
      <c r="CJ45" s="12">
        <f t="shared" si="21"/>
        <v>358589.78954702825</v>
      </c>
      <c r="CK45" s="12">
        <f t="shared" si="21"/>
        <v>358589.78954702825</v>
      </c>
      <c r="CL45" s="12">
        <f t="shared" si="21"/>
        <v>358589.78954702825</v>
      </c>
      <c r="CM45" s="12">
        <f t="shared" si="21"/>
        <v>358589.78954702825</v>
      </c>
      <c r="CN45" s="12">
        <f t="shared" si="21"/>
        <v>358589.78954702825</v>
      </c>
      <c r="CO45" s="12">
        <f t="shared" si="21"/>
        <v>358589.78954702825</v>
      </c>
      <c r="CP45" s="12">
        <f t="shared" si="21"/>
        <v>358589.78954702825</v>
      </c>
      <c r="CQ45" s="12">
        <f t="shared" si="21"/>
        <v>358589.78954702825</v>
      </c>
      <c r="CR45" s="12">
        <f t="shared" si="21"/>
        <v>358589.78954702825</v>
      </c>
      <c r="CS45" s="12">
        <f t="shared" si="21"/>
        <v>358589.78954702825</v>
      </c>
      <c r="CT45" s="12">
        <f t="shared" si="21"/>
        <v>358589.78954702825</v>
      </c>
      <c r="CU45" s="12">
        <f t="shared" si="21"/>
        <v>358589.78954702825</v>
      </c>
      <c r="CV45" s="12">
        <f t="shared" si="21"/>
        <v>358589.78954702825</v>
      </c>
    </row>
    <row r="46" spans="1:100">
      <c r="A46" s="12" t="s">
        <v>231</v>
      </c>
      <c r="J46" s="13">
        <v>41940</v>
      </c>
      <c r="K46" s="13">
        <v>55553</v>
      </c>
      <c r="L46" s="13">
        <v>24498</v>
      </c>
      <c r="M46" s="13">
        <v>121991</v>
      </c>
      <c r="N46" s="14">
        <v>41940</v>
      </c>
      <c r="O46" s="14">
        <v>55553</v>
      </c>
      <c r="P46" s="14">
        <v>24498</v>
      </c>
      <c r="Q46" s="14">
        <v>121991</v>
      </c>
      <c r="R46" s="14">
        <v>243982</v>
      </c>
      <c r="S46" s="14">
        <v>228252</v>
      </c>
      <c r="T46" s="14">
        <v>207</v>
      </c>
      <c r="W46" s="12"/>
      <c r="X46" s="12"/>
      <c r="Y46" s="12"/>
      <c r="Z46" s="12">
        <v>2009</v>
      </c>
      <c r="AA46" s="12">
        <v>2010</v>
      </c>
      <c r="AB46" s="12"/>
      <c r="AC46" s="12"/>
      <c r="AD46" s="12"/>
      <c r="AE46" s="12"/>
      <c r="AH46" s="12"/>
      <c r="AI46" s="12"/>
      <c r="AJ46" s="12" t="s">
        <v>231</v>
      </c>
      <c r="AN46" s="12">
        <f>AN5*$AE$3/100 + AN17*$AC$3/100 + AN29*$AD$3/100</f>
        <v>0</v>
      </c>
      <c r="AO46" s="12">
        <f t="shared" ref="AO46:CV46" si="22">AO5*$AE$3/100 + AO17*$AC$3/100 + AO29*$AD$3/100</f>
        <v>0</v>
      </c>
      <c r="AP46" s="12">
        <f t="shared" si="22"/>
        <v>0</v>
      </c>
      <c r="AQ46" s="12">
        <f t="shared" si="22"/>
        <v>0</v>
      </c>
      <c r="AR46" s="12">
        <f t="shared" si="22"/>
        <v>0</v>
      </c>
      <c r="AS46" s="12">
        <f t="shared" si="22"/>
        <v>0</v>
      </c>
      <c r="AT46" s="12">
        <f t="shared" si="22"/>
        <v>0</v>
      </c>
      <c r="AU46" s="12">
        <f t="shared" si="22"/>
        <v>0</v>
      </c>
      <c r="AV46" s="12">
        <f t="shared" si="22"/>
        <v>0</v>
      </c>
      <c r="AW46" s="12">
        <f t="shared" si="22"/>
        <v>0</v>
      </c>
      <c r="AX46" s="12">
        <f t="shared" si="22"/>
        <v>0</v>
      </c>
      <c r="AY46" s="12">
        <f t="shared" si="22"/>
        <v>0</v>
      </c>
      <c r="AZ46" s="12">
        <f t="shared" si="22"/>
        <v>0</v>
      </c>
      <c r="BA46" s="12">
        <f t="shared" si="22"/>
        <v>0</v>
      </c>
      <c r="BB46" s="12">
        <f t="shared" si="22"/>
        <v>0</v>
      </c>
      <c r="BC46" s="12">
        <f t="shared" si="22"/>
        <v>0</v>
      </c>
      <c r="BD46" s="12">
        <f t="shared" si="22"/>
        <v>0</v>
      </c>
      <c r="BE46" s="12">
        <f t="shared" si="22"/>
        <v>0</v>
      </c>
      <c r="BF46" s="12">
        <f t="shared" si="22"/>
        <v>0</v>
      </c>
      <c r="BG46" s="12">
        <f t="shared" si="22"/>
        <v>0</v>
      </c>
      <c r="BH46" s="12">
        <f t="shared" si="22"/>
        <v>0</v>
      </c>
      <c r="BI46" s="12">
        <f t="shared" si="22"/>
        <v>0</v>
      </c>
      <c r="BJ46" s="12">
        <f t="shared" si="22"/>
        <v>0</v>
      </c>
      <c r="BK46" s="12">
        <f t="shared" si="22"/>
        <v>0</v>
      </c>
      <c r="BL46" s="12">
        <f t="shared" si="22"/>
        <v>0</v>
      </c>
      <c r="BM46" s="12">
        <f t="shared" si="22"/>
        <v>0</v>
      </c>
      <c r="BN46" s="12">
        <f t="shared" si="22"/>
        <v>0</v>
      </c>
      <c r="BO46" s="12">
        <f t="shared" si="22"/>
        <v>0</v>
      </c>
      <c r="BP46" s="12">
        <f t="shared" si="22"/>
        <v>0</v>
      </c>
      <c r="BQ46" s="12">
        <f t="shared" si="22"/>
        <v>0</v>
      </c>
      <c r="BR46" s="12">
        <f t="shared" si="22"/>
        <v>0</v>
      </c>
      <c r="BS46" s="12">
        <f t="shared" si="22"/>
        <v>0</v>
      </c>
      <c r="BT46" s="12">
        <f t="shared" si="22"/>
        <v>0</v>
      </c>
      <c r="BU46" s="12">
        <f t="shared" si="22"/>
        <v>0</v>
      </c>
      <c r="BV46" s="12">
        <f t="shared" si="22"/>
        <v>0</v>
      </c>
      <c r="BW46" s="12">
        <f t="shared" si="22"/>
        <v>0</v>
      </c>
      <c r="BX46" s="12">
        <f t="shared" si="22"/>
        <v>0</v>
      </c>
      <c r="BY46" s="12">
        <f t="shared" si="22"/>
        <v>0</v>
      </c>
      <c r="BZ46" s="12">
        <f t="shared" si="22"/>
        <v>0</v>
      </c>
      <c r="CA46" s="12">
        <f t="shared" si="22"/>
        <v>0</v>
      </c>
      <c r="CB46" s="12">
        <f t="shared" si="22"/>
        <v>0</v>
      </c>
      <c r="CC46" s="12">
        <f t="shared" si="22"/>
        <v>0</v>
      </c>
      <c r="CD46" s="12">
        <f t="shared" si="22"/>
        <v>0</v>
      </c>
      <c r="CE46" s="12">
        <f t="shared" si="22"/>
        <v>0</v>
      </c>
      <c r="CF46" s="12">
        <f t="shared" si="22"/>
        <v>0</v>
      </c>
      <c r="CG46" s="12">
        <f t="shared" si="22"/>
        <v>0</v>
      </c>
      <c r="CH46" s="12">
        <f t="shared" si="22"/>
        <v>0</v>
      </c>
      <c r="CI46" s="12">
        <f t="shared" si="22"/>
        <v>0</v>
      </c>
      <c r="CJ46" s="12">
        <f t="shared" si="22"/>
        <v>0</v>
      </c>
      <c r="CK46" s="12">
        <f t="shared" si="22"/>
        <v>0</v>
      </c>
      <c r="CL46" s="12">
        <f t="shared" si="22"/>
        <v>0</v>
      </c>
      <c r="CM46" s="12">
        <f t="shared" si="22"/>
        <v>0</v>
      </c>
      <c r="CN46" s="12">
        <f t="shared" si="22"/>
        <v>0</v>
      </c>
      <c r="CO46" s="12">
        <f t="shared" si="22"/>
        <v>0</v>
      </c>
      <c r="CP46" s="12">
        <f t="shared" si="22"/>
        <v>0</v>
      </c>
      <c r="CQ46" s="12">
        <f t="shared" si="22"/>
        <v>0</v>
      </c>
      <c r="CR46" s="12">
        <f t="shared" si="22"/>
        <v>0</v>
      </c>
      <c r="CS46" s="12">
        <f t="shared" si="22"/>
        <v>0</v>
      </c>
      <c r="CT46" s="12">
        <f t="shared" si="22"/>
        <v>0</v>
      </c>
      <c r="CU46" s="12">
        <f t="shared" si="22"/>
        <v>0</v>
      </c>
      <c r="CV46" s="12">
        <f t="shared" si="22"/>
        <v>0</v>
      </c>
    </row>
    <row r="47" spans="1:100">
      <c r="A47" s="12" t="s">
        <v>232</v>
      </c>
      <c r="J47" s="13">
        <v>38669</v>
      </c>
      <c r="K47" s="13">
        <v>53450</v>
      </c>
      <c r="L47" s="13">
        <v>14996</v>
      </c>
      <c r="M47" s="13">
        <v>107115</v>
      </c>
      <c r="N47" s="14">
        <v>38669</v>
      </c>
      <c r="O47" s="14">
        <v>53450</v>
      </c>
      <c r="P47" s="14">
        <v>14996</v>
      </c>
      <c r="Q47" s="14">
        <v>107115</v>
      </c>
      <c r="R47" s="14">
        <v>214230</v>
      </c>
      <c r="S47" s="14">
        <v>192380</v>
      </c>
      <c r="T47" s="14">
        <v>544</v>
      </c>
      <c r="U47" s="12"/>
      <c r="V47" s="12"/>
      <c r="W47" s="12" t="s">
        <v>230</v>
      </c>
      <c r="X47" s="12"/>
      <c r="Y47" s="12"/>
      <c r="Z47" s="12">
        <f>L16+P16+(L16/M16*T16)</f>
        <v>116515.20504727161</v>
      </c>
      <c r="AA47" s="12">
        <f>(L45+P45)*S30+(L45/M45*T45*S30)</f>
        <v>121966.92936325804</v>
      </c>
      <c r="AB47" s="12"/>
      <c r="AC47" s="12"/>
      <c r="AD47" s="12"/>
      <c r="AE47" s="12"/>
      <c r="AH47" s="12"/>
      <c r="AI47" s="12"/>
      <c r="AJ47" s="12" t="s">
        <v>232</v>
      </c>
      <c r="AN47" s="12">
        <f>AN6*$AE$3/100 + AN18*$AC$3/100 + AN30*$AD$3/100</f>
        <v>10506.774767893799</v>
      </c>
      <c r="AO47" s="12">
        <f>AO6*$AE$3/100 + AO18*$AC$3/100 + AO30*$AD$3/100</f>
        <v>10744.438013143557</v>
      </c>
      <c r="AP47" s="12">
        <f>AP6*$AE$3/100 + AP18*$AC$3/100 + AP30*$AD$3/100</f>
        <v>10860.370499305378</v>
      </c>
      <c r="AQ47" s="12">
        <f>AQ6*$AE$3/100 + AQ18*$AC$3/100 + AQ30*$AD$3/100</f>
        <v>11047.603286713404</v>
      </c>
      <c r="AR47" s="12">
        <f t="shared" ref="AR47:CV47" si="23">AR6*$AE$3/100 + AR18*$AC$3/100 + AR30*$AD$3/100</f>
        <v>11290.650559021098</v>
      </c>
      <c r="AS47" s="12">
        <f t="shared" si="23"/>
        <v>11471.300967965435</v>
      </c>
      <c r="AT47" s="12">
        <f t="shared" si="23"/>
        <v>11689.255686356779</v>
      </c>
      <c r="AU47" s="12">
        <f t="shared" si="23"/>
        <v>11911.351544397556</v>
      </c>
      <c r="AV47" s="12">
        <f t="shared" si="23"/>
        <v>12149.578575285506</v>
      </c>
      <c r="AW47" s="12">
        <f t="shared" si="23"/>
        <v>12398.644936078857</v>
      </c>
      <c r="AX47" s="12">
        <f t="shared" si="23"/>
        <v>12659.016479736514</v>
      </c>
      <c r="AY47" s="12">
        <f t="shared" si="23"/>
        <v>12931.18533405085</v>
      </c>
      <c r="AZ47" s="12">
        <f t="shared" si="23"/>
        <v>13215.67141139997</v>
      </c>
      <c r="BA47" s="12">
        <f t="shared" si="23"/>
        <v>13506.416182450768</v>
      </c>
      <c r="BB47" s="12">
        <f t="shared" si="23"/>
        <v>13803.557338464685</v>
      </c>
      <c r="BC47" s="12">
        <f t="shared" si="23"/>
        <v>14107.235599910908</v>
      </c>
      <c r="BD47" s="12">
        <f t="shared" si="23"/>
        <v>14417.594783108951</v>
      </c>
      <c r="BE47" s="12">
        <f t="shared" si="23"/>
        <v>14734.781868337348</v>
      </c>
      <c r="BF47" s="12">
        <f t="shared" si="23"/>
        <v>15058.94706944077</v>
      </c>
      <c r="BG47" s="12">
        <f t="shared" si="23"/>
        <v>15390.243904968465</v>
      </c>
      <c r="BH47" s="12">
        <f t="shared" si="23"/>
        <v>15390.243904968465</v>
      </c>
      <c r="BI47" s="12">
        <f t="shared" si="23"/>
        <v>15390.243904968465</v>
      </c>
      <c r="BJ47" s="12">
        <f t="shared" si="23"/>
        <v>15390.243904968465</v>
      </c>
      <c r="BK47" s="12">
        <f t="shared" si="23"/>
        <v>15390.243904968465</v>
      </c>
      <c r="BL47" s="12">
        <f t="shared" si="23"/>
        <v>15390.243904968465</v>
      </c>
      <c r="BM47" s="12">
        <f t="shared" si="23"/>
        <v>15390.243904968465</v>
      </c>
      <c r="BN47" s="12">
        <f t="shared" si="23"/>
        <v>15390.243904968465</v>
      </c>
      <c r="BO47" s="12">
        <f t="shared" si="23"/>
        <v>15390.243904968465</v>
      </c>
      <c r="BP47" s="12">
        <f t="shared" si="23"/>
        <v>15390.243904968465</v>
      </c>
      <c r="BQ47" s="12">
        <f t="shared" si="23"/>
        <v>15390.243904968465</v>
      </c>
      <c r="BR47" s="12">
        <f t="shared" si="23"/>
        <v>15390.243904968465</v>
      </c>
      <c r="BS47" s="12">
        <f t="shared" si="23"/>
        <v>15390.243904968465</v>
      </c>
      <c r="BT47" s="12">
        <f t="shared" si="23"/>
        <v>15390.243904968465</v>
      </c>
      <c r="BU47" s="12">
        <f t="shared" si="23"/>
        <v>15390.243904968465</v>
      </c>
      <c r="BV47" s="12">
        <f t="shared" si="23"/>
        <v>15390.243904968465</v>
      </c>
      <c r="BW47" s="12">
        <f t="shared" si="23"/>
        <v>15390.243904968465</v>
      </c>
      <c r="BX47" s="12">
        <f t="shared" si="23"/>
        <v>15390.243904968465</v>
      </c>
      <c r="BY47" s="12">
        <f t="shared" si="23"/>
        <v>15390.243904968465</v>
      </c>
      <c r="BZ47" s="12">
        <f t="shared" si="23"/>
        <v>15390.243904968465</v>
      </c>
      <c r="CA47" s="12">
        <f t="shared" si="23"/>
        <v>15390.243904968465</v>
      </c>
      <c r="CB47" s="12">
        <f t="shared" si="23"/>
        <v>15390.243904968465</v>
      </c>
      <c r="CC47" s="12">
        <f t="shared" si="23"/>
        <v>15390.243904968465</v>
      </c>
      <c r="CD47" s="12">
        <f t="shared" si="23"/>
        <v>15390.243904968465</v>
      </c>
      <c r="CE47" s="12">
        <f t="shared" si="23"/>
        <v>15390.243904968465</v>
      </c>
      <c r="CF47" s="12">
        <f t="shared" si="23"/>
        <v>15390.243904968465</v>
      </c>
      <c r="CG47" s="12">
        <f t="shared" si="23"/>
        <v>15390.243904968465</v>
      </c>
      <c r="CH47" s="12">
        <f t="shared" si="23"/>
        <v>15390.243904968465</v>
      </c>
      <c r="CI47" s="12">
        <f t="shared" si="23"/>
        <v>15390.243904968465</v>
      </c>
      <c r="CJ47" s="12">
        <f t="shared" si="23"/>
        <v>15390.243904968465</v>
      </c>
      <c r="CK47" s="12">
        <f t="shared" si="23"/>
        <v>15390.243904968465</v>
      </c>
      <c r="CL47" s="12">
        <f t="shared" si="23"/>
        <v>15390.243904968465</v>
      </c>
      <c r="CM47" s="12">
        <f t="shared" si="23"/>
        <v>15390.243904968465</v>
      </c>
      <c r="CN47" s="12">
        <f t="shared" si="23"/>
        <v>15390.243904968465</v>
      </c>
      <c r="CO47" s="12">
        <f t="shared" si="23"/>
        <v>15390.243904968465</v>
      </c>
      <c r="CP47" s="12">
        <f t="shared" si="23"/>
        <v>15390.243904968465</v>
      </c>
      <c r="CQ47" s="12">
        <f t="shared" si="23"/>
        <v>15390.243904968465</v>
      </c>
      <c r="CR47" s="12">
        <f t="shared" si="23"/>
        <v>15390.243904968465</v>
      </c>
      <c r="CS47" s="12">
        <f t="shared" si="23"/>
        <v>15390.243904968465</v>
      </c>
      <c r="CT47" s="12">
        <f t="shared" si="23"/>
        <v>15390.243904968465</v>
      </c>
      <c r="CU47" s="12">
        <f t="shared" si="23"/>
        <v>15390.243904968465</v>
      </c>
      <c r="CV47" s="12">
        <f t="shared" si="23"/>
        <v>15390.243904968465</v>
      </c>
    </row>
    <row r="48" spans="1:100">
      <c r="A48" s="12" t="s">
        <v>233</v>
      </c>
      <c r="J48" s="13">
        <v>13095</v>
      </c>
      <c r="K48" s="13">
        <v>194873</v>
      </c>
      <c r="L48" s="13">
        <v>19316</v>
      </c>
      <c r="M48" s="13">
        <v>227284</v>
      </c>
      <c r="N48" s="14">
        <v>13095</v>
      </c>
      <c r="O48" s="14">
        <v>194873</v>
      </c>
      <c r="P48" s="14">
        <v>19316</v>
      </c>
      <c r="Q48" s="14">
        <v>227284</v>
      </c>
      <c r="R48" s="14">
        <v>454568</v>
      </c>
      <c r="S48" s="14">
        <v>419454</v>
      </c>
      <c r="T48" s="14">
        <v>2851</v>
      </c>
      <c r="U48" s="12"/>
      <c r="V48" s="12"/>
      <c r="W48" s="12" t="s">
        <v>231</v>
      </c>
      <c r="X48" s="12"/>
      <c r="Y48" s="12"/>
      <c r="Z48" s="12">
        <f>L17+P17+(L17*T17)</f>
        <v>0</v>
      </c>
      <c r="AA48" s="12">
        <f>(L46+P46)*S31+(L46/M46*T46*S31)</f>
        <v>0</v>
      </c>
      <c r="AB48" s="12"/>
      <c r="AC48" s="12"/>
      <c r="AD48" s="12"/>
      <c r="AE48" s="12"/>
      <c r="AH48" s="12"/>
      <c r="AI48" s="12"/>
      <c r="AJ48" s="12" t="s">
        <v>233</v>
      </c>
      <c r="AN48" s="12">
        <f>AN7*$AE$3/100 + AN19*$AC$3/100 + AN31*$AD$3/100</f>
        <v>27122.84774279972</v>
      </c>
      <c r="AO48" s="12">
        <f>AO7*$AE$3/100 + AO19*$AC$3/100 + AO31*$AD$3/100</f>
        <v>27736.366558741851</v>
      </c>
      <c r="AP48" s="12">
        <f t="shared" ref="AP48:CV49" si="24">AP7*$AE$3/100 + AP19*$AC$3/100 + AP31*$AD$3/100</f>
        <v>28035.641953910676</v>
      </c>
      <c r="AQ48" s="12">
        <f t="shared" si="24"/>
        <v>28518.976421196097</v>
      </c>
      <c r="AR48" s="12">
        <f t="shared" si="24"/>
        <v>29146.393902462412</v>
      </c>
      <c r="AS48" s="12">
        <f t="shared" si="24"/>
        <v>29612.736204901812</v>
      </c>
      <c r="AT48" s="12">
        <f t="shared" si="24"/>
        <v>30175.378192794942</v>
      </c>
      <c r="AU48" s="12">
        <f t="shared" si="24"/>
        <v>30748.710378458043</v>
      </c>
      <c r="AV48" s="12">
        <f t="shared" si="24"/>
        <v>31363.684586027208</v>
      </c>
      <c r="AW48" s="12">
        <f t="shared" si="24"/>
        <v>32006.640120040764</v>
      </c>
      <c r="AX48" s="12">
        <f t="shared" si="24"/>
        <v>32678.77956256162</v>
      </c>
      <c r="AY48" s="12">
        <f t="shared" si="24"/>
        <v>33381.373323156695</v>
      </c>
      <c r="AZ48" s="12">
        <f t="shared" si="24"/>
        <v>34115.763536266139</v>
      </c>
      <c r="BA48" s="12">
        <f t="shared" si="24"/>
        <v>34866.310334063994</v>
      </c>
      <c r="BB48" s="12">
        <f t="shared" si="24"/>
        <v>35633.369161413408</v>
      </c>
      <c r="BC48" s="12">
        <f t="shared" si="24"/>
        <v>36417.303282964502</v>
      </c>
      <c r="BD48" s="12">
        <f t="shared" si="24"/>
        <v>37218.483955189724</v>
      </c>
      <c r="BE48" s="12">
        <f t="shared" si="24"/>
        <v>38037.290602203895</v>
      </c>
      <c r="BF48" s="12">
        <f t="shared" si="24"/>
        <v>38874.110995452385</v>
      </c>
      <c r="BG48" s="12">
        <f t="shared" si="24"/>
        <v>39729.341437352341</v>
      </c>
      <c r="BH48" s="12">
        <f t="shared" si="24"/>
        <v>39729.341437352341</v>
      </c>
      <c r="BI48" s="12">
        <f t="shared" si="24"/>
        <v>39729.341437352341</v>
      </c>
      <c r="BJ48" s="12">
        <f t="shared" si="24"/>
        <v>39729.341437352341</v>
      </c>
      <c r="BK48" s="12">
        <f t="shared" si="24"/>
        <v>39729.341437352341</v>
      </c>
      <c r="BL48" s="12">
        <f t="shared" si="24"/>
        <v>39729.341437352341</v>
      </c>
      <c r="BM48" s="12">
        <f t="shared" si="24"/>
        <v>39729.341437352341</v>
      </c>
      <c r="BN48" s="12">
        <f t="shared" si="24"/>
        <v>39729.341437352341</v>
      </c>
      <c r="BO48" s="12">
        <f t="shared" si="24"/>
        <v>39729.341437352341</v>
      </c>
      <c r="BP48" s="12">
        <f t="shared" si="24"/>
        <v>39729.341437352341</v>
      </c>
      <c r="BQ48" s="12">
        <f t="shared" si="24"/>
        <v>39729.341437352341</v>
      </c>
      <c r="BR48" s="12">
        <f t="shared" si="24"/>
        <v>39729.341437352341</v>
      </c>
      <c r="BS48" s="12">
        <f t="shared" si="24"/>
        <v>39729.341437352341</v>
      </c>
      <c r="BT48" s="12">
        <f t="shared" si="24"/>
        <v>39729.341437352341</v>
      </c>
      <c r="BU48" s="12">
        <f t="shared" si="24"/>
        <v>39729.341437352341</v>
      </c>
      <c r="BV48" s="12">
        <f t="shared" si="24"/>
        <v>39729.341437352341</v>
      </c>
      <c r="BW48" s="12">
        <f t="shared" si="24"/>
        <v>39729.341437352341</v>
      </c>
      <c r="BX48" s="12">
        <f t="shared" si="24"/>
        <v>39729.341437352341</v>
      </c>
      <c r="BY48" s="12">
        <f t="shared" si="24"/>
        <v>39729.341437352341</v>
      </c>
      <c r="BZ48" s="12">
        <f t="shared" si="24"/>
        <v>39729.341437352341</v>
      </c>
      <c r="CA48" s="12">
        <f t="shared" si="24"/>
        <v>39729.341437352341</v>
      </c>
      <c r="CB48" s="12">
        <f t="shared" si="24"/>
        <v>39729.341437352341</v>
      </c>
      <c r="CC48" s="12">
        <f t="shared" si="24"/>
        <v>39729.341437352341</v>
      </c>
      <c r="CD48" s="12">
        <f t="shared" si="24"/>
        <v>39729.341437352341</v>
      </c>
      <c r="CE48" s="12">
        <f t="shared" si="24"/>
        <v>39729.341437352341</v>
      </c>
      <c r="CF48" s="12">
        <f t="shared" si="24"/>
        <v>39729.341437352341</v>
      </c>
      <c r="CG48" s="12">
        <f t="shared" si="24"/>
        <v>39729.341437352341</v>
      </c>
      <c r="CH48" s="12">
        <f t="shared" si="24"/>
        <v>39729.341437352341</v>
      </c>
      <c r="CI48" s="12">
        <f t="shared" si="24"/>
        <v>39729.341437352341</v>
      </c>
      <c r="CJ48" s="12">
        <f t="shared" si="24"/>
        <v>39729.341437352341</v>
      </c>
      <c r="CK48" s="12">
        <f t="shared" si="24"/>
        <v>39729.341437352341</v>
      </c>
      <c r="CL48" s="12">
        <f t="shared" si="24"/>
        <v>39729.341437352341</v>
      </c>
      <c r="CM48" s="12">
        <f t="shared" si="24"/>
        <v>39729.341437352341</v>
      </c>
      <c r="CN48" s="12">
        <f t="shared" si="24"/>
        <v>39729.341437352341</v>
      </c>
      <c r="CO48" s="12">
        <f t="shared" si="24"/>
        <v>39729.341437352341</v>
      </c>
      <c r="CP48" s="12">
        <f t="shared" si="24"/>
        <v>39729.341437352341</v>
      </c>
      <c r="CQ48" s="12">
        <f t="shared" si="24"/>
        <v>39729.341437352341</v>
      </c>
      <c r="CR48" s="12">
        <f t="shared" si="24"/>
        <v>39729.341437352341</v>
      </c>
      <c r="CS48" s="12">
        <f t="shared" si="24"/>
        <v>39729.341437352341</v>
      </c>
      <c r="CT48" s="12">
        <f t="shared" si="24"/>
        <v>39729.341437352341</v>
      </c>
      <c r="CU48" s="12">
        <f t="shared" si="24"/>
        <v>39729.341437352341</v>
      </c>
      <c r="CV48" s="12">
        <f t="shared" si="24"/>
        <v>39729.341437352341</v>
      </c>
    </row>
    <row r="49" spans="1:100" s="12" customFormat="1">
      <c r="A49" s="12" t="s">
        <v>234</v>
      </c>
      <c r="J49" s="13">
        <v>11832</v>
      </c>
      <c r="K49" s="13">
        <v>91874</v>
      </c>
      <c r="L49" s="13">
        <v>63252</v>
      </c>
      <c r="M49" s="13">
        <v>166958</v>
      </c>
      <c r="N49" s="14">
        <v>11832</v>
      </c>
      <c r="O49" s="14">
        <v>91874</v>
      </c>
      <c r="P49" s="14">
        <v>63252</v>
      </c>
      <c r="Q49" s="14">
        <v>166958</v>
      </c>
      <c r="R49" s="14">
        <v>333916</v>
      </c>
      <c r="S49" s="14">
        <v>318976</v>
      </c>
      <c r="T49" s="14">
        <v>0</v>
      </c>
      <c r="W49" s="12" t="s">
        <v>232</v>
      </c>
      <c r="Z49" s="12">
        <f t="shared" ref="Z49:Z51" si="25">L18+P18+(L18/M18*T18)</f>
        <v>4619.2386318744157</v>
      </c>
      <c r="AA49" s="12">
        <f t="shared" ref="AA49:AA51" si="26">(L47+P47)*S32+(L47/M47*T47*S32)</f>
        <v>4510.2239238201937</v>
      </c>
      <c r="AJ49" s="12" t="s">
        <v>234</v>
      </c>
      <c r="AN49" s="12">
        <f t="shared" ref="AN49:BC53" si="27">AN8*$AE$3/100 + AN20*$AC$3/100 + AN32*$AD$3/100</f>
        <v>117453.50751449328</v>
      </c>
      <c r="AO49" s="12">
        <f t="shared" si="27"/>
        <v>120110.30585447114</v>
      </c>
      <c r="AP49" s="12">
        <f t="shared" si="27"/>
        <v>121406.29605464087</v>
      </c>
      <c r="AQ49" s="12">
        <f t="shared" si="27"/>
        <v>123499.34059862289</v>
      </c>
      <c r="AR49" s="12">
        <f t="shared" si="27"/>
        <v>126216.32609179258</v>
      </c>
      <c r="AS49" s="12">
        <f t="shared" si="27"/>
        <v>128235.78730926124</v>
      </c>
      <c r="AT49" s="12">
        <f t="shared" si="27"/>
        <v>130672.26726813722</v>
      </c>
      <c r="AU49" s="12">
        <f t="shared" si="27"/>
        <v>133155.04034623178</v>
      </c>
      <c r="AV49" s="12">
        <f t="shared" si="27"/>
        <v>135818.14115315644</v>
      </c>
      <c r="AW49" s="12">
        <f t="shared" si="27"/>
        <v>138602.41304679614</v>
      </c>
      <c r="AX49" s="12">
        <f t="shared" si="27"/>
        <v>141513.06372077885</v>
      </c>
      <c r="AY49" s="12">
        <f t="shared" si="27"/>
        <v>144555.59459077561</v>
      </c>
      <c r="AZ49" s="12">
        <f t="shared" si="27"/>
        <v>147735.81767177267</v>
      </c>
      <c r="BA49" s="12">
        <f t="shared" si="27"/>
        <v>150986.00566055166</v>
      </c>
      <c r="BB49" s="12">
        <f t="shared" si="27"/>
        <v>154307.69778508382</v>
      </c>
      <c r="BC49" s="12">
        <f t="shared" si="27"/>
        <v>157702.46713635561</v>
      </c>
      <c r="BD49" s="12">
        <f t="shared" si="24"/>
        <v>161171.92141335548</v>
      </c>
      <c r="BE49" s="12">
        <f t="shared" si="24"/>
        <v>164717.70368444928</v>
      </c>
      <c r="BF49" s="12">
        <f t="shared" si="24"/>
        <v>168341.49316550716</v>
      </c>
      <c r="BG49" s="12">
        <f t="shared" si="24"/>
        <v>172045.00601514833</v>
      </c>
      <c r="BH49" s="12">
        <f t="shared" si="24"/>
        <v>172045.00601514833</v>
      </c>
      <c r="BI49" s="12">
        <f t="shared" si="24"/>
        <v>172045.00601514833</v>
      </c>
      <c r="BJ49" s="12">
        <f t="shared" si="24"/>
        <v>172045.00601514833</v>
      </c>
      <c r="BK49" s="12">
        <f t="shared" si="24"/>
        <v>172045.00601514833</v>
      </c>
      <c r="BL49" s="12">
        <f t="shared" si="24"/>
        <v>172045.00601514833</v>
      </c>
      <c r="BM49" s="12">
        <f t="shared" si="24"/>
        <v>172045.00601514833</v>
      </c>
      <c r="BN49" s="12">
        <f t="shared" si="24"/>
        <v>172045.00601514833</v>
      </c>
      <c r="BO49" s="12">
        <f t="shared" si="24"/>
        <v>172045.00601514833</v>
      </c>
      <c r="BP49" s="12">
        <f t="shared" si="24"/>
        <v>172045.00601514833</v>
      </c>
      <c r="BQ49" s="12">
        <f t="shared" si="24"/>
        <v>172045.00601514833</v>
      </c>
      <c r="BR49" s="12">
        <f t="shared" si="24"/>
        <v>172045.00601514833</v>
      </c>
      <c r="BS49" s="12">
        <f t="shared" si="24"/>
        <v>172045.00601514833</v>
      </c>
      <c r="BT49" s="12">
        <f t="shared" si="24"/>
        <v>172045.00601514833</v>
      </c>
      <c r="BU49" s="12">
        <f t="shared" si="24"/>
        <v>172045.00601514833</v>
      </c>
      <c r="BV49" s="12">
        <f t="shared" si="24"/>
        <v>172045.00601514833</v>
      </c>
      <c r="BW49" s="12">
        <f t="shared" si="24"/>
        <v>172045.00601514833</v>
      </c>
      <c r="BX49" s="12">
        <f t="shared" si="24"/>
        <v>172045.00601514833</v>
      </c>
      <c r="BY49" s="12">
        <f t="shared" si="24"/>
        <v>172045.00601514833</v>
      </c>
      <c r="BZ49" s="12">
        <f t="shared" si="24"/>
        <v>172045.00601514833</v>
      </c>
      <c r="CA49" s="12">
        <f t="shared" si="24"/>
        <v>172045.00601514833</v>
      </c>
      <c r="CB49" s="12">
        <f t="shared" si="24"/>
        <v>172045.00601514833</v>
      </c>
      <c r="CC49" s="12">
        <f t="shared" si="24"/>
        <v>172045.00601514833</v>
      </c>
      <c r="CD49" s="12">
        <f t="shared" si="24"/>
        <v>172045.00601514833</v>
      </c>
      <c r="CE49" s="12">
        <f t="shared" si="24"/>
        <v>172045.00601514833</v>
      </c>
      <c r="CF49" s="12">
        <f t="shared" si="24"/>
        <v>172045.00601514833</v>
      </c>
      <c r="CG49" s="12">
        <f t="shared" si="24"/>
        <v>172045.00601514833</v>
      </c>
      <c r="CH49" s="12">
        <f t="shared" si="24"/>
        <v>172045.00601514833</v>
      </c>
      <c r="CI49" s="12">
        <f t="shared" si="24"/>
        <v>172045.00601514833</v>
      </c>
      <c r="CJ49" s="12">
        <f t="shared" si="24"/>
        <v>172045.00601514833</v>
      </c>
      <c r="CK49" s="12">
        <f t="shared" si="24"/>
        <v>172045.00601514833</v>
      </c>
      <c r="CL49" s="12">
        <f t="shared" si="24"/>
        <v>172045.00601514833</v>
      </c>
      <c r="CM49" s="12">
        <f t="shared" si="24"/>
        <v>172045.00601514833</v>
      </c>
      <c r="CN49" s="12">
        <f t="shared" si="24"/>
        <v>172045.00601514833</v>
      </c>
      <c r="CO49" s="12">
        <f t="shared" si="24"/>
        <v>172045.00601514833</v>
      </c>
      <c r="CP49" s="12">
        <f t="shared" si="24"/>
        <v>172045.00601514833</v>
      </c>
      <c r="CQ49" s="12">
        <f t="shared" si="24"/>
        <v>172045.00601514833</v>
      </c>
      <c r="CR49" s="12">
        <f t="shared" si="24"/>
        <v>172045.00601514833</v>
      </c>
      <c r="CS49" s="12">
        <f t="shared" si="24"/>
        <v>172045.00601514833</v>
      </c>
      <c r="CT49" s="12">
        <f t="shared" si="24"/>
        <v>172045.00601514833</v>
      </c>
      <c r="CU49" s="12">
        <f t="shared" si="24"/>
        <v>172045.00601514833</v>
      </c>
      <c r="CV49" s="12">
        <f t="shared" si="24"/>
        <v>172045.00601514833</v>
      </c>
    </row>
    <row r="50" spans="1:100" s="12" customFormat="1">
      <c r="J50" s="13"/>
      <c r="K50" s="13"/>
      <c r="L50" s="13"/>
      <c r="M50" s="13"/>
      <c r="N50" s="14"/>
      <c r="O50" s="14"/>
      <c r="P50" s="14"/>
      <c r="Q50" s="14"/>
      <c r="R50" s="14"/>
      <c r="S50" s="14"/>
      <c r="T50" s="14"/>
      <c r="W50" s="12" t="s">
        <v>233</v>
      </c>
      <c r="Z50" s="12">
        <f t="shared" si="25"/>
        <v>10716.688575147691</v>
      </c>
      <c r="AA50" s="12">
        <f t="shared" si="26"/>
        <v>13606.003464388165</v>
      </c>
      <c r="AH50" s="12" t="s">
        <v>265</v>
      </c>
      <c r="AJ50" s="12" t="s">
        <v>231</v>
      </c>
      <c r="AN50" s="12">
        <f t="shared" si="27"/>
        <v>77118.495403798792</v>
      </c>
      <c r="AO50" s="12">
        <f t="shared" ref="AO50:CV51" si="28">AO9*$AE$3/100 + AO21*$AC$3/100 + AO33*$AD$3/100</f>
        <v>78862.915769832733</v>
      </c>
      <c r="AP50" s="12">
        <f t="shared" si="28"/>
        <v>79713.846630989225</v>
      </c>
      <c r="AQ50" s="12">
        <f t="shared" si="28"/>
        <v>81088.11334690747</v>
      </c>
      <c r="AR50" s="12">
        <f t="shared" si="28"/>
        <v>82872.05184053944</v>
      </c>
      <c r="AS50" s="12">
        <f t="shared" si="28"/>
        <v>84198.004669988062</v>
      </c>
      <c r="AT50" s="12">
        <f t="shared" si="28"/>
        <v>85797.766758717829</v>
      </c>
      <c r="AU50" s="12">
        <f t="shared" si="28"/>
        <v>87427.924327133471</v>
      </c>
      <c r="AV50" s="12">
        <f t="shared" si="28"/>
        <v>89176.48281367615</v>
      </c>
      <c r="AW50" s="12">
        <f t="shared" si="28"/>
        <v>91004.600711356499</v>
      </c>
      <c r="AX50" s="12">
        <f t="shared" si="28"/>
        <v>92915.697326294961</v>
      </c>
      <c r="AY50" s="12">
        <f t="shared" si="28"/>
        <v>94913.384818810315</v>
      </c>
      <c r="AZ50" s="12">
        <f t="shared" si="28"/>
        <v>97001.479284824149</v>
      </c>
      <c r="BA50" s="12">
        <f t="shared" si="28"/>
        <v>99135.511829090276</v>
      </c>
      <c r="BB50" s="12">
        <f t="shared" si="28"/>
        <v>101316.49308933027</v>
      </c>
      <c r="BC50" s="12">
        <f t="shared" si="28"/>
        <v>103545.45593729551</v>
      </c>
      <c r="BD50" s="12">
        <f t="shared" si="28"/>
        <v>105823.45596791603</v>
      </c>
      <c r="BE50" s="12">
        <f t="shared" si="28"/>
        <v>108151.57199921018</v>
      </c>
      <c r="BF50" s="12">
        <f t="shared" si="28"/>
        <v>110530.90658319282</v>
      </c>
      <c r="BG50" s="12">
        <f t="shared" si="28"/>
        <v>112962.58652802306</v>
      </c>
      <c r="BH50" s="12">
        <f t="shared" si="28"/>
        <v>112962.58652802306</v>
      </c>
      <c r="BI50" s="12">
        <f t="shared" si="28"/>
        <v>112962.58652802306</v>
      </c>
      <c r="BJ50" s="12">
        <f t="shared" si="28"/>
        <v>112962.58652802306</v>
      </c>
      <c r="BK50" s="12">
        <f t="shared" si="28"/>
        <v>112962.58652802306</v>
      </c>
      <c r="BL50" s="12">
        <f t="shared" si="28"/>
        <v>112962.58652802306</v>
      </c>
      <c r="BM50" s="12">
        <f t="shared" si="28"/>
        <v>112962.58652802306</v>
      </c>
      <c r="BN50" s="12">
        <f t="shared" si="28"/>
        <v>112962.58652802306</v>
      </c>
      <c r="BO50" s="12">
        <f t="shared" si="28"/>
        <v>112962.58652802306</v>
      </c>
      <c r="BP50" s="12">
        <f t="shared" si="28"/>
        <v>112962.58652802306</v>
      </c>
      <c r="BQ50" s="12">
        <f t="shared" si="28"/>
        <v>112962.58652802306</v>
      </c>
      <c r="BR50" s="12">
        <f t="shared" si="28"/>
        <v>112962.58652802306</v>
      </c>
      <c r="BS50" s="12">
        <f t="shared" si="28"/>
        <v>112962.58652802306</v>
      </c>
      <c r="BT50" s="12">
        <f t="shared" si="28"/>
        <v>112962.58652802306</v>
      </c>
      <c r="BU50" s="12">
        <f t="shared" si="28"/>
        <v>112962.58652802306</v>
      </c>
      <c r="BV50" s="12">
        <f t="shared" si="28"/>
        <v>112962.58652802306</v>
      </c>
      <c r="BW50" s="12">
        <f t="shared" si="28"/>
        <v>112962.58652802306</v>
      </c>
      <c r="BX50" s="12">
        <f t="shared" si="28"/>
        <v>112962.58652802306</v>
      </c>
      <c r="BY50" s="12">
        <f t="shared" si="28"/>
        <v>112962.58652802306</v>
      </c>
      <c r="BZ50" s="12">
        <f t="shared" si="28"/>
        <v>112962.58652802306</v>
      </c>
      <c r="CA50" s="12">
        <f t="shared" si="28"/>
        <v>112962.58652802306</v>
      </c>
      <c r="CB50" s="12">
        <f t="shared" si="28"/>
        <v>112962.58652802306</v>
      </c>
      <c r="CC50" s="12">
        <f t="shared" si="28"/>
        <v>112962.58652802306</v>
      </c>
      <c r="CD50" s="12">
        <f t="shared" si="28"/>
        <v>112962.58652802306</v>
      </c>
      <c r="CE50" s="12">
        <f t="shared" si="28"/>
        <v>112962.58652802306</v>
      </c>
      <c r="CF50" s="12">
        <f t="shared" si="28"/>
        <v>112962.58652802306</v>
      </c>
      <c r="CG50" s="12">
        <f t="shared" si="28"/>
        <v>112962.58652802306</v>
      </c>
      <c r="CH50" s="12">
        <f t="shared" si="28"/>
        <v>112962.58652802306</v>
      </c>
      <c r="CI50" s="12">
        <f t="shared" si="28"/>
        <v>112962.58652802306</v>
      </c>
      <c r="CJ50" s="12">
        <f t="shared" si="28"/>
        <v>112962.58652802306</v>
      </c>
      <c r="CK50" s="12">
        <f t="shared" si="28"/>
        <v>112962.58652802306</v>
      </c>
      <c r="CL50" s="12">
        <f t="shared" si="28"/>
        <v>112962.58652802306</v>
      </c>
      <c r="CM50" s="12">
        <f t="shared" si="28"/>
        <v>112962.58652802306</v>
      </c>
      <c r="CN50" s="12">
        <f t="shared" si="28"/>
        <v>112962.58652802306</v>
      </c>
      <c r="CO50" s="12">
        <f t="shared" si="28"/>
        <v>112962.58652802306</v>
      </c>
      <c r="CP50" s="12">
        <f t="shared" si="28"/>
        <v>112962.58652802306</v>
      </c>
      <c r="CQ50" s="12">
        <f t="shared" si="28"/>
        <v>112962.58652802306</v>
      </c>
      <c r="CR50" s="12">
        <f t="shared" si="28"/>
        <v>112962.58652802306</v>
      </c>
      <c r="CS50" s="12">
        <f t="shared" si="28"/>
        <v>112962.58652802306</v>
      </c>
      <c r="CT50" s="12">
        <f t="shared" si="28"/>
        <v>112962.58652802306</v>
      </c>
      <c r="CU50" s="12">
        <f t="shared" si="28"/>
        <v>112962.58652802306</v>
      </c>
      <c r="CV50" s="12">
        <f t="shared" si="28"/>
        <v>112962.58652802306</v>
      </c>
    </row>
    <row r="51" spans="1:100" s="12" customFormat="1">
      <c r="J51" s="13"/>
      <c r="K51" s="13"/>
      <c r="L51" s="13"/>
      <c r="M51" s="13"/>
      <c r="N51" s="14"/>
      <c r="O51" s="14"/>
      <c r="P51" s="14"/>
      <c r="Q51" s="14"/>
      <c r="R51" s="14"/>
      <c r="S51" s="14"/>
      <c r="T51" s="14"/>
      <c r="W51" s="12" t="s">
        <v>234</v>
      </c>
      <c r="Z51" s="12">
        <f t="shared" si="25"/>
        <v>103217.14</v>
      </c>
      <c r="AA51" s="12">
        <f t="shared" si="26"/>
        <v>104998.31999999999</v>
      </c>
      <c r="AJ51" s="12" t="s">
        <v>232</v>
      </c>
      <c r="AN51" s="12">
        <f t="shared" si="27"/>
        <v>30819.872652488481</v>
      </c>
      <c r="AO51" s="12">
        <f t="shared" si="28"/>
        <v>31517.018171887772</v>
      </c>
      <c r="AP51" s="12">
        <f t="shared" si="28"/>
        <v>31857.086797962442</v>
      </c>
      <c r="AQ51" s="12">
        <f t="shared" si="28"/>
        <v>32406.302974359318</v>
      </c>
      <c r="AR51" s="12">
        <f t="shared" si="28"/>
        <v>33119.241639795218</v>
      </c>
      <c r="AS51" s="12">
        <f t="shared" si="28"/>
        <v>33649.149506031936</v>
      </c>
      <c r="AT51" s="12">
        <f t="shared" si="28"/>
        <v>34288.483346646542</v>
      </c>
      <c r="AU51" s="12">
        <f t="shared" si="28"/>
        <v>34939.964530232821</v>
      </c>
      <c r="AV51" s="12">
        <f t="shared" si="28"/>
        <v>35638.763820837477</v>
      </c>
      <c r="AW51" s="12">
        <f t="shared" si="28"/>
        <v>36369.358479164643</v>
      </c>
      <c r="AX51" s="12">
        <f t="shared" si="28"/>
        <v>37133.115007227098</v>
      </c>
      <c r="AY51" s="12">
        <f t="shared" si="28"/>
        <v>37931.476979882485</v>
      </c>
      <c r="AZ51" s="12">
        <f t="shared" si="28"/>
        <v>38765.969473439902</v>
      </c>
      <c r="BA51" s="12">
        <f t="shared" si="28"/>
        <v>39618.820801855574</v>
      </c>
      <c r="BB51" s="12">
        <f t="shared" si="28"/>
        <v>40490.43485949641</v>
      </c>
      <c r="BC51" s="12">
        <f t="shared" si="28"/>
        <v>41381.22442640533</v>
      </c>
      <c r="BD51" s="12">
        <f t="shared" si="28"/>
        <v>42291.611363786244</v>
      </c>
      <c r="BE51" s="12">
        <f t="shared" si="28"/>
        <v>43222.026813789547</v>
      </c>
      <c r="BF51" s="12">
        <f t="shared" si="28"/>
        <v>44172.91140369291</v>
      </c>
      <c r="BG51" s="12">
        <f t="shared" si="28"/>
        <v>45144.715454574158</v>
      </c>
      <c r="BH51" s="12">
        <f t="shared" si="28"/>
        <v>45144.715454574158</v>
      </c>
      <c r="BI51" s="12">
        <f t="shared" si="28"/>
        <v>45144.715454574158</v>
      </c>
      <c r="BJ51" s="12">
        <f t="shared" si="28"/>
        <v>45144.715454574158</v>
      </c>
      <c r="BK51" s="12">
        <f t="shared" si="28"/>
        <v>45144.715454574158</v>
      </c>
      <c r="BL51" s="12">
        <f t="shared" si="28"/>
        <v>45144.715454574158</v>
      </c>
      <c r="BM51" s="12">
        <f t="shared" si="28"/>
        <v>45144.715454574158</v>
      </c>
      <c r="BN51" s="12">
        <f t="shared" si="28"/>
        <v>45144.715454574158</v>
      </c>
      <c r="BO51" s="12">
        <f t="shared" si="28"/>
        <v>45144.715454574158</v>
      </c>
      <c r="BP51" s="12">
        <f t="shared" si="28"/>
        <v>45144.715454574158</v>
      </c>
      <c r="BQ51" s="12">
        <f t="shared" si="28"/>
        <v>45144.715454574158</v>
      </c>
      <c r="BR51" s="12">
        <f t="shared" si="28"/>
        <v>45144.715454574158</v>
      </c>
      <c r="BS51" s="12">
        <f t="shared" si="28"/>
        <v>45144.715454574158</v>
      </c>
      <c r="BT51" s="12">
        <f t="shared" si="28"/>
        <v>45144.715454574158</v>
      </c>
      <c r="BU51" s="12">
        <f t="shared" si="28"/>
        <v>45144.715454574158</v>
      </c>
      <c r="BV51" s="12">
        <f t="shared" si="28"/>
        <v>45144.715454574158</v>
      </c>
      <c r="BW51" s="12">
        <f t="shared" si="28"/>
        <v>45144.715454574158</v>
      </c>
      <c r="BX51" s="12">
        <f t="shared" si="28"/>
        <v>45144.715454574158</v>
      </c>
      <c r="BY51" s="12">
        <f t="shared" si="28"/>
        <v>45144.715454574158</v>
      </c>
      <c r="BZ51" s="12">
        <f t="shared" si="28"/>
        <v>45144.715454574158</v>
      </c>
      <c r="CA51" s="12">
        <f t="shared" si="28"/>
        <v>45144.715454574158</v>
      </c>
      <c r="CB51" s="12">
        <f t="shared" si="28"/>
        <v>45144.715454574158</v>
      </c>
      <c r="CC51" s="12">
        <f t="shared" si="28"/>
        <v>45144.715454574158</v>
      </c>
      <c r="CD51" s="12">
        <f t="shared" si="28"/>
        <v>45144.715454574158</v>
      </c>
      <c r="CE51" s="12">
        <f t="shared" si="28"/>
        <v>45144.715454574158</v>
      </c>
      <c r="CF51" s="12">
        <f t="shared" si="28"/>
        <v>45144.715454574158</v>
      </c>
      <c r="CG51" s="12">
        <f t="shared" si="28"/>
        <v>45144.715454574158</v>
      </c>
      <c r="CH51" s="12">
        <f t="shared" si="28"/>
        <v>45144.715454574158</v>
      </c>
      <c r="CI51" s="12">
        <f t="shared" si="28"/>
        <v>45144.715454574158</v>
      </c>
      <c r="CJ51" s="12">
        <f t="shared" si="28"/>
        <v>45144.715454574158</v>
      </c>
      <c r="CK51" s="12">
        <f t="shared" si="28"/>
        <v>45144.715454574158</v>
      </c>
      <c r="CL51" s="12">
        <f t="shared" si="28"/>
        <v>45144.715454574158</v>
      </c>
      <c r="CM51" s="12">
        <f t="shared" si="28"/>
        <v>45144.715454574158</v>
      </c>
      <c r="CN51" s="12">
        <f t="shared" si="28"/>
        <v>45144.715454574158</v>
      </c>
      <c r="CO51" s="12">
        <f t="shared" si="28"/>
        <v>45144.715454574158</v>
      </c>
      <c r="CP51" s="12">
        <f t="shared" si="28"/>
        <v>45144.715454574158</v>
      </c>
      <c r="CQ51" s="12">
        <f t="shared" si="28"/>
        <v>45144.715454574158</v>
      </c>
      <c r="CR51" s="12">
        <f t="shared" si="28"/>
        <v>45144.715454574158</v>
      </c>
      <c r="CS51" s="12">
        <f t="shared" si="28"/>
        <v>45144.715454574158</v>
      </c>
      <c r="CT51" s="12">
        <f t="shared" si="28"/>
        <v>45144.715454574158</v>
      </c>
      <c r="CU51" s="12">
        <f t="shared" si="28"/>
        <v>45144.715454574158</v>
      </c>
      <c r="CV51" s="12">
        <f t="shared" si="28"/>
        <v>45144.715454574158</v>
      </c>
    </row>
    <row r="52" spans="1:100">
      <c r="A52" s="12"/>
      <c r="J52" s="13"/>
      <c r="K52" s="13"/>
      <c r="L52" s="13"/>
      <c r="M52" s="13"/>
      <c r="N52" s="14"/>
      <c r="O52" s="14"/>
      <c r="P52" s="14"/>
      <c r="Q52" s="14"/>
      <c r="R52" s="14"/>
      <c r="S52" s="14"/>
      <c r="T52" s="14"/>
      <c r="U52" s="12" t="s">
        <v>265</v>
      </c>
      <c r="V52" s="12"/>
      <c r="W52" s="12" t="s">
        <v>231</v>
      </c>
      <c r="X52" s="12"/>
      <c r="Y52" s="12"/>
      <c r="Z52" s="12">
        <f>(L3+P3)*Q31 +L3/M3*T3*Q31</f>
        <v>43363.840351453655</v>
      </c>
      <c r="AA52" s="12">
        <f>(L46+P46)*Q31+(L46/M46*T46*Q31)</f>
        <v>41681.933943487631</v>
      </c>
      <c r="AB52" s="12"/>
      <c r="AC52" s="12"/>
      <c r="AD52" s="12"/>
      <c r="AE52" s="12"/>
      <c r="AH52" s="12"/>
      <c r="AI52" s="12"/>
      <c r="AJ52" s="12" t="s">
        <v>233</v>
      </c>
      <c r="AN52" s="12">
        <f t="shared" si="27"/>
        <v>18598.524166491236</v>
      </c>
      <c r="AO52" s="12">
        <f>AO11*$AE$3/100 + AO23*$AC$3/100 + AO35*$AD$3/100</f>
        <v>19019.222783137269</v>
      </c>
      <c r="AP52" s="12">
        <f t="shared" ref="AP52:CV53" si="29">AP11*$AE$3/100 + AP23*$AC$3/100 + AP35*$AD$3/100</f>
        <v>19224.440196967324</v>
      </c>
      <c r="AQ52" s="12">
        <f t="shared" si="29"/>
        <v>19555.86954596304</v>
      </c>
      <c r="AR52" s="12">
        <f t="shared" si="29"/>
        <v>19986.098675974223</v>
      </c>
      <c r="AS52" s="12">
        <f t="shared" si="29"/>
        <v>20305.876254789811</v>
      </c>
      <c r="AT52" s="12">
        <f t="shared" si="29"/>
        <v>20691.687903630816</v>
      </c>
      <c r="AU52" s="12">
        <f t="shared" si="29"/>
        <v>21084.829973799799</v>
      </c>
      <c r="AV52" s="12">
        <f t="shared" si="29"/>
        <v>21506.526573275798</v>
      </c>
      <c r="AW52" s="12">
        <f t="shared" si="29"/>
        <v>21947.410368027951</v>
      </c>
      <c r="AX52" s="12">
        <f t="shared" si="29"/>
        <v>22408.305985756531</v>
      </c>
      <c r="AY52" s="12">
        <f t="shared" si="29"/>
        <v>22890.084564450299</v>
      </c>
      <c r="AZ52" s="12">
        <f t="shared" si="29"/>
        <v>23393.666424868206</v>
      </c>
      <c r="BA52" s="12">
        <f t="shared" si="29"/>
        <v>23908.327086215308</v>
      </c>
      <c r="BB52" s="12">
        <f t="shared" si="29"/>
        <v>24434.310282112045</v>
      </c>
      <c r="BC52" s="12">
        <f t="shared" si="29"/>
        <v>24971.86510831851</v>
      </c>
      <c r="BD52" s="12">
        <f t="shared" si="29"/>
        <v>25521.246140701522</v>
      </c>
      <c r="BE52" s="12">
        <f t="shared" si="29"/>
        <v>26082.713555796956</v>
      </c>
      <c r="BF52" s="12">
        <f t="shared" si="29"/>
        <v>26656.533254024489</v>
      </c>
      <c r="BG52" s="12">
        <f t="shared" si="29"/>
        <v>27242.97698561303</v>
      </c>
      <c r="BH52" s="12">
        <f t="shared" si="29"/>
        <v>27242.97698561303</v>
      </c>
      <c r="BI52" s="12">
        <f t="shared" si="29"/>
        <v>27242.97698561303</v>
      </c>
      <c r="BJ52" s="12">
        <f t="shared" si="29"/>
        <v>27242.97698561303</v>
      </c>
      <c r="BK52" s="12">
        <f t="shared" si="29"/>
        <v>27242.97698561303</v>
      </c>
      <c r="BL52" s="12">
        <f t="shared" si="29"/>
        <v>27242.97698561303</v>
      </c>
      <c r="BM52" s="12">
        <f t="shared" si="29"/>
        <v>27242.97698561303</v>
      </c>
      <c r="BN52" s="12">
        <f t="shared" si="29"/>
        <v>27242.97698561303</v>
      </c>
      <c r="BO52" s="12">
        <f t="shared" si="29"/>
        <v>27242.97698561303</v>
      </c>
      <c r="BP52" s="12">
        <f t="shared" si="29"/>
        <v>27242.97698561303</v>
      </c>
      <c r="BQ52" s="12">
        <f t="shared" si="29"/>
        <v>27242.97698561303</v>
      </c>
      <c r="BR52" s="12">
        <f t="shared" si="29"/>
        <v>27242.97698561303</v>
      </c>
      <c r="BS52" s="12">
        <f t="shared" si="29"/>
        <v>27242.97698561303</v>
      </c>
      <c r="BT52" s="12">
        <f t="shared" si="29"/>
        <v>27242.97698561303</v>
      </c>
      <c r="BU52" s="12">
        <f t="shared" si="29"/>
        <v>27242.97698561303</v>
      </c>
      <c r="BV52" s="12">
        <f t="shared" si="29"/>
        <v>27242.97698561303</v>
      </c>
      <c r="BW52" s="12">
        <f t="shared" si="29"/>
        <v>27242.97698561303</v>
      </c>
      <c r="BX52" s="12">
        <f t="shared" si="29"/>
        <v>27242.97698561303</v>
      </c>
      <c r="BY52" s="12">
        <f t="shared" si="29"/>
        <v>27242.97698561303</v>
      </c>
      <c r="BZ52" s="12">
        <f t="shared" si="29"/>
        <v>27242.97698561303</v>
      </c>
      <c r="CA52" s="12">
        <f t="shared" si="29"/>
        <v>27242.97698561303</v>
      </c>
      <c r="CB52" s="12">
        <f t="shared" si="29"/>
        <v>27242.97698561303</v>
      </c>
      <c r="CC52" s="12">
        <f t="shared" si="29"/>
        <v>27242.97698561303</v>
      </c>
      <c r="CD52" s="12">
        <f t="shared" si="29"/>
        <v>27242.97698561303</v>
      </c>
      <c r="CE52" s="12">
        <f t="shared" si="29"/>
        <v>27242.97698561303</v>
      </c>
      <c r="CF52" s="12">
        <f t="shared" si="29"/>
        <v>27242.97698561303</v>
      </c>
      <c r="CG52" s="12">
        <f t="shared" si="29"/>
        <v>27242.97698561303</v>
      </c>
      <c r="CH52" s="12">
        <f t="shared" si="29"/>
        <v>27242.97698561303</v>
      </c>
      <c r="CI52" s="12">
        <f t="shared" si="29"/>
        <v>27242.97698561303</v>
      </c>
      <c r="CJ52" s="12">
        <f t="shared" si="29"/>
        <v>27242.97698561303</v>
      </c>
      <c r="CK52" s="12">
        <f t="shared" si="29"/>
        <v>27242.97698561303</v>
      </c>
      <c r="CL52" s="12">
        <f t="shared" si="29"/>
        <v>27242.97698561303</v>
      </c>
      <c r="CM52" s="12">
        <f t="shared" si="29"/>
        <v>27242.97698561303</v>
      </c>
      <c r="CN52" s="12">
        <f t="shared" si="29"/>
        <v>27242.97698561303</v>
      </c>
      <c r="CO52" s="12">
        <f t="shared" si="29"/>
        <v>27242.97698561303</v>
      </c>
      <c r="CP52" s="12">
        <f t="shared" si="29"/>
        <v>27242.97698561303</v>
      </c>
      <c r="CQ52" s="12">
        <f t="shared" si="29"/>
        <v>27242.97698561303</v>
      </c>
      <c r="CR52" s="12">
        <f t="shared" si="29"/>
        <v>27242.97698561303</v>
      </c>
      <c r="CS52" s="12">
        <f t="shared" si="29"/>
        <v>27242.97698561303</v>
      </c>
      <c r="CT52" s="12">
        <f t="shared" si="29"/>
        <v>27242.97698561303</v>
      </c>
      <c r="CU52" s="12">
        <f t="shared" si="29"/>
        <v>27242.97698561303</v>
      </c>
      <c r="CV52" s="12">
        <f t="shared" si="29"/>
        <v>27242.97698561303</v>
      </c>
    </row>
    <row r="53" spans="1:100">
      <c r="U53" s="12"/>
      <c r="V53" s="12"/>
      <c r="W53" s="12" t="s">
        <v>232</v>
      </c>
      <c r="X53" s="12"/>
      <c r="Y53" s="12"/>
      <c r="Z53" s="12">
        <f t="shared" ref="Z53:Z54" si="30">(L4+P4)*Q32 +L4/M4*T4*Q32</f>
        <v>13549.766653498284</v>
      </c>
      <c r="AA53" s="12">
        <f t="shared" ref="AA53:AA54" si="31">(L47+P47)*Q32+(L47/M47*T47*Q32)</f>
        <v>13229.990176539233</v>
      </c>
      <c r="AB53" s="12"/>
      <c r="AC53" s="12"/>
      <c r="AD53" s="12"/>
      <c r="AE53" s="12"/>
      <c r="AH53" s="12"/>
      <c r="AI53" s="12"/>
      <c r="AJ53" s="12" t="s">
        <v>234</v>
      </c>
      <c r="AN53" s="12">
        <f t="shared" si="27"/>
        <v>7075.5125008730911</v>
      </c>
      <c r="AO53" s="12">
        <f t="shared" si="27"/>
        <v>7235.560593642841</v>
      </c>
      <c r="AP53" s="12">
        <f t="shared" si="27"/>
        <v>7313.6322924482474</v>
      </c>
      <c r="AQ53" s="12">
        <f t="shared" si="27"/>
        <v>7439.7193131700551</v>
      </c>
      <c r="AR53" s="12">
        <f t="shared" si="27"/>
        <v>7603.3931380597969</v>
      </c>
      <c r="AS53" s="12">
        <f t="shared" si="27"/>
        <v>7725.0474282687537</v>
      </c>
      <c r="AT53" s="12">
        <f t="shared" si="27"/>
        <v>7871.8233294058591</v>
      </c>
      <c r="AU53" s="12">
        <f t="shared" si="27"/>
        <v>8021.38797266457</v>
      </c>
      <c r="AV53" s="12">
        <f t="shared" si="27"/>
        <v>8181.8157321178614</v>
      </c>
      <c r="AW53" s="12">
        <f t="shared" si="27"/>
        <v>8349.5429546262767</v>
      </c>
      <c r="AX53" s="12">
        <f t="shared" si="27"/>
        <v>8524.8833566734284</v>
      </c>
      <c r="AY53" s="12">
        <f t="shared" si="27"/>
        <v>8708.1683488419076</v>
      </c>
      <c r="AZ53" s="12">
        <f t="shared" si="27"/>
        <v>8899.7480525164301</v>
      </c>
      <c r="BA53" s="12">
        <f t="shared" si="27"/>
        <v>9095.5425096717918</v>
      </c>
      <c r="BB53" s="12">
        <f t="shared" si="27"/>
        <v>9295.6444448845705</v>
      </c>
      <c r="BC53" s="12">
        <f t="shared" si="27"/>
        <v>9500.1486226720299</v>
      </c>
      <c r="BD53" s="12">
        <f t="shared" si="29"/>
        <v>9709.1518923708154</v>
      </c>
      <c r="BE53" s="12">
        <f t="shared" si="29"/>
        <v>9922.7532340029738</v>
      </c>
      <c r="BF53" s="12">
        <f t="shared" si="29"/>
        <v>10141.053805151039</v>
      </c>
      <c r="BG53" s="12">
        <f t="shared" si="29"/>
        <v>10364.156988864363</v>
      </c>
      <c r="BH53" s="12">
        <f t="shared" si="29"/>
        <v>10364.156988864363</v>
      </c>
      <c r="BI53" s="12">
        <f t="shared" si="29"/>
        <v>10364.156988864363</v>
      </c>
      <c r="BJ53" s="12">
        <f t="shared" si="29"/>
        <v>10364.156988864363</v>
      </c>
      <c r="BK53" s="12">
        <f t="shared" si="29"/>
        <v>10364.156988864363</v>
      </c>
      <c r="BL53" s="12">
        <f t="shared" si="29"/>
        <v>10364.156988864363</v>
      </c>
      <c r="BM53" s="12">
        <f t="shared" si="29"/>
        <v>10364.156988864363</v>
      </c>
      <c r="BN53" s="12">
        <f t="shared" si="29"/>
        <v>10364.156988864363</v>
      </c>
      <c r="BO53" s="12">
        <f t="shared" si="29"/>
        <v>10364.156988864363</v>
      </c>
      <c r="BP53" s="12">
        <f t="shared" si="29"/>
        <v>10364.156988864363</v>
      </c>
      <c r="BQ53" s="12">
        <f t="shared" si="29"/>
        <v>10364.156988864363</v>
      </c>
      <c r="BR53" s="12">
        <f t="shared" si="29"/>
        <v>10364.156988864363</v>
      </c>
      <c r="BS53" s="12">
        <f t="shared" si="29"/>
        <v>10364.156988864363</v>
      </c>
      <c r="BT53" s="12">
        <f t="shared" si="29"/>
        <v>10364.156988864363</v>
      </c>
      <c r="BU53" s="12">
        <f t="shared" si="29"/>
        <v>10364.156988864363</v>
      </c>
      <c r="BV53" s="12">
        <f t="shared" si="29"/>
        <v>10364.156988864363</v>
      </c>
      <c r="BW53" s="12">
        <f t="shared" si="29"/>
        <v>10364.156988864363</v>
      </c>
      <c r="BX53" s="12">
        <f t="shared" si="29"/>
        <v>10364.156988864363</v>
      </c>
      <c r="BY53" s="12">
        <f t="shared" si="29"/>
        <v>10364.156988864363</v>
      </c>
      <c r="BZ53" s="12">
        <f t="shared" si="29"/>
        <v>10364.156988864363</v>
      </c>
      <c r="CA53" s="12">
        <f t="shared" si="29"/>
        <v>10364.156988864363</v>
      </c>
      <c r="CB53" s="12">
        <f t="shared" si="29"/>
        <v>10364.156988864363</v>
      </c>
      <c r="CC53" s="12">
        <f t="shared" si="29"/>
        <v>10364.156988864363</v>
      </c>
      <c r="CD53" s="12">
        <f t="shared" si="29"/>
        <v>10364.156988864363</v>
      </c>
      <c r="CE53" s="12">
        <f t="shared" si="29"/>
        <v>10364.156988864363</v>
      </c>
      <c r="CF53" s="12">
        <f t="shared" si="29"/>
        <v>10364.156988864363</v>
      </c>
      <c r="CG53" s="12">
        <f t="shared" si="29"/>
        <v>10364.156988864363</v>
      </c>
      <c r="CH53" s="12">
        <f t="shared" si="29"/>
        <v>10364.156988864363</v>
      </c>
      <c r="CI53" s="12">
        <f t="shared" si="29"/>
        <v>10364.156988864363</v>
      </c>
      <c r="CJ53" s="12">
        <f t="shared" si="29"/>
        <v>10364.156988864363</v>
      </c>
      <c r="CK53" s="12">
        <f t="shared" si="29"/>
        <v>10364.156988864363</v>
      </c>
      <c r="CL53" s="12">
        <f t="shared" si="29"/>
        <v>10364.156988864363</v>
      </c>
      <c r="CM53" s="12">
        <f t="shared" si="29"/>
        <v>10364.156988864363</v>
      </c>
      <c r="CN53" s="12">
        <f t="shared" si="29"/>
        <v>10364.156988864363</v>
      </c>
      <c r="CO53" s="12">
        <f t="shared" si="29"/>
        <v>10364.156988864363</v>
      </c>
      <c r="CP53" s="12">
        <f t="shared" si="29"/>
        <v>10364.156988864363</v>
      </c>
      <c r="CQ53" s="12">
        <f t="shared" si="29"/>
        <v>10364.156988864363</v>
      </c>
      <c r="CR53" s="12">
        <f t="shared" si="29"/>
        <v>10364.156988864363</v>
      </c>
      <c r="CS53" s="12">
        <f t="shared" si="29"/>
        <v>10364.156988864363</v>
      </c>
      <c r="CT53" s="12">
        <f t="shared" si="29"/>
        <v>10364.156988864363</v>
      </c>
      <c r="CU53" s="12">
        <f t="shared" si="29"/>
        <v>10364.156988864363</v>
      </c>
      <c r="CV53" s="12">
        <f t="shared" si="29"/>
        <v>10364.156988864363</v>
      </c>
    </row>
    <row r="54" spans="1:100">
      <c r="A54" s="8"/>
      <c r="B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 t="s">
        <v>233</v>
      </c>
      <c r="X54" s="12"/>
      <c r="Y54" s="12"/>
      <c r="Z54" s="12">
        <f t="shared" si="30"/>
        <v>7348.5864515298454</v>
      </c>
      <c r="AA54" s="12">
        <f t="shared" si="31"/>
        <v>9329.830947009028</v>
      </c>
      <c r="AB54" s="12"/>
      <c r="AC54" s="12"/>
      <c r="AD54" s="12"/>
      <c r="AE54" s="12"/>
    </row>
    <row r="55" spans="1:100"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 t="s">
        <v>234</v>
      </c>
      <c r="Z55">
        <f>(L6+P6)*Q34 +L6/M6*T6*Q34</f>
        <v>6217.9000000000005</v>
      </c>
      <c r="AA55">
        <f>(L49+P49)*Q34+(L49/M49*T49*Q34)</f>
        <v>6325.2000000000007</v>
      </c>
    </row>
    <row r="56" spans="1:100">
      <c r="A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AJ56" s="12" t="s">
        <v>139</v>
      </c>
    </row>
    <row r="57" spans="1:100">
      <c r="A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W57" s="12" t="s">
        <v>266</v>
      </c>
      <c r="X57" s="12"/>
      <c r="Y57" s="12"/>
      <c r="Z57" s="12"/>
      <c r="AA57" s="12"/>
      <c r="AB57" s="12"/>
      <c r="AC57" s="12"/>
      <c r="AD57" s="12"/>
      <c r="AE57" s="12"/>
      <c r="AH57" s="12"/>
      <c r="AI57" s="12"/>
      <c r="AJ57" s="12" t="s">
        <v>230</v>
      </c>
      <c r="AN57">
        <f t="shared" ref="AN57:BS57" si="32">AN4*$AE$4/100 + AN16*$AC$4/100 + AN28*$AD$4/100</f>
        <v>125586.69630802228</v>
      </c>
      <c r="AO57" s="12">
        <f t="shared" si="32"/>
        <v>128427.46737850975</v>
      </c>
      <c r="AP57" s="12">
        <f t="shared" si="32"/>
        <v>129813.19975152388</v>
      </c>
      <c r="AQ57" s="12">
        <f t="shared" si="32"/>
        <v>132051.17931524015</v>
      </c>
      <c r="AR57" s="12">
        <f t="shared" si="32"/>
        <v>134956.30526017543</v>
      </c>
      <c r="AS57" s="12">
        <f t="shared" si="32"/>
        <v>137115.60614433824</v>
      </c>
      <c r="AT57" s="12">
        <f t="shared" si="32"/>
        <v>139720.80266108064</v>
      </c>
      <c r="AU57" s="12">
        <f t="shared" si="32"/>
        <v>142375.49791164114</v>
      </c>
      <c r="AV57" s="12">
        <f t="shared" si="32"/>
        <v>145223.00786987398</v>
      </c>
      <c r="AW57" s="12">
        <f t="shared" si="32"/>
        <v>148200.0795312064</v>
      </c>
      <c r="AX57" s="12">
        <f t="shared" si="32"/>
        <v>151312.28120136174</v>
      </c>
      <c r="AY57" s="12">
        <f t="shared" si="32"/>
        <v>154565.49524719102</v>
      </c>
      <c r="AZ57" s="12">
        <f t="shared" si="32"/>
        <v>157965.93614262919</v>
      </c>
      <c r="BA57" s="12">
        <f t="shared" si="32"/>
        <v>161441.18673776707</v>
      </c>
      <c r="BB57" s="12">
        <f t="shared" si="32"/>
        <v>164992.89284599794</v>
      </c>
      <c r="BC57" s="12">
        <f t="shared" si="32"/>
        <v>168622.73648860989</v>
      </c>
      <c r="BD57" s="12">
        <f t="shared" si="32"/>
        <v>172332.43669135933</v>
      </c>
      <c r="BE57" s="12">
        <f t="shared" si="32"/>
        <v>176123.75029856927</v>
      </c>
      <c r="BF57" s="12">
        <f t="shared" si="32"/>
        <v>179998.4728051378</v>
      </c>
      <c r="BG57" s="12">
        <f t="shared" si="32"/>
        <v>183958.43920685083</v>
      </c>
      <c r="BH57" s="12">
        <f t="shared" si="32"/>
        <v>183958.43920685083</v>
      </c>
      <c r="BI57" s="12">
        <f t="shared" si="32"/>
        <v>183958.43920685083</v>
      </c>
      <c r="BJ57" s="12">
        <f t="shared" si="32"/>
        <v>183958.43920685083</v>
      </c>
      <c r="BK57" s="12">
        <f t="shared" si="32"/>
        <v>183958.43920685083</v>
      </c>
      <c r="BL57" s="12">
        <f t="shared" si="32"/>
        <v>183958.43920685083</v>
      </c>
      <c r="BM57" s="12">
        <f t="shared" si="32"/>
        <v>183958.43920685083</v>
      </c>
      <c r="BN57" s="12">
        <f t="shared" si="32"/>
        <v>183958.43920685083</v>
      </c>
      <c r="BO57" s="12">
        <f t="shared" si="32"/>
        <v>183958.43920685083</v>
      </c>
      <c r="BP57" s="12">
        <f t="shared" si="32"/>
        <v>183958.43920685083</v>
      </c>
      <c r="BQ57" s="12">
        <f t="shared" si="32"/>
        <v>183958.43920685083</v>
      </c>
      <c r="BR57" s="12">
        <f t="shared" si="32"/>
        <v>183958.43920685083</v>
      </c>
      <c r="BS57" s="12">
        <f t="shared" si="32"/>
        <v>183958.43920685083</v>
      </c>
      <c r="BT57" s="12">
        <f t="shared" ref="BT57:CV57" si="33">BT4*$AE$4/100 + BT16*$AC$4/100 + BT28*$AD$4/100</f>
        <v>183958.43920685083</v>
      </c>
      <c r="BU57" s="12">
        <f t="shared" si="33"/>
        <v>183958.43920685083</v>
      </c>
      <c r="BV57" s="12">
        <f t="shared" si="33"/>
        <v>183958.43920685083</v>
      </c>
      <c r="BW57" s="12">
        <f t="shared" si="33"/>
        <v>183958.43920685083</v>
      </c>
      <c r="BX57" s="12">
        <f t="shared" si="33"/>
        <v>183958.43920685083</v>
      </c>
      <c r="BY57" s="12">
        <f t="shared" si="33"/>
        <v>183958.43920685083</v>
      </c>
      <c r="BZ57" s="12">
        <f t="shared" si="33"/>
        <v>183958.43920685083</v>
      </c>
      <c r="CA57" s="12">
        <f t="shared" si="33"/>
        <v>183958.43920685083</v>
      </c>
      <c r="CB57" s="12">
        <f t="shared" si="33"/>
        <v>183958.43920685083</v>
      </c>
      <c r="CC57" s="12">
        <f t="shared" si="33"/>
        <v>183958.43920685083</v>
      </c>
      <c r="CD57" s="12">
        <f t="shared" si="33"/>
        <v>183958.43920685083</v>
      </c>
      <c r="CE57" s="12">
        <f t="shared" si="33"/>
        <v>183958.43920685083</v>
      </c>
      <c r="CF57" s="12">
        <f t="shared" si="33"/>
        <v>183958.43920685083</v>
      </c>
      <c r="CG57" s="12">
        <f t="shared" si="33"/>
        <v>183958.43920685083</v>
      </c>
      <c r="CH57" s="12">
        <f t="shared" si="33"/>
        <v>183958.43920685083</v>
      </c>
      <c r="CI57" s="12">
        <f t="shared" si="33"/>
        <v>183958.43920685083</v>
      </c>
      <c r="CJ57" s="12">
        <f t="shared" si="33"/>
        <v>183958.43920685083</v>
      </c>
      <c r="CK57" s="12">
        <f t="shared" si="33"/>
        <v>183958.43920685083</v>
      </c>
      <c r="CL57" s="12">
        <f t="shared" si="33"/>
        <v>183958.43920685083</v>
      </c>
      <c r="CM57" s="12">
        <f t="shared" si="33"/>
        <v>183958.43920685083</v>
      </c>
      <c r="CN57" s="12">
        <f t="shared" si="33"/>
        <v>183958.43920685083</v>
      </c>
      <c r="CO57" s="12">
        <f t="shared" si="33"/>
        <v>183958.43920685083</v>
      </c>
      <c r="CP57" s="12">
        <f t="shared" si="33"/>
        <v>183958.43920685083</v>
      </c>
      <c r="CQ57" s="12">
        <f t="shared" si="33"/>
        <v>183958.43920685083</v>
      </c>
      <c r="CR57" s="12">
        <f t="shared" si="33"/>
        <v>183958.43920685083</v>
      </c>
      <c r="CS57" s="12">
        <f t="shared" si="33"/>
        <v>183958.43920685083</v>
      </c>
      <c r="CT57" s="12">
        <f t="shared" si="33"/>
        <v>183958.43920685083</v>
      </c>
      <c r="CU57" s="12">
        <f t="shared" si="33"/>
        <v>183958.43920685083</v>
      </c>
      <c r="CV57" s="12">
        <f t="shared" si="33"/>
        <v>183958.43920685083</v>
      </c>
    </row>
    <row r="58" spans="1:100">
      <c r="A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W58" s="12"/>
      <c r="X58" s="12"/>
      <c r="Y58" s="12"/>
      <c r="Z58" s="12">
        <v>2009</v>
      </c>
      <c r="AA58" s="12">
        <v>2010</v>
      </c>
      <c r="AB58" s="12"/>
      <c r="AC58" s="12"/>
      <c r="AD58" s="12"/>
      <c r="AE58" s="12"/>
      <c r="AH58" s="12"/>
      <c r="AI58" s="12"/>
      <c r="AJ58" s="12" t="s">
        <v>231</v>
      </c>
      <c r="AN58" s="12">
        <f t="shared" ref="AN58" si="34">AN5*$AE$4/100 + AN17*$AC$4/100 + AN29*$AD$4/100</f>
        <v>0</v>
      </c>
      <c r="AO58" s="12">
        <f t="shared" ref="AO58:BS58" si="35">AO5*$AE$4/100 + AO17*$AC$4/100 + AO29*$AD$4/100</f>
        <v>0</v>
      </c>
      <c r="AP58" s="12">
        <f t="shared" si="35"/>
        <v>0</v>
      </c>
      <c r="AQ58" s="12">
        <f t="shared" si="35"/>
        <v>0</v>
      </c>
      <c r="AR58" s="12">
        <f t="shared" si="35"/>
        <v>0</v>
      </c>
      <c r="AS58" s="12">
        <f t="shared" si="35"/>
        <v>0</v>
      </c>
      <c r="AT58" s="12">
        <f t="shared" si="35"/>
        <v>0</v>
      </c>
      <c r="AU58" s="12">
        <f t="shared" si="35"/>
        <v>0</v>
      </c>
      <c r="AV58" s="12">
        <f t="shared" si="35"/>
        <v>0</v>
      </c>
      <c r="AW58" s="12">
        <f t="shared" si="35"/>
        <v>0</v>
      </c>
      <c r="AX58" s="12">
        <f t="shared" si="35"/>
        <v>0</v>
      </c>
      <c r="AY58" s="12">
        <f t="shared" si="35"/>
        <v>0</v>
      </c>
      <c r="AZ58" s="12">
        <f t="shared" si="35"/>
        <v>0</v>
      </c>
      <c r="BA58" s="12">
        <f t="shared" si="35"/>
        <v>0</v>
      </c>
      <c r="BB58" s="12">
        <f t="shared" si="35"/>
        <v>0</v>
      </c>
      <c r="BC58" s="12">
        <f t="shared" si="35"/>
        <v>0</v>
      </c>
      <c r="BD58" s="12">
        <f t="shared" si="35"/>
        <v>0</v>
      </c>
      <c r="BE58" s="12">
        <f t="shared" si="35"/>
        <v>0</v>
      </c>
      <c r="BF58" s="12">
        <f t="shared" si="35"/>
        <v>0</v>
      </c>
      <c r="BG58" s="12">
        <f t="shared" si="35"/>
        <v>0</v>
      </c>
      <c r="BH58" s="12">
        <f t="shared" si="35"/>
        <v>0</v>
      </c>
      <c r="BI58" s="12">
        <f t="shared" si="35"/>
        <v>0</v>
      </c>
      <c r="BJ58" s="12">
        <f t="shared" si="35"/>
        <v>0</v>
      </c>
      <c r="BK58" s="12">
        <f t="shared" si="35"/>
        <v>0</v>
      </c>
      <c r="BL58" s="12">
        <f t="shared" si="35"/>
        <v>0</v>
      </c>
      <c r="BM58" s="12">
        <f t="shared" si="35"/>
        <v>0</v>
      </c>
      <c r="BN58" s="12">
        <f t="shared" si="35"/>
        <v>0</v>
      </c>
      <c r="BO58" s="12">
        <f t="shared" si="35"/>
        <v>0</v>
      </c>
      <c r="BP58" s="12">
        <f t="shared" si="35"/>
        <v>0</v>
      </c>
      <c r="BQ58" s="12">
        <f t="shared" si="35"/>
        <v>0</v>
      </c>
      <c r="BR58" s="12">
        <f t="shared" si="35"/>
        <v>0</v>
      </c>
      <c r="BS58" s="12">
        <f t="shared" si="35"/>
        <v>0</v>
      </c>
      <c r="BT58" s="12">
        <f t="shared" ref="BT58:CV58" si="36">BT5*$AE$4/100 + BT17*$AC$4/100 + BT29*$AD$4/100</f>
        <v>0</v>
      </c>
      <c r="BU58" s="12">
        <f t="shared" si="36"/>
        <v>0</v>
      </c>
      <c r="BV58" s="12">
        <f t="shared" si="36"/>
        <v>0</v>
      </c>
      <c r="BW58" s="12">
        <f t="shared" si="36"/>
        <v>0</v>
      </c>
      <c r="BX58" s="12">
        <f t="shared" si="36"/>
        <v>0</v>
      </c>
      <c r="BY58" s="12">
        <f t="shared" si="36"/>
        <v>0</v>
      </c>
      <c r="BZ58" s="12">
        <f t="shared" si="36"/>
        <v>0</v>
      </c>
      <c r="CA58" s="12">
        <f t="shared" si="36"/>
        <v>0</v>
      </c>
      <c r="CB58" s="12">
        <f t="shared" si="36"/>
        <v>0</v>
      </c>
      <c r="CC58" s="12">
        <f t="shared" si="36"/>
        <v>0</v>
      </c>
      <c r="CD58" s="12">
        <f t="shared" si="36"/>
        <v>0</v>
      </c>
      <c r="CE58" s="12">
        <f t="shared" si="36"/>
        <v>0</v>
      </c>
      <c r="CF58" s="12">
        <f t="shared" si="36"/>
        <v>0</v>
      </c>
      <c r="CG58" s="12">
        <f t="shared" si="36"/>
        <v>0</v>
      </c>
      <c r="CH58" s="12">
        <f t="shared" si="36"/>
        <v>0</v>
      </c>
      <c r="CI58" s="12">
        <f t="shared" si="36"/>
        <v>0</v>
      </c>
      <c r="CJ58" s="12">
        <f t="shared" si="36"/>
        <v>0</v>
      </c>
      <c r="CK58" s="12">
        <f t="shared" si="36"/>
        <v>0</v>
      </c>
      <c r="CL58" s="12">
        <f t="shared" si="36"/>
        <v>0</v>
      </c>
      <c r="CM58" s="12">
        <f t="shared" si="36"/>
        <v>0</v>
      </c>
      <c r="CN58" s="12">
        <f t="shared" si="36"/>
        <v>0</v>
      </c>
      <c r="CO58" s="12">
        <f t="shared" si="36"/>
        <v>0</v>
      </c>
      <c r="CP58" s="12">
        <f t="shared" si="36"/>
        <v>0</v>
      </c>
      <c r="CQ58" s="12">
        <f t="shared" si="36"/>
        <v>0</v>
      </c>
      <c r="CR58" s="12">
        <f t="shared" si="36"/>
        <v>0</v>
      </c>
      <c r="CS58" s="12">
        <f t="shared" si="36"/>
        <v>0</v>
      </c>
      <c r="CT58" s="12">
        <f t="shared" si="36"/>
        <v>0</v>
      </c>
      <c r="CU58" s="12">
        <f t="shared" si="36"/>
        <v>0</v>
      </c>
      <c r="CV58" s="12">
        <f t="shared" si="36"/>
        <v>0</v>
      </c>
    </row>
    <row r="59" spans="1:100">
      <c r="A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 t="s">
        <v>230</v>
      </c>
      <c r="X59" s="12"/>
      <c r="Y59" s="12"/>
      <c r="Z59" s="12">
        <f>Z14-Z47</f>
        <v>776861.15495272842</v>
      </c>
      <c r="AA59" s="12">
        <f>AA14-AA47</f>
        <v>813658.9106367419</v>
      </c>
      <c r="AB59" s="12"/>
      <c r="AC59" s="12"/>
      <c r="AD59" s="12"/>
      <c r="AE59" s="12"/>
      <c r="AH59" s="12"/>
      <c r="AI59" s="12"/>
      <c r="AJ59" s="12" t="s">
        <v>232</v>
      </c>
      <c r="AN59" s="12">
        <f t="shared" ref="AN59" si="37">AN6*$AE$4/100 + AN18*$AC$4/100 + AN30*$AD$4/100</f>
        <v>4804.7158029242337</v>
      </c>
      <c r="AO59" s="12">
        <f t="shared" ref="AO59:BS59" si="38">AO6*$AE$4/100 + AO18*$AC$4/100 + AO30*$AD$4/100</f>
        <v>4913.3984743863803</v>
      </c>
      <c r="AP59" s="12">
        <f t="shared" si="38"/>
        <v>4966.4140439250095</v>
      </c>
      <c r="AQ59" s="12">
        <f t="shared" si="38"/>
        <v>5052.0350220422752</v>
      </c>
      <c r="AR59" s="12">
        <f t="shared" si="38"/>
        <v>5163.1797925272058</v>
      </c>
      <c r="AS59" s="12">
        <f t="shared" si="38"/>
        <v>5245.7906692076413</v>
      </c>
      <c r="AT59" s="12">
        <f t="shared" si="38"/>
        <v>5345.4606919225862</v>
      </c>
      <c r="AU59" s="12">
        <f t="shared" si="38"/>
        <v>5447.0244450691143</v>
      </c>
      <c r="AV59" s="12">
        <f t="shared" si="38"/>
        <v>5555.9649339704974</v>
      </c>
      <c r="AW59" s="12">
        <f t="shared" si="38"/>
        <v>5669.8622151168911</v>
      </c>
      <c r="AX59" s="12">
        <f t="shared" si="38"/>
        <v>5788.9293216343449</v>
      </c>
      <c r="AY59" s="12">
        <f t="shared" si="38"/>
        <v>5913.3913020494856</v>
      </c>
      <c r="AZ59" s="12">
        <f t="shared" si="38"/>
        <v>6043.4859106945732</v>
      </c>
      <c r="BA59" s="12">
        <f t="shared" si="38"/>
        <v>6176.4426007298543</v>
      </c>
      <c r="BB59" s="12">
        <f t="shared" si="38"/>
        <v>6312.3243379459118</v>
      </c>
      <c r="BC59" s="12">
        <f t="shared" si="38"/>
        <v>6451.1954733807215</v>
      </c>
      <c r="BD59" s="12">
        <f t="shared" si="38"/>
        <v>6593.1217737950974</v>
      </c>
      <c r="BE59" s="12">
        <f t="shared" si="38"/>
        <v>6738.1704528185901</v>
      </c>
      <c r="BF59" s="12">
        <f t="shared" si="38"/>
        <v>6886.4102027805993</v>
      </c>
      <c r="BG59" s="12">
        <f t="shared" si="38"/>
        <v>7037.9112272417724</v>
      </c>
      <c r="BH59" s="12">
        <f t="shared" si="38"/>
        <v>7037.9112272417724</v>
      </c>
      <c r="BI59" s="12">
        <f t="shared" si="38"/>
        <v>7037.9112272417724</v>
      </c>
      <c r="BJ59" s="12">
        <f t="shared" si="38"/>
        <v>7037.9112272417724</v>
      </c>
      <c r="BK59" s="12">
        <f t="shared" si="38"/>
        <v>7037.9112272417724</v>
      </c>
      <c r="BL59" s="12">
        <f t="shared" si="38"/>
        <v>7037.9112272417724</v>
      </c>
      <c r="BM59" s="12">
        <f t="shared" si="38"/>
        <v>7037.9112272417724</v>
      </c>
      <c r="BN59" s="12">
        <f t="shared" si="38"/>
        <v>7037.9112272417724</v>
      </c>
      <c r="BO59" s="12">
        <f t="shared" si="38"/>
        <v>7037.9112272417724</v>
      </c>
      <c r="BP59" s="12">
        <f t="shared" si="38"/>
        <v>7037.9112272417724</v>
      </c>
      <c r="BQ59" s="12">
        <f t="shared" si="38"/>
        <v>7037.9112272417724</v>
      </c>
      <c r="BR59" s="12">
        <f t="shared" si="38"/>
        <v>7037.9112272417724</v>
      </c>
      <c r="BS59" s="12">
        <f t="shared" si="38"/>
        <v>7037.9112272417724</v>
      </c>
      <c r="BT59" s="12">
        <f t="shared" ref="BT59:CV59" si="39">BT6*$AE$4/100 + BT18*$AC$4/100 + BT30*$AD$4/100</f>
        <v>7037.9112272417724</v>
      </c>
      <c r="BU59" s="12">
        <f t="shared" si="39"/>
        <v>7037.9112272417724</v>
      </c>
      <c r="BV59" s="12">
        <f t="shared" si="39"/>
        <v>7037.9112272417724</v>
      </c>
      <c r="BW59" s="12">
        <f t="shared" si="39"/>
        <v>7037.9112272417724</v>
      </c>
      <c r="BX59" s="12">
        <f t="shared" si="39"/>
        <v>7037.9112272417724</v>
      </c>
      <c r="BY59" s="12">
        <f t="shared" si="39"/>
        <v>7037.9112272417724</v>
      </c>
      <c r="BZ59" s="12">
        <f t="shared" si="39"/>
        <v>7037.9112272417724</v>
      </c>
      <c r="CA59" s="12">
        <f t="shared" si="39"/>
        <v>7037.9112272417724</v>
      </c>
      <c r="CB59" s="12">
        <f t="shared" si="39"/>
        <v>7037.9112272417724</v>
      </c>
      <c r="CC59" s="12">
        <f t="shared" si="39"/>
        <v>7037.9112272417724</v>
      </c>
      <c r="CD59" s="12">
        <f t="shared" si="39"/>
        <v>7037.9112272417724</v>
      </c>
      <c r="CE59" s="12">
        <f t="shared" si="39"/>
        <v>7037.9112272417724</v>
      </c>
      <c r="CF59" s="12">
        <f t="shared" si="39"/>
        <v>7037.9112272417724</v>
      </c>
      <c r="CG59" s="12">
        <f t="shared" si="39"/>
        <v>7037.9112272417724</v>
      </c>
      <c r="CH59" s="12">
        <f t="shared" si="39"/>
        <v>7037.9112272417724</v>
      </c>
      <c r="CI59" s="12">
        <f t="shared" si="39"/>
        <v>7037.9112272417724</v>
      </c>
      <c r="CJ59" s="12">
        <f t="shared" si="39"/>
        <v>7037.9112272417724</v>
      </c>
      <c r="CK59" s="12">
        <f t="shared" si="39"/>
        <v>7037.9112272417724</v>
      </c>
      <c r="CL59" s="12">
        <f t="shared" si="39"/>
        <v>7037.9112272417724</v>
      </c>
      <c r="CM59" s="12">
        <f t="shared" si="39"/>
        <v>7037.9112272417724</v>
      </c>
      <c r="CN59" s="12">
        <f t="shared" si="39"/>
        <v>7037.9112272417724</v>
      </c>
      <c r="CO59" s="12">
        <f t="shared" si="39"/>
        <v>7037.9112272417724</v>
      </c>
      <c r="CP59" s="12">
        <f t="shared" si="39"/>
        <v>7037.9112272417724</v>
      </c>
      <c r="CQ59" s="12">
        <f t="shared" si="39"/>
        <v>7037.9112272417724</v>
      </c>
      <c r="CR59" s="12">
        <f t="shared" si="39"/>
        <v>7037.9112272417724</v>
      </c>
      <c r="CS59" s="12">
        <f t="shared" si="39"/>
        <v>7037.9112272417724</v>
      </c>
      <c r="CT59" s="12">
        <f t="shared" si="39"/>
        <v>7037.9112272417724</v>
      </c>
      <c r="CU59" s="12">
        <f t="shared" si="39"/>
        <v>7037.9112272417724</v>
      </c>
      <c r="CV59" s="12">
        <f t="shared" si="39"/>
        <v>7037.9112272417724</v>
      </c>
    </row>
    <row r="60" spans="1:100">
      <c r="A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 t="s">
        <v>231</v>
      </c>
      <c r="X60" s="12"/>
      <c r="Y60" s="12"/>
      <c r="Z60" s="12">
        <f t="shared" ref="Z60:AA63" si="40">Z15-Z48</f>
        <v>0</v>
      </c>
      <c r="AA60" s="12">
        <f t="shared" si="40"/>
        <v>0</v>
      </c>
      <c r="AB60" s="12"/>
      <c r="AC60" s="12"/>
      <c r="AD60" s="12"/>
      <c r="AE60" s="12"/>
      <c r="AH60" s="12"/>
      <c r="AI60" s="12"/>
      <c r="AJ60" s="12" t="s">
        <v>233</v>
      </c>
      <c r="AN60" s="12">
        <f t="shared" ref="AN60" si="41">AN7*$AE$4/100 + AN19*$AC$4/100 + AN31*$AD$4/100</f>
        <v>19719.263953472881</v>
      </c>
      <c r="AO60" s="12">
        <f t="shared" ref="AO60:BS60" si="42">AO7*$AE$4/100 + AO19*$AC$4/100 + AO31*$AD$4/100</f>
        <v>20165.313704100441</v>
      </c>
      <c r="AP60" s="12">
        <f t="shared" si="42"/>
        <v>20382.897438967688</v>
      </c>
      <c r="AQ60" s="12">
        <f t="shared" si="42"/>
        <v>20734.298590815488</v>
      </c>
      <c r="AR60" s="12">
        <f t="shared" si="42"/>
        <v>21190.453159813431</v>
      </c>
      <c r="AS60" s="12">
        <f t="shared" si="42"/>
        <v>21529.500410370449</v>
      </c>
      <c r="AT60" s="12">
        <f t="shared" si="42"/>
        <v>21938.560918167484</v>
      </c>
      <c r="AU60" s="12">
        <f t="shared" si="42"/>
        <v>22355.393575612659</v>
      </c>
      <c r="AV60" s="12">
        <f t="shared" si="42"/>
        <v>22802.501447124916</v>
      </c>
      <c r="AW60" s="12">
        <f t="shared" si="42"/>
        <v>23269.952726790973</v>
      </c>
      <c r="AX60" s="12">
        <f t="shared" si="42"/>
        <v>23758.621734053584</v>
      </c>
      <c r="AY60" s="12">
        <f t="shared" si="42"/>
        <v>24269.43210133574</v>
      </c>
      <c r="AZ60" s="12">
        <f t="shared" si="42"/>
        <v>24803.359607565122</v>
      </c>
      <c r="BA60" s="12">
        <f t="shared" si="42"/>
        <v>25349.033518931552</v>
      </c>
      <c r="BB60" s="12">
        <f t="shared" si="42"/>
        <v>25906.712256348052</v>
      </c>
      <c r="BC60" s="12">
        <f t="shared" si="42"/>
        <v>26476.659925987711</v>
      </c>
      <c r="BD60" s="12">
        <f t="shared" si="42"/>
        <v>27059.146444359438</v>
      </c>
      <c r="BE60" s="12">
        <f t="shared" si="42"/>
        <v>27654.447666135347</v>
      </c>
      <c r="BF60" s="12">
        <f t="shared" si="42"/>
        <v>28262.845514790322</v>
      </c>
      <c r="BG60" s="12">
        <f t="shared" si="42"/>
        <v>28884.628116115713</v>
      </c>
      <c r="BH60" s="12">
        <f t="shared" si="42"/>
        <v>28884.628116115713</v>
      </c>
      <c r="BI60" s="12">
        <f t="shared" si="42"/>
        <v>28884.628116115713</v>
      </c>
      <c r="BJ60" s="12">
        <f t="shared" si="42"/>
        <v>28884.628116115713</v>
      </c>
      <c r="BK60" s="12">
        <f t="shared" si="42"/>
        <v>28884.628116115713</v>
      </c>
      <c r="BL60" s="12">
        <f t="shared" si="42"/>
        <v>28884.628116115713</v>
      </c>
      <c r="BM60" s="12">
        <f t="shared" si="42"/>
        <v>28884.628116115713</v>
      </c>
      <c r="BN60" s="12">
        <f t="shared" si="42"/>
        <v>28884.628116115713</v>
      </c>
      <c r="BO60" s="12">
        <f t="shared" si="42"/>
        <v>28884.628116115713</v>
      </c>
      <c r="BP60" s="12">
        <f t="shared" si="42"/>
        <v>28884.628116115713</v>
      </c>
      <c r="BQ60" s="12">
        <f t="shared" si="42"/>
        <v>28884.628116115713</v>
      </c>
      <c r="BR60" s="12">
        <f t="shared" si="42"/>
        <v>28884.628116115713</v>
      </c>
      <c r="BS60" s="12">
        <f t="shared" si="42"/>
        <v>28884.628116115713</v>
      </c>
      <c r="BT60" s="12">
        <f t="shared" ref="BT60:CV60" si="43">BT7*$AE$4/100 + BT19*$AC$4/100 + BT31*$AD$4/100</f>
        <v>28884.628116115713</v>
      </c>
      <c r="BU60" s="12">
        <f t="shared" si="43"/>
        <v>28884.628116115713</v>
      </c>
      <c r="BV60" s="12">
        <f t="shared" si="43"/>
        <v>28884.628116115713</v>
      </c>
      <c r="BW60" s="12">
        <f t="shared" si="43"/>
        <v>28884.628116115713</v>
      </c>
      <c r="BX60" s="12">
        <f t="shared" si="43"/>
        <v>28884.628116115713</v>
      </c>
      <c r="BY60" s="12">
        <f t="shared" si="43"/>
        <v>28884.628116115713</v>
      </c>
      <c r="BZ60" s="12">
        <f t="shared" si="43"/>
        <v>28884.628116115713</v>
      </c>
      <c r="CA60" s="12">
        <f t="shared" si="43"/>
        <v>28884.628116115713</v>
      </c>
      <c r="CB60" s="12">
        <f t="shared" si="43"/>
        <v>28884.628116115713</v>
      </c>
      <c r="CC60" s="12">
        <f t="shared" si="43"/>
        <v>28884.628116115713</v>
      </c>
      <c r="CD60" s="12">
        <f t="shared" si="43"/>
        <v>28884.628116115713</v>
      </c>
      <c r="CE60" s="12">
        <f t="shared" si="43"/>
        <v>28884.628116115713</v>
      </c>
      <c r="CF60" s="12">
        <f t="shared" si="43"/>
        <v>28884.628116115713</v>
      </c>
      <c r="CG60" s="12">
        <f t="shared" si="43"/>
        <v>28884.628116115713</v>
      </c>
      <c r="CH60" s="12">
        <f t="shared" si="43"/>
        <v>28884.628116115713</v>
      </c>
      <c r="CI60" s="12">
        <f t="shared" si="43"/>
        <v>28884.628116115713</v>
      </c>
      <c r="CJ60" s="12">
        <f t="shared" si="43"/>
        <v>28884.628116115713</v>
      </c>
      <c r="CK60" s="12">
        <f t="shared" si="43"/>
        <v>28884.628116115713</v>
      </c>
      <c r="CL60" s="12">
        <f t="shared" si="43"/>
        <v>28884.628116115713</v>
      </c>
      <c r="CM60" s="12">
        <f t="shared" si="43"/>
        <v>28884.628116115713</v>
      </c>
      <c r="CN60" s="12">
        <f t="shared" si="43"/>
        <v>28884.628116115713</v>
      </c>
      <c r="CO60" s="12">
        <f t="shared" si="43"/>
        <v>28884.628116115713</v>
      </c>
      <c r="CP60" s="12">
        <f t="shared" si="43"/>
        <v>28884.628116115713</v>
      </c>
      <c r="CQ60" s="12">
        <f t="shared" si="43"/>
        <v>28884.628116115713</v>
      </c>
      <c r="CR60" s="12">
        <f t="shared" si="43"/>
        <v>28884.628116115713</v>
      </c>
      <c r="CS60" s="12">
        <f t="shared" si="43"/>
        <v>28884.628116115713</v>
      </c>
      <c r="CT60" s="12">
        <f t="shared" si="43"/>
        <v>28884.628116115713</v>
      </c>
      <c r="CU60" s="12">
        <f t="shared" si="43"/>
        <v>28884.628116115713</v>
      </c>
      <c r="CV60" s="12">
        <f t="shared" si="43"/>
        <v>28884.628116115713</v>
      </c>
    </row>
    <row r="61" spans="1:100" s="12" customFormat="1">
      <c r="W61" s="12" t="s">
        <v>232</v>
      </c>
      <c r="Z61" s="12">
        <f t="shared" si="40"/>
        <v>24317.561368125585</v>
      </c>
      <c r="AA61" s="12">
        <f t="shared" si="40"/>
        <v>27705.876076179804</v>
      </c>
      <c r="AJ61" s="12" t="s">
        <v>234</v>
      </c>
      <c r="AN61" s="12">
        <f t="shared" ref="AN61:CV61" si="44">AN8*$AE$4/100 + AN20*$AC$4/100 + AN32*$AD$4/100</f>
        <v>27376.942844959336</v>
      </c>
      <c r="AO61" s="12">
        <f t="shared" si="44"/>
        <v>27996.209292112319</v>
      </c>
      <c r="AP61" s="12">
        <f t="shared" si="44"/>
        <v>28298.288390374208</v>
      </c>
      <c r="AQ61" s="12">
        <f t="shared" si="44"/>
        <v>28786.150882224261</v>
      </c>
      <c r="AR61" s="12">
        <f t="shared" si="44"/>
        <v>29419.446201633189</v>
      </c>
      <c r="AS61" s="12">
        <f t="shared" si="44"/>
        <v>29890.157340859325</v>
      </c>
      <c r="AT61" s="12">
        <f t="shared" si="44"/>
        <v>30458.070330335646</v>
      </c>
      <c r="AU61" s="12">
        <f t="shared" si="44"/>
        <v>31036.773666612022</v>
      </c>
      <c r="AV61" s="12">
        <f t="shared" si="44"/>
        <v>31657.509139944261</v>
      </c>
      <c r="AW61" s="12">
        <f t="shared" si="44"/>
        <v>32306.488077313115</v>
      </c>
      <c r="AX61" s="12">
        <f t="shared" si="44"/>
        <v>32984.924326936685</v>
      </c>
      <c r="AY61" s="12">
        <f t="shared" si="44"/>
        <v>33694.100199965833</v>
      </c>
      <c r="AZ61" s="12">
        <f t="shared" si="44"/>
        <v>34435.37040436508</v>
      </c>
      <c r="BA61" s="12">
        <f t="shared" si="44"/>
        <v>35192.948553261107</v>
      </c>
      <c r="BB61" s="12">
        <f t="shared" si="44"/>
        <v>35967.19342143285</v>
      </c>
      <c r="BC61" s="12">
        <f t="shared" si="44"/>
        <v>36758.471676704379</v>
      </c>
      <c r="BD61" s="12">
        <f t="shared" si="44"/>
        <v>37567.158053591877</v>
      </c>
      <c r="BE61" s="12">
        <f t="shared" si="44"/>
        <v>38393.635530770902</v>
      </c>
      <c r="BF61" s="12">
        <f t="shared" si="44"/>
        <v>39238.295512447861</v>
      </c>
      <c r="BG61" s="12">
        <f t="shared" si="44"/>
        <v>40101.538013721714</v>
      </c>
      <c r="BH61" s="12">
        <f t="shared" si="44"/>
        <v>40101.538013721714</v>
      </c>
      <c r="BI61" s="12">
        <f t="shared" si="44"/>
        <v>40101.538013721714</v>
      </c>
      <c r="BJ61" s="12">
        <f t="shared" si="44"/>
        <v>40101.538013721714</v>
      </c>
      <c r="BK61" s="12">
        <f t="shared" si="44"/>
        <v>40101.538013721714</v>
      </c>
      <c r="BL61" s="12">
        <f t="shared" si="44"/>
        <v>40101.538013721714</v>
      </c>
      <c r="BM61" s="12">
        <f t="shared" si="44"/>
        <v>40101.538013721714</v>
      </c>
      <c r="BN61" s="12">
        <f t="shared" si="44"/>
        <v>40101.538013721714</v>
      </c>
      <c r="BO61" s="12">
        <f t="shared" si="44"/>
        <v>40101.538013721714</v>
      </c>
      <c r="BP61" s="12">
        <f t="shared" si="44"/>
        <v>40101.538013721714</v>
      </c>
      <c r="BQ61" s="12">
        <f t="shared" si="44"/>
        <v>40101.538013721714</v>
      </c>
      <c r="BR61" s="12">
        <f t="shared" si="44"/>
        <v>40101.538013721714</v>
      </c>
      <c r="BS61" s="12">
        <f t="shared" si="44"/>
        <v>40101.538013721714</v>
      </c>
      <c r="BT61" s="12">
        <f t="shared" si="44"/>
        <v>40101.538013721714</v>
      </c>
      <c r="BU61" s="12">
        <f t="shared" si="44"/>
        <v>40101.538013721714</v>
      </c>
      <c r="BV61" s="12">
        <f t="shared" si="44"/>
        <v>40101.538013721714</v>
      </c>
      <c r="BW61" s="12">
        <f t="shared" si="44"/>
        <v>40101.538013721714</v>
      </c>
      <c r="BX61" s="12">
        <f t="shared" si="44"/>
        <v>40101.538013721714</v>
      </c>
      <c r="BY61" s="12">
        <f t="shared" si="44"/>
        <v>40101.538013721714</v>
      </c>
      <c r="BZ61" s="12">
        <f t="shared" si="44"/>
        <v>40101.538013721714</v>
      </c>
      <c r="CA61" s="12">
        <f t="shared" si="44"/>
        <v>40101.538013721714</v>
      </c>
      <c r="CB61" s="12">
        <f t="shared" si="44"/>
        <v>40101.538013721714</v>
      </c>
      <c r="CC61" s="12">
        <f t="shared" si="44"/>
        <v>40101.538013721714</v>
      </c>
      <c r="CD61" s="12">
        <f t="shared" si="44"/>
        <v>40101.538013721714</v>
      </c>
      <c r="CE61" s="12">
        <f t="shared" si="44"/>
        <v>40101.538013721714</v>
      </c>
      <c r="CF61" s="12">
        <f t="shared" si="44"/>
        <v>40101.538013721714</v>
      </c>
      <c r="CG61" s="12">
        <f t="shared" si="44"/>
        <v>40101.538013721714</v>
      </c>
      <c r="CH61" s="12">
        <f t="shared" si="44"/>
        <v>40101.538013721714</v>
      </c>
      <c r="CI61" s="12">
        <f t="shared" si="44"/>
        <v>40101.538013721714</v>
      </c>
      <c r="CJ61" s="12">
        <f t="shared" si="44"/>
        <v>40101.538013721714</v>
      </c>
      <c r="CK61" s="12">
        <f t="shared" si="44"/>
        <v>40101.538013721714</v>
      </c>
      <c r="CL61" s="12">
        <f t="shared" si="44"/>
        <v>40101.538013721714</v>
      </c>
      <c r="CM61" s="12">
        <f t="shared" si="44"/>
        <v>40101.538013721714</v>
      </c>
      <c r="CN61" s="12">
        <f t="shared" si="44"/>
        <v>40101.538013721714</v>
      </c>
      <c r="CO61" s="12">
        <f t="shared" si="44"/>
        <v>40101.538013721714</v>
      </c>
      <c r="CP61" s="12">
        <f t="shared" si="44"/>
        <v>40101.538013721714</v>
      </c>
      <c r="CQ61" s="12">
        <f t="shared" si="44"/>
        <v>40101.538013721714</v>
      </c>
      <c r="CR61" s="12">
        <f t="shared" si="44"/>
        <v>40101.538013721714</v>
      </c>
      <c r="CS61" s="12">
        <f t="shared" si="44"/>
        <v>40101.538013721714</v>
      </c>
      <c r="CT61" s="12">
        <f t="shared" si="44"/>
        <v>40101.538013721714</v>
      </c>
      <c r="CU61" s="12">
        <f t="shared" si="44"/>
        <v>40101.538013721714</v>
      </c>
      <c r="CV61" s="12">
        <f t="shared" si="44"/>
        <v>40101.538013721714</v>
      </c>
    </row>
    <row r="62" spans="1:100" s="12" customFormat="1">
      <c r="W62" s="12" t="s">
        <v>233</v>
      </c>
      <c r="Z62" s="12">
        <f t="shared" si="40"/>
        <v>136994.86142485231</v>
      </c>
      <c r="AA62" s="12">
        <f t="shared" si="40"/>
        <v>146490.64653561183</v>
      </c>
      <c r="AH62" s="12" t="s">
        <v>265</v>
      </c>
      <c r="AJ62" s="12" t="s">
        <v>231</v>
      </c>
      <c r="AN62" s="12">
        <f t="shared" ref="AN62:CV62" si="45">AN9*$AE$4/100 + AN21*$AC$4/100 + AN33*$AD$4/100</f>
        <v>29487.635750871923</v>
      </c>
      <c r="AO62" s="12">
        <f t="shared" si="45"/>
        <v>30154.64607155665</v>
      </c>
      <c r="AP62" s="12">
        <f t="shared" si="45"/>
        <v>30480.014702668745</v>
      </c>
      <c r="AQ62" s="12">
        <f t="shared" si="45"/>
        <v>31005.490156142754</v>
      </c>
      <c r="AR62" s="12">
        <f t="shared" si="45"/>
        <v>31687.610939577899</v>
      </c>
      <c r="AS62" s="12">
        <f t="shared" si="45"/>
        <v>32194.612714611139</v>
      </c>
      <c r="AT62" s="12">
        <f t="shared" si="45"/>
        <v>32806.310356188747</v>
      </c>
      <c r="AU62" s="12">
        <f t="shared" si="45"/>
        <v>33429.630252956325</v>
      </c>
      <c r="AV62" s="12">
        <f t="shared" si="45"/>
        <v>34098.222858015462</v>
      </c>
      <c r="AW62" s="12">
        <f t="shared" si="45"/>
        <v>34797.236426604773</v>
      </c>
      <c r="AX62" s="12">
        <f t="shared" si="45"/>
        <v>35527.978391563469</v>
      </c>
      <c r="AY62" s="12">
        <f t="shared" si="45"/>
        <v>36291.829926982085</v>
      </c>
      <c r="AZ62" s="12">
        <f t="shared" si="45"/>
        <v>37090.250185375691</v>
      </c>
      <c r="BA62" s="12">
        <f t="shared" si="45"/>
        <v>37906.235689453955</v>
      </c>
      <c r="BB62" s="12">
        <f t="shared" si="45"/>
        <v>38740.172874621945</v>
      </c>
      <c r="BC62" s="12">
        <f t="shared" si="45"/>
        <v>39592.456677863622</v>
      </c>
      <c r="BD62" s="12">
        <f t="shared" si="45"/>
        <v>40463.490724776631</v>
      </c>
      <c r="BE62" s="12">
        <f t="shared" si="45"/>
        <v>41353.687520721716</v>
      </c>
      <c r="BF62" s="12">
        <f t="shared" si="45"/>
        <v>42263.4686461776</v>
      </c>
      <c r="BG62" s="12">
        <f t="shared" si="45"/>
        <v>43193.264956393497</v>
      </c>
      <c r="BH62" s="12">
        <f t="shared" si="45"/>
        <v>43193.264956393497</v>
      </c>
      <c r="BI62" s="12">
        <f t="shared" si="45"/>
        <v>43193.264956393497</v>
      </c>
      <c r="BJ62" s="12">
        <f t="shared" si="45"/>
        <v>43193.264956393497</v>
      </c>
      <c r="BK62" s="12">
        <f t="shared" si="45"/>
        <v>43193.264956393497</v>
      </c>
      <c r="BL62" s="12">
        <f t="shared" si="45"/>
        <v>43193.264956393497</v>
      </c>
      <c r="BM62" s="12">
        <f t="shared" si="45"/>
        <v>43193.264956393497</v>
      </c>
      <c r="BN62" s="12">
        <f t="shared" si="45"/>
        <v>43193.264956393497</v>
      </c>
      <c r="BO62" s="12">
        <f t="shared" si="45"/>
        <v>43193.264956393497</v>
      </c>
      <c r="BP62" s="12">
        <f t="shared" si="45"/>
        <v>43193.264956393497</v>
      </c>
      <c r="BQ62" s="12">
        <f t="shared" si="45"/>
        <v>43193.264956393497</v>
      </c>
      <c r="BR62" s="12">
        <f t="shared" si="45"/>
        <v>43193.264956393497</v>
      </c>
      <c r="BS62" s="12">
        <f t="shared" si="45"/>
        <v>43193.264956393497</v>
      </c>
      <c r="BT62" s="12">
        <f t="shared" si="45"/>
        <v>43193.264956393497</v>
      </c>
      <c r="BU62" s="12">
        <f t="shared" si="45"/>
        <v>43193.264956393497</v>
      </c>
      <c r="BV62" s="12">
        <f t="shared" si="45"/>
        <v>43193.264956393497</v>
      </c>
      <c r="BW62" s="12">
        <f t="shared" si="45"/>
        <v>43193.264956393497</v>
      </c>
      <c r="BX62" s="12">
        <f t="shared" si="45"/>
        <v>43193.264956393497</v>
      </c>
      <c r="BY62" s="12">
        <f t="shared" si="45"/>
        <v>43193.264956393497</v>
      </c>
      <c r="BZ62" s="12">
        <f t="shared" si="45"/>
        <v>43193.264956393497</v>
      </c>
      <c r="CA62" s="12">
        <f t="shared" si="45"/>
        <v>43193.264956393497</v>
      </c>
      <c r="CB62" s="12">
        <f t="shared" si="45"/>
        <v>43193.264956393497</v>
      </c>
      <c r="CC62" s="12">
        <f t="shared" si="45"/>
        <v>43193.264956393497</v>
      </c>
      <c r="CD62" s="12">
        <f t="shared" si="45"/>
        <v>43193.264956393497</v>
      </c>
      <c r="CE62" s="12">
        <f t="shared" si="45"/>
        <v>43193.264956393497</v>
      </c>
      <c r="CF62" s="12">
        <f t="shared" si="45"/>
        <v>43193.264956393497</v>
      </c>
      <c r="CG62" s="12">
        <f t="shared" si="45"/>
        <v>43193.264956393497</v>
      </c>
      <c r="CH62" s="12">
        <f t="shared" si="45"/>
        <v>43193.264956393497</v>
      </c>
      <c r="CI62" s="12">
        <f t="shared" si="45"/>
        <v>43193.264956393497</v>
      </c>
      <c r="CJ62" s="12">
        <f t="shared" si="45"/>
        <v>43193.264956393497</v>
      </c>
      <c r="CK62" s="12">
        <f t="shared" si="45"/>
        <v>43193.264956393497</v>
      </c>
      <c r="CL62" s="12">
        <f t="shared" si="45"/>
        <v>43193.264956393497</v>
      </c>
      <c r="CM62" s="12">
        <f t="shared" si="45"/>
        <v>43193.264956393497</v>
      </c>
      <c r="CN62" s="12">
        <f t="shared" si="45"/>
        <v>43193.264956393497</v>
      </c>
      <c r="CO62" s="12">
        <f t="shared" si="45"/>
        <v>43193.264956393497</v>
      </c>
      <c r="CP62" s="12">
        <f t="shared" si="45"/>
        <v>43193.264956393497</v>
      </c>
      <c r="CQ62" s="12">
        <f t="shared" si="45"/>
        <v>43193.264956393497</v>
      </c>
      <c r="CR62" s="12">
        <f t="shared" si="45"/>
        <v>43193.264956393497</v>
      </c>
      <c r="CS62" s="12">
        <f t="shared" si="45"/>
        <v>43193.264956393497</v>
      </c>
      <c r="CT62" s="12">
        <f t="shared" si="45"/>
        <v>43193.264956393497</v>
      </c>
      <c r="CU62" s="12">
        <f t="shared" si="45"/>
        <v>43193.264956393497</v>
      </c>
      <c r="CV62" s="12">
        <f t="shared" si="45"/>
        <v>43193.264956393497</v>
      </c>
    </row>
    <row r="63" spans="1:100" s="12" customFormat="1">
      <c r="W63" s="12" t="s">
        <v>234</v>
      </c>
      <c r="Z63" s="12">
        <f>Z18-Z51</f>
        <v>161532.94</v>
      </c>
      <c r="AA63" s="12">
        <f t="shared" si="40"/>
        <v>172151.95999999996</v>
      </c>
      <c r="AJ63" s="12" t="s">
        <v>232</v>
      </c>
      <c r="AN63" s="12">
        <f t="shared" ref="AN63:CV63" si="46">AN10*$AE$4/100 + AN22*$AC$4/100 + AN34*$AD$4/100</f>
        <v>14093.833021911087</v>
      </c>
      <c r="AO63" s="12">
        <f t="shared" si="46"/>
        <v>14412.635524866717</v>
      </c>
      <c r="AP63" s="12">
        <f t="shared" si="46"/>
        <v>14568.147862180031</v>
      </c>
      <c r="AQ63" s="12">
        <f t="shared" si="46"/>
        <v>14819.302731324013</v>
      </c>
      <c r="AR63" s="12">
        <f t="shared" si="46"/>
        <v>15145.327391413139</v>
      </c>
      <c r="AS63" s="12">
        <f t="shared" si="46"/>
        <v>15387.652629675747</v>
      </c>
      <c r="AT63" s="12">
        <f t="shared" si="46"/>
        <v>15680.018029639585</v>
      </c>
      <c r="AU63" s="12">
        <f t="shared" si="46"/>
        <v>15977.938372202736</v>
      </c>
      <c r="AV63" s="12">
        <f t="shared" si="46"/>
        <v>16297.49713964679</v>
      </c>
      <c r="AW63" s="12">
        <f t="shared" si="46"/>
        <v>16631.595831009552</v>
      </c>
      <c r="AX63" s="12">
        <f t="shared" si="46"/>
        <v>16980.859343460746</v>
      </c>
      <c r="AY63" s="12">
        <f t="shared" si="46"/>
        <v>17345.947819345158</v>
      </c>
      <c r="AZ63" s="12">
        <f t="shared" si="46"/>
        <v>17727.558671370749</v>
      </c>
      <c r="BA63" s="12">
        <f t="shared" si="46"/>
        <v>18117.564962140907</v>
      </c>
      <c r="BB63" s="12">
        <f t="shared" si="46"/>
        <v>18516.151391308005</v>
      </c>
      <c r="BC63" s="12">
        <f t="shared" si="46"/>
        <v>18923.506721916783</v>
      </c>
      <c r="BD63" s="12">
        <f t="shared" si="46"/>
        <v>19339.823869798955</v>
      </c>
      <c r="BE63" s="12">
        <f t="shared" si="46"/>
        <v>19765.299994934532</v>
      </c>
      <c r="BF63" s="12">
        <f t="shared" si="46"/>
        <v>20200.136594823092</v>
      </c>
      <c r="BG63" s="12">
        <f t="shared" si="46"/>
        <v>20644.5395999092</v>
      </c>
      <c r="BH63" s="12">
        <f t="shared" si="46"/>
        <v>20644.5395999092</v>
      </c>
      <c r="BI63" s="12">
        <f t="shared" si="46"/>
        <v>20644.5395999092</v>
      </c>
      <c r="BJ63" s="12">
        <f t="shared" si="46"/>
        <v>20644.5395999092</v>
      </c>
      <c r="BK63" s="12">
        <f t="shared" si="46"/>
        <v>20644.5395999092</v>
      </c>
      <c r="BL63" s="12">
        <f t="shared" si="46"/>
        <v>20644.5395999092</v>
      </c>
      <c r="BM63" s="12">
        <f t="shared" si="46"/>
        <v>20644.5395999092</v>
      </c>
      <c r="BN63" s="12">
        <f t="shared" si="46"/>
        <v>20644.5395999092</v>
      </c>
      <c r="BO63" s="12">
        <f t="shared" si="46"/>
        <v>20644.5395999092</v>
      </c>
      <c r="BP63" s="12">
        <f t="shared" si="46"/>
        <v>20644.5395999092</v>
      </c>
      <c r="BQ63" s="12">
        <f t="shared" si="46"/>
        <v>20644.5395999092</v>
      </c>
      <c r="BR63" s="12">
        <f t="shared" si="46"/>
        <v>20644.5395999092</v>
      </c>
      <c r="BS63" s="12">
        <f t="shared" si="46"/>
        <v>20644.5395999092</v>
      </c>
      <c r="BT63" s="12">
        <f t="shared" si="46"/>
        <v>20644.5395999092</v>
      </c>
      <c r="BU63" s="12">
        <f t="shared" si="46"/>
        <v>20644.5395999092</v>
      </c>
      <c r="BV63" s="12">
        <f t="shared" si="46"/>
        <v>20644.5395999092</v>
      </c>
      <c r="BW63" s="12">
        <f t="shared" si="46"/>
        <v>20644.5395999092</v>
      </c>
      <c r="BX63" s="12">
        <f t="shared" si="46"/>
        <v>20644.5395999092</v>
      </c>
      <c r="BY63" s="12">
        <f t="shared" si="46"/>
        <v>20644.5395999092</v>
      </c>
      <c r="BZ63" s="12">
        <f t="shared" si="46"/>
        <v>20644.5395999092</v>
      </c>
      <c r="CA63" s="12">
        <f t="shared" si="46"/>
        <v>20644.5395999092</v>
      </c>
      <c r="CB63" s="12">
        <f t="shared" si="46"/>
        <v>20644.5395999092</v>
      </c>
      <c r="CC63" s="12">
        <f t="shared" si="46"/>
        <v>20644.5395999092</v>
      </c>
      <c r="CD63" s="12">
        <f t="shared" si="46"/>
        <v>20644.5395999092</v>
      </c>
      <c r="CE63" s="12">
        <f t="shared" si="46"/>
        <v>20644.5395999092</v>
      </c>
      <c r="CF63" s="12">
        <f t="shared" si="46"/>
        <v>20644.5395999092</v>
      </c>
      <c r="CG63" s="12">
        <f t="shared" si="46"/>
        <v>20644.5395999092</v>
      </c>
      <c r="CH63" s="12">
        <f t="shared" si="46"/>
        <v>20644.5395999092</v>
      </c>
      <c r="CI63" s="12">
        <f t="shared" si="46"/>
        <v>20644.5395999092</v>
      </c>
      <c r="CJ63" s="12">
        <f t="shared" si="46"/>
        <v>20644.5395999092</v>
      </c>
      <c r="CK63" s="12">
        <f t="shared" si="46"/>
        <v>20644.5395999092</v>
      </c>
      <c r="CL63" s="12">
        <f t="shared" si="46"/>
        <v>20644.5395999092</v>
      </c>
      <c r="CM63" s="12">
        <f t="shared" si="46"/>
        <v>20644.5395999092</v>
      </c>
      <c r="CN63" s="12">
        <f t="shared" si="46"/>
        <v>20644.5395999092</v>
      </c>
      <c r="CO63" s="12">
        <f t="shared" si="46"/>
        <v>20644.5395999092</v>
      </c>
      <c r="CP63" s="12">
        <f t="shared" si="46"/>
        <v>20644.5395999092</v>
      </c>
      <c r="CQ63" s="12">
        <f t="shared" si="46"/>
        <v>20644.5395999092</v>
      </c>
      <c r="CR63" s="12">
        <f t="shared" si="46"/>
        <v>20644.5395999092</v>
      </c>
      <c r="CS63" s="12">
        <f t="shared" si="46"/>
        <v>20644.5395999092</v>
      </c>
      <c r="CT63" s="12">
        <f t="shared" si="46"/>
        <v>20644.5395999092</v>
      </c>
      <c r="CU63" s="12">
        <f t="shared" si="46"/>
        <v>20644.5395999092</v>
      </c>
      <c r="CV63" s="12">
        <f t="shared" si="46"/>
        <v>20644.5395999092</v>
      </c>
    </row>
    <row r="64" spans="1:100"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 t="s">
        <v>265</v>
      </c>
      <c r="V64" s="12"/>
      <c r="W64" s="12" t="s">
        <v>231</v>
      </c>
      <c r="X64" s="12"/>
      <c r="Y64" s="12"/>
      <c r="Z64" s="12">
        <f>Z21-Z52</f>
        <v>150887.50964854631</v>
      </c>
      <c r="AA64" s="12">
        <f>AA21-AA52</f>
        <v>165878.71605651238</v>
      </c>
      <c r="AB64" s="12"/>
      <c r="AC64" s="12"/>
      <c r="AD64" s="12"/>
      <c r="AE64" s="12"/>
      <c r="AH64" s="12"/>
      <c r="AI64" s="12"/>
      <c r="AJ64" s="12" t="s">
        <v>233</v>
      </c>
      <c r="AN64" s="12">
        <f t="shared" ref="AN64:BC65" si="47">AN11*$AE$4/100 + AN23*$AC$4/100 + AN35*$AD$4/100</f>
        <v>13521.780996667119</v>
      </c>
      <c r="AO64" s="12">
        <f t="shared" ref="AO64:CV65" si="48">AO11*$AE$4/100 + AO23*$AC$4/100 + AO35*$AD$4/100</f>
        <v>13827.643682811729</v>
      </c>
      <c r="AP64" s="12">
        <f t="shared" si="48"/>
        <v>13976.843958149268</v>
      </c>
      <c r="AQ64" s="12">
        <f t="shared" si="48"/>
        <v>14217.80474798776</v>
      </c>
      <c r="AR64" s="12">
        <f t="shared" si="48"/>
        <v>14530.596452443491</v>
      </c>
      <c r="AS64" s="12">
        <f t="shared" si="48"/>
        <v>14763.08599568259</v>
      </c>
      <c r="AT64" s="12">
        <f t="shared" si="48"/>
        <v>15043.584629600555</v>
      </c>
      <c r="AU64" s="12">
        <f t="shared" si="48"/>
        <v>15329.412737562965</v>
      </c>
      <c r="AV64" s="12">
        <f t="shared" si="48"/>
        <v>15636.000992314228</v>
      </c>
      <c r="AW64" s="12">
        <f t="shared" si="48"/>
        <v>15956.539012656667</v>
      </c>
      <c r="AX64" s="12">
        <f t="shared" si="48"/>
        <v>16291.626331922454</v>
      </c>
      <c r="AY64" s="12">
        <f t="shared" si="48"/>
        <v>16641.896298058789</v>
      </c>
      <c r="AZ64" s="12">
        <f t="shared" si="48"/>
        <v>17008.018016616083</v>
      </c>
      <c r="BA64" s="12">
        <f t="shared" si="48"/>
        <v>17382.194412981633</v>
      </c>
      <c r="BB64" s="12">
        <f t="shared" si="48"/>
        <v>17764.60269006723</v>
      </c>
      <c r="BC64" s="12">
        <f t="shared" si="48"/>
        <v>18155.42394924871</v>
      </c>
      <c r="BD64" s="12">
        <f t="shared" si="48"/>
        <v>18554.843276132186</v>
      </c>
      <c r="BE64" s="12">
        <f t="shared" si="48"/>
        <v>18963.049828207095</v>
      </c>
      <c r="BF64" s="12">
        <f t="shared" si="48"/>
        <v>19380.236924427652</v>
      </c>
      <c r="BG64" s="12">
        <f t="shared" si="48"/>
        <v>19806.602136765061</v>
      </c>
      <c r="BH64" s="12">
        <f t="shared" si="48"/>
        <v>19806.602136765061</v>
      </c>
      <c r="BI64" s="12">
        <f t="shared" si="48"/>
        <v>19806.602136765061</v>
      </c>
      <c r="BJ64" s="12">
        <f t="shared" si="48"/>
        <v>19806.602136765061</v>
      </c>
      <c r="BK64" s="12">
        <f t="shared" si="48"/>
        <v>19806.602136765061</v>
      </c>
      <c r="BL64" s="12">
        <f t="shared" si="48"/>
        <v>19806.602136765061</v>
      </c>
      <c r="BM64" s="12">
        <f t="shared" si="48"/>
        <v>19806.602136765061</v>
      </c>
      <c r="BN64" s="12">
        <f t="shared" si="48"/>
        <v>19806.602136765061</v>
      </c>
      <c r="BO64" s="12">
        <f t="shared" si="48"/>
        <v>19806.602136765061</v>
      </c>
      <c r="BP64" s="12">
        <f t="shared" si="48"/>
        <v>19806.602136765061</v>
      </c>
      <c r="BQ64" s="12">
        <f t="shared" si="48"/>
        <v>19806.602136765061</v>
      </c>
      <c r="BR64" s="12">
        <f t="shared" si="48"/>
        <v>19806.602136765061</v>
      </c>
      <c r="BS64" s="12">
        <f t="shared" si="48"/>
        <v>19806.602136765061</v>
      </c>
      <c r="BT64" s="12">
        <f t="shared" si="48"/>
        <v>19806.602136765061</v>
      </c>
      <c r="BU64" s="12">
        <f t="shared" si="48"/>
        <v>19806.602136765061</v>
      </c>
      <c r="BV64" s="12">
        <f t="shared" si="48"/>
        <v>19806.602136765061</v>
      </c>
      <c r="BW64" s="12">
        <f t="shared" si="48"/>
        <v>19806.602136765061</v>
      </c>
      <c r="BX64" s="12">
        <f t="shared" si="48"/>
        <v>19806.602136765061</v>
      </c>
      <c r="BY64" s="12">
        <f t="shared" si="48"/>
        <v>19806.602136765061</v>
      </c>
      <c r="BZ64" s="12">
        <f t="shared" si="48"/>
        <v>19806.602136765061</v>
      </c>
      <c r="CA64" s="12">
        <f t="shared" si="48"/>
        <v>19806.602136765061</v>
      </c>
      <c r="CB64" s="12">
        <f t="shared" si="48"/>
        <v>19806.602136765061</v>
      </c>
      <c r="CC64" s="12">
        <f t="shared" si="48"/>
        <v>19806.602136765061</v>
      </c>
      <c r="CD64" s="12">
        <f t="shared" si="48"/>
        <v>19806.602136765061</v>
      </c>
      <c r="CE64" s="12">
        <f t="shared" si="48"/>
        <v>19806.602136765061</v>
      </c>
      <c r="CF64" s="12">
        <f t="shared" si="48"/>
        <v>19806.602136765061</v>
      </c>
      <c r="CG64" s="12">
        <f t="shared" si="48"/>
        <v>19806.602136765061</v>
      </c>
      <c r="CH64" s="12">
        <f t="shared" si="48"/>
        <v>19806.602136765061</v>
      </c>
      <c r="CI64" s="12">
        <f t="shared" si="48"/>
        <v>19806.602136765061</v>
      </c>
      <c r="CJ64" s="12">
        <f t="shared" si="48"/>
        <v>19806.602136765061</v>
      </c>
      <c r="CK64" s="12">
        <f t="shared" si="48"/>
        <v>19806.602136765061</v>
      </c>
      <c r="CL64" s="12">
        <f t="shared" si="48"/>
        <v>19806.602136765061</v>
      </c>
      <c r="CM64" s="12">
        <f t="shared" si="48"/>
        <v>19806.602136765061</v>
      </c>
      <c r="CN64" s="12">
        <f t="shared" si="48"/>
        <v>19806.602136765061</v>
      </c>
      <c r="CO64" s="12">
        <f t="shared" si="48"/>
        <v>19806.602136765061</v>
      </c>
      <c r="CP64" s="12">
        <f t="shared" si="48"/>
        <v>19806.602136765061</v>
      </c>
      <c r="CQ64" s="12">
        <f t="shared" si="48"/>
        <v>19806.602136765061</v>
      </c>
      <c r="CR64" s="12">
        <f t="shared" si="48"/>
        <v>19806.602136765061</v>
      </c>
      <c r="CS64" s="12">
        <f t="shared" si="48"/>
        <v>19806.602136765061</v>
      </c>
      <c r="CT64" s="12">
        <f t="shared" si="48"/>
        <v>19806.602136765061</v>
      </c>
      <c r="CU64" s="12">
        <f t="shared" si="48"/>
        <v>19806.602136765061</v>
      </c>
      <c r="CV64" s="12">
        <f t="shared" si="48"/>
        <v>19806.602136765061</v>
      </c>
    </row>
    <row r="65" spans="1:100">
      <c r="A65" s="8"/>
      <c r="B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 t="s">
        <v>232</v>
      </c>
      <c r="X65" s="12"/>
      <c r="Y65" s="12"/>
      <c r="Z65" s="12">
        <f t="shared" ref="Z65:AA67" si="49">Z22-Z53</f>
        <v>71331.513346501713</v>
      </c>
      <c r="AA65" s="12">
        <f t="shared" si="49"/>
        <v>81270.56982346077</v>
      </c>
      <c r="AB65" s="12"/>
      <c r="AC65" s="12"/>
      <c r="AD65" s="12"/>
      <c r="AE65" s="12"/>
      <c r="AH65" s="12"/>
      <c r="AI65" s="12"/>
      <c r="AJ65" s="12" t="s">
        <v>234</v>
      </c>
      <c r="AN65" s="12">
        <f t="shared" si="47"/>
        <v>1649.2134243951407</v>
      </c>
      <c r="AO65" s="12">
        <f t="shared" si="47"/>
        <v>1686.5186320549592</v>
      </c>
      <c r="AP65" s="12">
        <f t="shared" si="47"/>
        <v>1704.716168094832</v>
      </c>
      <c r="AQ65" s="12">
        <f t="shared" si="47"/>
        <v>1734.105474832787</v>
      </c>
      <c r="AR65" s="12">
        <f t="shared" si="47"/>
        <v>1772.255795279108</v>
      </c>
      <c r="AS65" s="12">
        <f t="shared" si="47"/>
        <v>1800.6118880035738</v>
      </c>
      <c r="AT65" s="12">
        <f t="shared" si="47"/>
        <v>1834.8235138756415</v>
      </c>
      <c r="AU65" s="12">
        <f t="shared" si="47"/>
        <v>1869.6851606392788</v>
      </c>
      <c r="AV65" s="12">
        <f t="shared" si="47"/>
        <v>1907.0788638520642</v>
      </c>
      <c r="AW65" s="12">
        <f t="shared" si="47"/>
        <v>1946.1739805610314</v>
      </c>
      <c r="AX65" s="12">
        <f t="shared" si="47"/>
        <v>1987.0436341528127</v>
      </c>
      <c r="AY65" s="12">
        <f t="shared" si="47"/>
        <v>2029.7650722870985</v>
      </c>
      <c r="AZ65" s="12">
        <f t="shared" si="47"/>
        <v>2074.419903877415</v>
      </c>
      <c r="BA65" s="12">
        <f t="shared" si="47"/>
        <v>2120.0571417627184</v>
      </c>
      <c r="BB65" s="12">
        <f t="shared" si="47"/>
        <v>2166.6983988814982</v>
      </c>
      <c r="BC65" s="12">
        <f t="shared" si="47"/>
        <v>2214.365763656891</v>
      </c>
      <c r="BD65" s="12">
        <f t="shared" si="48"/>
        <v>2263.0818104573427</v>
      </c>
      <c r="BE65" s="12">
        <f t="shared" si="48"/>
        <v>2312.8696102874042</v>
      </c>
      <c r="BF65" s="12">
        <f t="shared" si="48"/>
        <v>2363.7527417137271</v>
      </c>
      <c r="BG65" s="12">
        <f t="shared" si="48"/>
        <v>2415.755302031429</v>
      </c>
      <c r="BH65" s="12">
        <f t="shared" si="48"/>
        <v>2415.755302031429</v>
      </c>
      <c r="BI65" s="12">
        <f t="shared" si="48"/>
        <v>2415.755302031429</v>
      </c>
      <c r="BJ65" s="12">
        <f t="shared" si="48"/>
        <v>2415.755302031429</v>
      </c>
      <c r="BK65" s="12">
        <f t="shared" si="48"/>
        <v>2415.755302031429</v>
      </c>
      <c r="BL65" s="12">
        <f t="shared" si="48"/>
        <v>2415.755302031429</v>
      </c>
      <c r="BM65" s="12">
        <f t="shared" si="48"/>
        <v>2415.755302031429</v>
      </c>
      <c r="BN65" s="12">
        <f t="shared" si="48"/>
        <v>2415.755302031429</v>
      </c>
      <c r="BO65" s="12">
        <f t="shared" si="48"/>
        <v>2415.755302031429</v>
      </c>
      <c r="BP65" s="12">
        <f t="shared" si="48"/>
        <v>2415.755302031429</v>
      </c>
      <c r="BQ65" s="12">
        <f t="shared" si="48"/>
        <v>2415.755302031429</v>
      </c>
      <c r="BR65" s="12">
        <f t="shared" si="48"/>
        <v>2415.755302031429</v>
      </c>
      <c r="BS65" s="12">
        <f t="shared" si="48"/>
        <v>2415.755302031429</v>
      </c>
      <c r="BT65" s="12">
        <f t="shared" si="48"/>
        <v>2415.755302031429</v>
      </c>
      <c r="BU65" s="12">
        <f t="shared" si="48"/>
        <v>2415.755302031429</v>
      </c>
      <c r="BV65" s="12">
        <f t="shared" si="48"/>
        <v>2415.755302031429</v>
      </c>
      <c r="BW65" s="12">
        <f t="shared" si="48"/>
        <v>2415.755302031429</v>
      </c>
      <c r="BX65" s="12">
        <f t="shared" si="48"/>
        <v>2415.755302031429</v>
      </c>
      <c r="BY65" s="12">
        <f t="shared" si="48"/>
        <v>2415.755302031429</v>
      </c>
      <c r="BZ65" s="12">
        <f t="shared" si="48"/>
        <v>2415.755302031429</v>
      </c>
      <c r="CA65" s="12">
        <f t="shared" si="48"/>
        <v>2415.755302031429</v>
      </c>
      <c r="CB65" s="12">
        <f t="shared" si="48"/>
        <v>2415.755302031429</v>
      </c>
      <c r="CC65" s="12">
        <f t="shared" si="48"/>
        <v>2415.755302031429</v>
      </c>
      <c r="CD65" s="12">
        <f t="shared" si="48"/>
        <v>2415.755302031429</v>
      </c>
      <c r="CE65" s="12">
        <f t="shared" si="48"/>
        <v>2415.755302031429</v>
      </c>
      <c r="CF65" s="12">
        <f t="shared" si="48"/>
        <v>2415.755302031429</v>
      </c>
      <c r="CG65" s="12">
        <f t="shared" si="48"/>
        <v>2415.755302031429</v>
      </c>
      <c r="CH65" s="12">
        <f t="shared" si="48"/>
        <v>2415.755302031429</v>
      </c>
      <c r="CI65" s="12">
        <f t="shared" si="48"/>
        <v>2415.755302031429</v>
      </c>
      <c r="CJ65" s="12">
        <f t="shared" si="48"/>
        <v>2415.755302031429</v>
      </c>
      <c r="CK65" s="12">
        <f t="shared" si="48"/>
        <v>2415.755302031429</v>
      </c>
      <c r="CL65" s="12">
        <f t="shared" si="48"/>
        <v>2415.755302031429</v>
      </c>
      <c r="CM65" s="12">
        <f t="shared" si="48"/>
        <v>2415.755302031429</v>
      </c>
      <c r="CN65" s="12">
        <f t="shared" si="48"/>
        <v>2415.755302031429</v>
      </c>
      <c r="CO65" s="12">
        <f t="shared" si="48"/>
        <v>2415.755302031429</v>
      </c>
      <c r="CP65" s="12">
        <f t="shared" si="48"/>
        <v>2415.755302031429</v>
      </c>
      <c r="CQ65" s="12">
        <f t="shared" si="48"/>
        <v>2415.755302031429</v>
      </c>
      <c r="CR65" s="12">
        <f t="shared" si="48"/>
        <v>2415.755302031429</v>
      </c>
      <c r="CS65" s="12">
        <f t="shared" si="48"/>
        <v>2415.755302031429</v>
      </c>
      <c r="CT65" s="12">
        <f t="shared" si="48"/>
        <v>2415.755302031429</v>
      </c>
      <c r="CU65" s="12">
        <f t="shared" si="48"/>
        <v>2415.755302031429</v>
      </c>
      <c r="CV65" s="12">
        <f t="shared" si="48"/>
        <v>2415.755302031429</v>
      </c>
    </row>
    <row r="66" spans="1:100"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 t="s">
        <v>233</v>
      </c>
      <c r="X66" s="12"/>
      <c r="Y66" s="12"/>
      <c r="Z66" s="12">
        <f>Z23-Z54</f>
        <v>93939.333548470153</v>
      </c>
      <c r="AA66" s="12">
        <f t="shared" si="49"/>
        <v>100450.72905299097</v>
      </c>
      <c r="AB66" s="12"/>
      <c r="AC66" s="12"/>
      <c r="AD66" s="12"/>
      <c r="AE66" s="12"/>
    </row>
    <row r="67" spans="1:100">
      <c r="A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 t="s">
        <v>234</v>
      </c>
      <c r="Z67">
        <f t="shared" si="49"/>
        <v>9730.9000000000015</v>
      </c>
      <c r="AA67">
        <f t="shared" si="49"/>
        <v>10370.599999999999</v>
      </c>
    </row>
    <row r="68" spans="1:100">
      <c r="A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AJ68" s="12" t="s">
        <v>137</v>
      </c>
    </row>
    <row r="69" spans="1:100">
      <c r="A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W69" s="12" t="s">
        <v>267</v>
      </c>
      <c r="AH69" s="12"/>
      <c r="AI69" s="12"/>
      <c r="AJ69" s="12" t="s">
        <v>230</v>
      </c>
      <c r="AN69">
        <f t="shared" ref="AN69:BS69" si="50">AN4*$AE$5/100 + AN16*$AC$5/100 + AN28*$AD$5/100</f>
        <v>565233.26692346495</v>
      </c>
      <c r="AO69" s="12">
        <f t="shared" si="50"/>
        <v>578018.84342127363</v>
      </c>
      <c r="AP69" s="12">
        <f t="shared" si="50"/>
        <v>584255.6667417892</v>
      </c>
      <c r="AQ69" s="12">
        <f t="shared" si="50"/>
        <v>594328.23443641758</v>
      </c>
      <c r="AR69" s="12">
        <f t="shared" si="50"/>
        <v>607403.4555940188</v>
      </c>
      <c r="AS69" s="12">
        <f t="shared" si="50"/>
        <v>617121.91088352317</v>
      </c>
      <c r="AT69" s="12">
        <f t="shared" si="50"/>
        <v>628847.22719031002</v>
      </c>
      <c r="AU69" s="12">
        <f t="shared" si="50"/>
        <v>640795.32450692577</v>
      </c>
      <c r="AV69" s="12">
        <f t="shared" si="50"/>
        <v>653611.23099706438</v>
      </c>
      <c r="AW69" s="12">
        <f t="shared" si="50"/>
        <v>667010.26123250416</v>
      </c>
      <c r="AX69" s="12">
        <f t="shared" si="50"/>
        <v>681017.47671838664</v>
      </c>
      <c r="AY69" s="12">
        <f t="shared" si="50"/>
        <v>695659.35246783204</v>
      </c>
      <c r="AZ69" s="12">
        <f t="shared" si="50"/>
        <v>710963.85822212428</v>
      </c>
      <c r="BA69" s="12">
        <f t="shared" si="50"/>
        <v>726605.06310301111</v>
      </c>
      <c r="BB69" s="12">
        <f t="shared" si="50"/>
        <v>742590.3744912775</v>
      </c>
      <c r="BC69" s="12">
        <f t="shared" si="50"/>
        <v>758927.36273008562</v>
      </c>
      <c r="BD69" s="12">
        <f t="shared" si="50"/>
        <v>775623.76471014752</v>
      </c>
      <c r="BE69" s="12">
        <f t="shared" si="50"/>
        <v>792687.48753377073</v>
      </c>
      <c r="BF69" s="12">
        <f t="shared" si="50"/>
        <v>810126.6122595137</v>
      </c>
      <c r="BG69" s="12">
        <f t="shared" si="50"/>
        <v>827949.39772922301</v>
      </c>
      <c r="BH69" s="12">
        <f t="shared" si="50"/>
        <v>827949.39772922301</v>
      </c>
      <c r="BI69" s="12">
        <f t="shared" si="50"/>
        <v>827949.39772922301</v>
      </c>
      <c r="BJ69" s="12">
        <f t="shared" si="50"/>
        <v>827949.39772922301</v>
      </c>
      <c r="BK69" s="12">
        <f t="shared" si="50"/>
        <v>827949.39772922301</v>
      </c>
      <c r="BL69" s="12">
        <f t="shared" si="50"/>
        <v>827949.39772922301</v>
      </c>
      <c r="BM69" s="12">
        <f t="shared" si="50"/>
        <v>827949.39772922301</v>
      </c>
      <c r="BN69" s="12">
        <f t="shared" si="50"/>
        <v>827949.39772922301</v>
      </c>
      <c r="BO69" s="12">
        <f t="shared" si="50"/>
        <v>827949.39772922301</v>
      </c>
      <c r="BP69" s="12">
        <f t="shared" si="50"/>
        <v>827949.39772922301</v>
      </c>
      <c r="BQ69" s="12">
        <f t="shared" si="50"/>
        <v>827949.39772922301</v>
      </c>
      <c r="BR69" s="12">
        <f t="shared" si="50"/>
        <v>827949.39772922301</v>
      </c>
      <c r="BS69" s="12">
        <f t="shared" si="50"/>
        <v>827949.39772922301</v>
      </c>
      <c r="BT69" s="12">
        <f t="shared" ref="BT69:CV69" si="51">BT4*$AE$5/100 + BT16*$AC$5/100 + BT28*$AD$5/100</f>
        <v>827949.39772922301</v>
      </c>
      <c r="BU69" s="12">
        <f t="shared" si="51"/>
        <v>827949.39772922301</v>
      </c>
      <c r="BV69" s="12">
        <f t="shared" si="51"/>
        <v>827949.39772922301</v>
      </c>
      <c r="BW69" s="12">
        <f t="shared" si="51"/>
        <v>827949.39772922301</v>
      </c>
      <c r="BX69" s="12">
        <f t="shared" si="51"/>
        <v>827949.39772922301</v>
      </c>
      <c r="BY69" s="12">
        <f t="shared" si="51"/>
        <v>827949.39772922301</v>
      </c>
      <c r="BZ69" s="12">
        <f t="shared" si="51"/>
        <v>827949.39772922301</v>
      </c>
      <c r="CA69" s="12">
        <f t="shared" si="51"/>
        <v>827949.39772922301</v>
      </c>
      <c r="CB69" s="12">
        <f t="shared" si="51"/>
        <v>827949.39772922301</v>
      </c>
      <c r="CC69" s="12">
        <f t="shared" si="51"/>
        <v>827949.39772922301</v>
      </c>
      <c r="CD69" s="12">
        <f t="shared" si="51"/>
        <v>827949.39772922301</v>
      </c>
      <c r="CE69" s="12">
        <f t="shared" si="51"/>
        <v>827949.39772922301</v>
      </c>
      <c r="CF69" s="12">
        <f t="shared" si="51"/>
        <v>827949.39772922301</v>
      </c>
      <c r="CG69" s="12">
        <f t="shared" si="51"/>
        <v>827949.39772922301</v>
      </c>
      <c r="CH69" s="12">
        <f t="shared" si="51"/>
        <v>827949.39772922301</v>
      </c>
      <c r="CI69" s="12">
        <f t="shared" si="51"/>
        <v>827949.39772922301</v>
      </c>
      <c r="CJ69" s="12">
        <f t="shared" si="51"/>
        <v>827949.39772922301</v>
      </c>
      <c r="CK69" s="12">
        <f t="shared" si="51"/>
        <v>827949.39772922301</v>
      </c>
      <c r="CL69" s="12">
        <f t="shared" si="51"/>
        <v>827949.39772922301</v>
      </c>
      <c r="CM69" s="12">
        <f t="shared" si="51"/>
        <v>827949.39772922301</v>
      </c>
      <c r="CN69" s="12">
        <f t="shared" si="51"/>
        <v>827949.39772922301</v>
      </c>
      <c r="CO69" s="12">
        <f t="shared" si="51"/>
        <v>827949.39772922301</v>
      </c>
      <c r="CP69" s="12">
        <f t="shared" si="51"/>
        <v>827949.39772922301</v>
      </c>
      <c r="CQ69" s="12">
        <f t="shared" si="51"/>
        <v>827949.39772922301</v>
      </c>
      <c r="CR69" s="12">
        <f t="shared" si="51"/>
        <v>827949.39772922301</v>
      </c>
      <c r="CS69" s="12">
        <f t="shared" si="51"/>
        <v>827949.39772922301</v>
      </c>
      <c r="CT69" s="12">
        <f t="shared" si="51"/>
        <v>827949.39772922301</v>
      </c>
      <c r="CU69" s="12">
        <f t="shared" si="51"/>
        <v>827949.39772922301</v>
      </c>
      <c r="CV69" s="12">
        <f t="shared" si="51"/>
        <v>827949.39772922301</v>
      </c>
    </row>
    <row r="70" spans="1:100">
      <c r="A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Z70" s="12">
        <v>2009</v>
      </c>
      <c r="AA70" s="12">
        <v>2010</v>
      </c>
      <c r="AB70" s="12"/>
      <c r="AC70" s="12"/>
      <c r="AD70" s="12"/>
      <c r="AE70" s="12"/>
      <c r="AH70" s="12"/>
      <c r="AI70" s="12"/>
      <c r="AJ70" s="12" t="s">
        <v>231</v>
      </c>
      <c r="AN70" s="12">
        <f t="shared" ref="AN70" si="52">AN5*$AE$5/100 + AN17*$AC$5/100 + AN29*$AD$5/100</f>
        <v>0</v>
      </c>
      <c r="AO70" s="12">
        <f t="shared" ref="AO70:BS70" si="53">AO5*$AE$5/100 + AO17*$AC$5/100 + AO29*$AD$5/100</f>
        <v>0</v>
      </c>
      <c r="AP70" s="12">
        <f t="shared" si="53"/>
        <v>0</v>
      </c>
      <c r="AQ70" s="12">
        <f t="shared" si="53"/>
        <v>0</v>
      </c>
      <c r="AR70" s="12">
        <f t="shared" si="53"/>
        <v>0</v>
      </c>
      <c r="AS70" s="12">
        <f t="shared" si="53"/>
        <v>0</v>
      </c>
      <c r="AT70" s="12">
        <f t="shared" si="53"/>
        <v>0</v>
      </c>
      <c r="AU70" s="12">
        <f t="shared" si="53"/>
        <v>0</v>
      </c>
      <c r="AV70" s="12">
        <f t="shared" si="53"/>
        <v>0</v>
      </c>
      <c r="AW70" s="12">
        <f t="shared" si="53"/>
        <v>0</v>
      </c>
      <c r="AX70" s="12">
        <f t="shared" si="53"/>
        <v>0</v>
      </c>
      <c r="AY70" s="12">
        <f t="shared" si="53"/>
        <v>0</v>
      </c>
      <c r="AZ70" s="12">
        <f t="shared" si="53"/>
        <v>0</v>
      </c>
      <c r="BA70" s="12">
        <f t="shared" si="53"/>
        <v>0</v>
      </c>
      <c r="BB70" s="12">
        <f t="shared" si="53"/>
        <v>0</v>
      </c>
      <c r="BC70" s="12">
        <f t="shared" si="53"/>
        <v>0</v>
      </c>
      <c r="BD70" s="12">
        <f t="shared" si="53"/>
        <v>0</v>
      </c>
      <c r="BE70" s="12">
        <f t="shared" si="53"/>
        <v>0</v>
      </c>
      <c r="BF70" s="12">
        <f t="shared" si="53"/>
        <v>0</v>
      </c>
      <c r="BG70" s="12">
        <f t="shared" si="53"/>
        <v>0</v>
      </c>
      <c r="BH70" s="12">
        <f t="shared" si="53"/>
        <v>0</v>
      </c>
      <c r="BI70" s="12">
        <f t="shared" si="53"/>
        <v>0</v>
      </c>
      <c r="BJ70" s="12">
        <f t="shared" si="53"/>
        <v>0</v>
      </c>
      <c r="BK70" s="12">
        <f t="shared" si="53"/>
        <v>0</v>
      </c>
      <c r="BL70" s="12">
        <f t="shared" si="53"/>
        <v>0</v>
      </c>
      <c r="BM70" s="12">
        <f t="shared" si="53"/>
        <v>0</v>
      </c>
      <c r="BN70" s="12">
        <f t="shared" si="53"/>
        <v>0</v>
      </c>
      <c r="BO70" s="12">
        <f t="shared" si="53"/>
        <v>0</v>
      </c>
      <c r="BP70" s="12">
        <f t="shared" si="53"/>
        <v>0</v>
      </c>
      <c r="BQ70" s="12">
        <f t="shared" si="53"/>
        <v>0</v>
      </c>
      <c r="BR70" s="12">
        <f t="shared" si="53"/>
        <v>0</v>
      </c>
      <c r="BS70" s="12">
        <f t="shared" si="53"/>
        <v>0</v>
      </c>
      <c r="BT70" s="12">
        <f t="shared" ref="BT70:CV70" si="54">BT5*$AE$5/100 + BT17*$AC$5/100 + BT29*$AD$5/100</f>
        <v>0</v>
      </c>
      <c r="BU70" s="12">
        <f t="shared" si="54"/>
        <v>0</v>
      </c>
      <c r="BV70" s="12">
        <f t="shared" si="54"/>
        <v>0</v>
      </c>
      <c r="BW70" s="12">
        <f t="shared" si="54"/>
        <v>0</v>
      </c>
      <c r="BX70" s="12">
        <f t="shared" si="54"/>
        <v>0</v>
      </c>
      <c r="BY70" s="12">
        <f t="shared" si="54"/>
        <v>0</v>
      </c>
      <c r="BZ70" s="12">
        <f t="shared" si="54"/>
        <v>0</v>
      </c>
      <c r="CA70" s="12">
        <f t="shared" si="54"/>
        <v>0</v>
      </c>
      <c r="CB70" s="12">
        <f t="shared" si="54"/>
        <v>0</v>
      </c>
      <c r="CC70" s="12">
        <f t="shared" si="54"/>
        <v>0</v>
      </c>
      <c r="CD70" s="12">
        <f t="shared" si="54"/>
        <v>0</v>
      </c>
      <c r="CE70" s="12">
        <f t="shared" si="54"/>
        <v>0</v>
      </c>
      <c r="CF70" s="12">
        <f t="shared" si="54"/>
        <v>0</v>
      </c>
      <c r="CG70" s="12">
        <f t="shared" si="54"/>
        <v>0</v>
      </c>
      <c r="CH70" s="12">
        <f t="shared" si="54"/>
        <v>0</v>
      </c>
      <c r="CI70" s="12">
        <f t="shared" si="54"/>
        <v>0</v>
      </c>
      <c r="CJ70" s="12">
        <f t="shared" si="54"/>
        <v>0</v>
      </c>
      <c r="CK70" s="12">
        <f t="shared" si="54"/>
        <v>0</v>
      </c>
      <c r="CL70" s="12">
        <f t="shared" si="54"/>
        <v>0</v>
      </c>
      <c r="CM70" s="12">
        <f t="shared" si="54"/>
        <v>0</v>
      </c>
      <c r="CN70" s="12">
        <f t="shared" si="54"/>
        <v>0</v>
      </c>
      <c r="CO70" s="12">
        <f t="shared" si="54"/>
        <v>0</v>
      </c>
      <c r="CP70" s="12">
        <f t="shared" si="54"/>
        <v>0</v>
      </c>
      <c r="CQ70" s="12">
        <f t="shared" si="54"/>
        <v>0</v>
      </c>
      <c r="CR70" s="12">
        <f t="shared" si="54"/>
        <v>0</v>
      </c>
      <c r="CS70" s="12">
        <f t="shared" si="54"/>
        <v>0</v>
      </c>
      <c r="CT70" s="12">
        <f t="shared" si="54"/>
        <v>0</v>
      </c>
      <c r="CU70" s="12">
        <f t="shared" si="54"/>
        <v>0</v>
      </c>
      <c r="CV70" s="12">
        <f t="shared" si="54"/>
        <v>0</v>
      </c>
    </row>
    <row r="71" spans="1:100">
      <c r="A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 t="s">
        <v>230</v>
      </c>
      <c r="Z71">
        <f>(J16 +N16) + (J16/M16*T16)</f>
        <v>196703.37358613728</v>
      </c>
      <c r="AA71" s="12">
        <f>(J45+N45)*S30 +J45/M45*T45*S30</f>
        <v>192484.4906849798</v>
      </c>
      <c r="AB71" s="12"/>
      <c r="AC71" s="12"/>
      <c r="AD71" s="12"/>
      <c r="AE71" s="12"/>
      <c r="AH71" s="12"/>
      <c r="AI71" s="12"/>
      <c r="AJ71" s="12" t="s">
        <v>232</v>
      </c>
      <c r="AN71" s="12">
        <f t="shared" ref="AN71" si="55">AN6*$AE$5/100 + AN18*$AC$5/100 + AN30*$AD$5/100</f>
        <v>16904.609429181961</v>
      </c>
      <c r="AO71" s="12">
        <f t="shared" ref="AO71:BS71" si="56">AO6*$AE$5/100 + AO18*$AC$5/100 + AO30*$AD$5/100</f>
        <v>17286.991694470056</v>
      </c>
      <c r="AP71" s="12">
        <f t="shared" si="56"/>
        <v>17473.51833485339</v>
      </c>
      <c r="AQ71" s="12">
        <f t="shared" si="56"/>
        <v>17774.761790946261</v>
      </c>
      <c r="AR71" s="12">
        <f t="shared" si="56"/>
        <v>18165.806550347079</v>
      </c>
      <c r="AS71" s="12">
        <f t="shared" si="56"/>
        <v>18456.459455152632</v>
      </c>
      <c r="AT71" s="12">
        <f t="shared" si="56"/>
        <v>18807.132184800528</v>
      </c>
      <c r="AU71" s="12">
        <f t="shared" si="56"/>
        <v>19164.467696311738</v>
      </c>
      <c r="AV71" s="12">
        <f t="shared" si="56"/>
        <v>19547.757050237975</v>
      </c>
      <c r="AW71" s="12">
        <f t="shared" si="56"/>
        <v>19948.486069767852</v>
      </c>
      <c r="AX71" s="12">
        <f t="shared" si="56"/>
        <v>20367.404277232974</v>
      </c>
      <c r="AY71" s="12">
        <f t="shared" si="56"/>
        <v>20805.303469193484</v>
      </c>
      <c r="AZ71" s="12">
        <f t="shared" si="56"/>
        <v>21263.020145515744</v>
      </c>
      <c r="BA71" s="12">
        <f t="shared" si="56"/>
        <v>21730.806588717089</v>
      </c>
      <c r="BB71" s="12">
        <f t="shared" si="56"/>
        <v>22208.884333668866</v>
      </c>
      <c r="BC71" s="12">
        <f t="shared" si="56"/>
        <v>22697.479789009583</v>
      </c>
      <c r="BD71" s="12">
        <f t="shared" si="56"/>
        <v>23196.824344367797</v>
      </c>
      <c r="BE71" s="12">
        <f t="shared" si="56"/>
        <v>23707.154479943885</v>
      </c>
      <c r="BF71" s="12">
        <f t="shared" si="56"/>
        <v>24228.711878502647</v>
      </c>
      <c r="BG71" s="12">
        <f t="shared" si="56"/>
        <v>24761.743539829706</v>
      </c>
      <c r="BH71" s="12">
        <f t="shared" si="56"/>
        <v>24761.743539829706</v>
      </c>
      <c r="BI71" s="12">
        <f t="shared" si="56"/>
        <v>24761.743539829706</v>
      </c>
      <c r="BJ71" s="12">
        <f t="shared" si="56"/>
        <v>24761.743539829706</v>
      </c>
      <c r="BK71" s="12">
        <f t="shared" si="56"/>
        <v>24761.743539829706</v>
      </c>
      <c r="BL71" s="12">
        <f t="shared" si="56"/>
        <v>24761.743539829706</v>
      </c>
      <c r="BM71" s="12">
        <f t="shared" si="56"/>
        <v>24761.743539829706</v>
      </c>
      <c r="BN71" s="12">
        <f t="shared" si="56"/>
        <v>24761.743539829706</v>
      </c>
      <c r="BO71" s="12">
        <f t="shared" si="56"/>
        <v>24761.743539829706</v>
      </c>
      <c r="BP71" s="12">
        <f t="shared" si="56"/>
        <v>24761.743539829706</v>
      </c>
      <c r="BQ71" s="12">
        <f t="shared" si="56"/>
        <v>24761.743539829706</v>
      </c>
      <c r="BR71" s="12">
        <f t="shared" si="56"/>
        <v>24761.743539829706</v>
      </c>
      <c r="BS71" s="12">
        <f t="shared" si="56"/>
        <v>24761.743539829706</v>
      </c>
      <c r="BT71" s="12">
        <f t="shared" ref="BT71:CV71" si="57">BT6*$AE$5/100 + BT18*$AC$5/100 + BT30*$AD$5/100</f>
        <v>24761.743539829706</v>
      </c>
      <c r="BU71" s="12">
        <f t="shared" si="57"/>
        <v>24761.743539829706</v>
      </c>
      <c r="BV71" s="12">
        <f t="shared" si="57"/>
        <v>24761.743539829706</v>
      </c>
      <c r="BW71" s="12">
        <f t="shared" si="57"/>
        <v>24761.743539829706</v>
      </c>
      <c r="BX71" s="12">
        <f t="shared" si="57"/>
        <v>24761.743539829706</v>
      </c>
      <c r="BY71" s="12">
        <f t="shared" si="57"/>
        <v>24761.743539829706</v>
      </c>
      <c r="BZ71" s="12">
        <f t="shared" si="57"/>
        <v>24761.743539829706</v>
      </c>
      <c r="CA71" s="12">
        <f t="shared" si="57"/>
        <v>24761.743539829706</v>
      </c>
      <c r="CB71" s="12">
        <f t="shared" si="57"/>
        <v>24761.743539829706</v>
      </c>
      <c r="CC71" s="12">
        <f t="shared" si="57"/>
        <v>24761.743539829706</v>
      </c>
      <c r="CD71" s="12">
        <f t="shared" si="57"/>
        <v>24761.743539829706</v>
      </c>
      <c r="CE71" s="12">
        <f t="shared" si="57"/>
        <v>24761.743539829706</v>
      </c>
      <c r="CF71" s="12">
        <f t="shared" si="57"/>
        <v>24761.743539829706</v>
      </c>
      <c r="CG71" s="12">
        <f t="shared" si="57"/>
        <v>24761.743539829706</v>
      </c>
      <c r="CH71" s="12">
        <f t="shared" si="57"/>
        <v>24761.743539829706</v>
      </c>
      <c r="CI71" s="12">
        <f t="shared" si="57"/>
        <v>24761.743539829706</v>
      </c>
      <c r="CJ71" s="12">
        <f t="shared" si="57"/>
        <v>24761.743539829706</v>
      </c>
      <c r="CK71" s="12">
        <f t="shared" si="57"/>
        <v>24761.743539829706</v>
      </c>
      <c r="CL71" s="12">
        <f t="shared" si="57"/>
        <v>24761.743539829706</v>
      </c>
      <c r="CM71" s="12">
        <f t="shared" si="57"/>
        <v>24761.743539829706</v>
      </c>
      <c r="CN71" s="12">
        <f t="shared" si="57"/>
        <v>24761.743539829706</v>
      </c>
      <c r="CO71" s="12">
        <f t="shared" si="57"/>
        <v>24761.743539829706</v>
      </c>
      <c r="CP71" s="12">
        <f t="shared" si="57"/>
        <v>24761.743539829706</v>
      </c>
      <c r="CQ71" s="12">
        <f t="shared" si="57"/>
        <v>24761.743539829706</v>
      </c>
      <c r="CR71" s="12">
        <f t="shared" si="57"/>
        <v>24761.743539829706</v>
      </c>
      <c r="CS71" s="12">
        <f t="shared" si="57"/>
        <v>24761.743539829706</v>
      </c>
      <c r="CT71" s="12">
        <f t="shared" si="57"/>
        <v>24761.743539829706</v>
      </c>
      <c r="CU71" s="12">
        <f t="shared" si="57"/>
        <v>24761.743539829706</v>
      </c>
      <c r="CV71" s="12">
        <f t="shared" si="57"/>
        <v>24761.743539829706</v>
      </c>
    </row>
    <row r="72" spans="1:100">
      <c r="A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 t="s">
        <v>231</v>
      </c>
      <c r="Z72" s="12">
        <f>(J17 +N17) + (J17*T17)</f>
        <v>0</v>
      </c>
      <c r="AA72" s="12">
        <f t="shared" ref="AA72:AA75" si="58">(J46+N46)*S31 +J46/M46*T46*S31</f>
        <v>0</v>
      </c>
      <c r="AB72" s="12"/>
      <c r="AC72" s="12"/>
      <c r="AD72" s="12"/>
      <c r="AE72" s="12"/>
      <c r="AH72" s="12"/>
      <c r="AI72" s="12"/>
      <c r="AJ72" s="12" t="s">
        <v>233</v>
      </c>
      <c r="AN72" s="12">
        <f t="shared" ref="AN72" si="59">AN7*$AE$5/100 + AN19*$AC$5/100 + AN31*$AD$5/100</f>
        <v>113254.53830372737</v>
      </c>
      <c r="AO72" s="12">
        <f t="shared" ref="AO72:BS72" si="60">AO7*$AE$5/100 + AO19*$AC$5/100 + AO31*$AD$5/100</f>
        <v>115816.3559601577</v>
      </c>
      <c r="AP72" s="12">
        <f t="shared" si="60"/>
        <v>117066.01444096782</v>
      </c>
      <c r="AQ72" s="12">
        <f t="shared" si="60"/>
        <v>119084.2325299301</v>
      </c>
      <c r="AR72" s="12">
        <f t="shared" si="60"/>
        <v>121704.08564558858</v>
      </c>
      <c r="AS72" s="12">
        <f t="shared" si="60"/>
        <v>123651.351015918</v>
      </c>
      <c r="AT72" s="12">
        <f t="shared" si="60"/>
        <v>126000.72668522043</v>
      </c>
      <c r="AU72" s="12">
        <f t="shared" si="60"/>
        <v>128394.74049223959</v>
      </c>
      <c r="AV72" s="12">
        <f t="shared" si="60"/>
        <v>130962.6353020844</v>
      </c>
      <c r="AW72" s="12">
        <f t="shared" si="60"/>
        <v>133647.36932577714</v>
      </c>
      <c r="AX72" s="12">
        <f t="shared" si="60"/>
        <v>136453.96408161844</v>
      </c>
      <c r="AY72" s="12">
        <f t="shared" si="60"/>
        <v>139387.72430937324</v>
      </c>
      <c r="AZ72" s="12">
        <f t="shared" si="60"/>
        <v>142454.25424417944</v>
      </c>
      <c r="BA72" s="12">
        <f t="shared" si="60"/>
        <v>145588.24783755137</v>
      </c>
      <c r="BB72" s="12">
        <f t="shared" si="60"/>
        <v>148791.18928997751</v>
      </c>
      <c r="BC72" s="12">
        <f t="shared" si="60"/>
        <v>152064.59545435704</v>
      </c>
      <c r="BD72" s="12">
        <f t="shared" si="60"/>
        <v>155410.01655435289</v>
      </c>
      <c r="BE72" s="12">
        <f t="shared" si="60"/>
        <v>158829.03691854863</v>
      </c>
      <c r="BF72" s="12">
        <f t="shared" si="60"/>
        <v>162323.27573075672</v>
      </c>
      <c r="BG72" s="12">
        <f t="shared" si="60"/>
        <v>165894.38779683338</v>
      </c>
      <c r="BH72" s="12">
        <f t="shared" si="60"/>
        <v>165894.38779683338</v>
      </c>
      <c r="BI72" s="12">
        <f t="shared" si="60"/>
        <v>165894.38779683338</v>
      </c>
      <c r="BJ72" s="12">
        <f t="shared" si="60"/>
        <v>165894.38779683338</v>
      </c>
      <c r="BK72" s="12">
        <f t="shared" si="60"/>
        <v>165894.38779683338</v>
      </c>
      <c r="BL72" s="12">
        <f t="shared" si="60"/>
        <v>165894.38779683338</v>
      </c>
      <c r="BM72" s="12">
        <f t="shared" si="60"/>
        <v>165894.38779683338</v>
      </c>
      <c r="BN72" s="12">
        <f t="shared" si="60"/>
        <v>165894.38779683338</v>
      </c>
      <c r="BO72" s="12">
        <f t="shared" si="60"/>
        <v>165894.38779683338</v>
      </c>
      <c r="BP72" s="12">
        <f t="shared" si="60"/>
        <v>165894.38779683338</v>
      </c>
      <c r="BQ72" s="12">
        <f t="shared" si="60"/>
        <v>165894.38779683338</v>
      </c>
      <c r="BR72" s="12">
        <f t="shared" si="60"/>
        <v>165894.38779683338</v>
      </c>
      <c r="BS72" s="12">
        <f t="shared" si="60"/>
        <v>165894.38779683338</v>
      </c>
      <c r="BT72" s="12">
        <f t="shared" ref="BT72:CV72" si="61">BT7*$AE$5/100 + BT19*$AC$5/100 + BT31*$AD$5/100</f>
        <v>165894.38779683338</v>
      </c>
      <c r="BU72" s="12">
        <f t="shared" si="61"/>
        <v>165894.38779683338</v>
      </c>
      <c r="BV72" s="12">
        <f t="shared" si="61"/>
        <v>165894.38779683338</v>
      </c>
      <c r="BW72" s="12">
        <f t="shared" si="61"/>
        <v>165894.38779683338</v>
      </c>
      <c r="BX72" s="12">
        <f t="shared" si="61"/>
        <v>165894.38779683338</v>
      </c>
      <c r="BY72" s="12">
        <f t="shared" si="61"/>
        <v>165894.38779683338</v>
      </c>
      <c r="BZ72" s="12">
        <f t="shared" si="61"/>
        <v>165894.38779683338</v>
      </c>
      <c r="CA72" s="12">
        <f t="shared" si="61"/>
        <v>165894.38779683338</v>
      </c>
      <c r="CB72" s="12">
        <f t="shared" si="61"/>
        <v>165894.38779683338</v>
      </c>
      <c r="CC72" s="12">
        <f t="shared" si="61"/>
        <v>165894.38779683338</v>
      </c>
      <c r="CD72" s="12">
        <f t="shared" si="61"/>
        <v>165894.38779683338</v>
      </c>
      <c r="CE72" s="12">
        <f t="shared" si="61"/>
        <v>165894.38779683338</v>
      </c>
      <c r="CF72" s="12">
        <f t="shared" si="61"/>
        <v>165894.38779683338</v>
      </c>
      <c r="CG72" s="12">
        <f t="shared" si="61"/>
        <v>165894.38779683338</v>
      </c>
      <c r="CH72" s="12">
        <f t="shared" si="61"/>
        <v>165894.38779683338</v>
      </c>
      <c r="CI72" s="12">
        <f t="shared" si="61"/>
        <v>165894.38779683338</v>
      </c>
      <c r="CJ72" s="12">
        <f t="shared" si="61"/>
        <v>165894.38779683338</v>
      </c>
      <c r="CK72" s="12">
        <f t="shared" si="61"/>
        <v>165894.38779683338</v>
      </c>
      <c r="CL72" s="12">
        <f t="shared" si="61"/>
        <v>165894.38779683338</v>
      </c>
      <c r="CM72" s="12">
        <f t="shared" si="61"/>
        <v>165894.38779683338</v>
      </c>
      <c r="CN72" s="12">
        <f t="shared" si="61"/>
        <v>165894.38779683338</v>
      </c>
      <c r="CO72" s="12">
        <f t="shared" si="61"/>
        <v>165894.38779683338</v>
      </c>
      <c r="CP72" s="12">
        <f t="shared" si="61"/>
        <v>165894.38779683338</v>
      </c>
      <c r="CQ72" s="12">
        <f t="shared" si="61"/>
        <v>165894.38779683338</v>
      </c>
      <c r="CR72" s="12">
        <f t="shared" si="61"/>
        <v>165894.38779683338</v>
      </c>
      <c r="CS72" s="12">
        <f t="shared" si="61"/>
        <v>165894.38779683338</v>
      </c>
      <c r="CT72" s="12">
        <f t="shared" si="61"/>
        <v>165894.38779683338</v>
      </c>
      <c r="CU72" s="12">
        <f t="shared" si="61"/>
        <v>165894.38779683338</v>
      </c>
      <c r="CV72" s="12">
        <f t="shared" si="61"/>
        <v>165894.38779683338</v>
      </c>
    </row>
    <row r="73" spans="1:100" s="12" customFormat="1">
      <c r="W73" s="12" t="s">
        <v>232</v>
      </c>
      <c r="Z73" s="12">
        <f t="shared" ref="Z73:Z75" si="62">(J18 +N18) + (J18/M18*T18)</f>
        <v>7401.310847281422</v>
      </c>
      <c r="AA73" s="12">
        <f t="shared" si="58"/>
        <v>11630.157969472062</v>
      </c>
      <c r="AJ73" s="12" t="s">
        <v>234</v>
      </c>
      <c r="AN73" s="12">
        <f t="shared" ref="AN73:CV73" si="63">AN8*$AE$5/100 + AN20*$AC$5/100 + AN32*$AD$5/100</f>
        <v>132319.82964054731</v>
      </c>
      <c r="AO73" s="12">
        <f t="shared" si="63"/>
        <v>135312.90418701651</v>
      </c>
      <c r="AP73" s="12">
        <f t="shared" si="63"/>
        <v>136772.93042319443</v>
      </c>
      <c r="AQ73" s="12">
        <f t="shared" si="63"/>
        <v>139130.89574369029</v>
      </c>
      <c r="AR73" s="12">
        <f t="shared" si="63"/>
        <v>142191.77545005147</v>
      </c>
      <c r="AS73" s="12">
        <f t="shared" si="63"/>
        <v>144466.84385725227</v>
      </c>
      <c r="AT73" s="12">
        <f t="shared" si="63"/>
        <v>147211.71389054006</v>
      </c>
      <c r="AU73" s="12">
        <f t="shared" si="63"/>
        <v>150008.7364544603</v>
      </c>
      <c r="AV73" s="12">
        <f t="shared" si="63"/>
        <v>153008.9111835495</v>
      </c>
      <c r="AW73" s="12">
        <f t="shared" si="63"/>
        <v>156145.59386281227</v>
      </c>
      <c r="AX73" s="12">
        <f t="shared" si="63"/>
        <v>159424.65133393131</v>
      </c>
      <c r="AY73" s="12">
        <f t="shared" si="63"/>
        <v>162852.28133761085</v>
      </c>
      <c r="AZ73" s="12">
        <f t="shared" si="63"/>
        <v>166435.03152703826</v>
      </c>
      <c r="BA73" s="12">
        <f t="shared" si="63"/>
        <v>170096.60222063313</v>
      </c>
      <c r="BB73" s="12">
        <f t="shared" si="63"/>
        <v>173838.72746948706</v>
      </c>
      <c r="BC73" s="12">
        <f t="shared" si="63"/>
        <v>177663.17947381581</v>
      </c>
      <c r="BD73" s="12">
        <f t="shared" si="63"/>
        <v>181571.76942223974</v>
      </c>
      <c r="BE73" s="12">
        <f t="shared" si="63"/>
        <v>185566.34834952906</v>
      </c>
      <c r="BF73" s="12">
        <f t="shared" si="63"/>
        <v>189648.80801321866</v>
      </c>
      <c r="BG73" s="12">
        <f t="shared" si="63"/>
        <v>193821.08178950948</v>
      </c>
      <c r="BH73" s="12">
        <f t="shared" si="63"/>
        <v>193821.08178950948</v>
      </c>
      <c r="BI73" s="12">
        <f t="shared" si="63"/>
        <v>193821.08178950948</v>
      </c>
      <c r="BJ73" s="12">
        <f t="shared" si="63"/>
        <v>193821.08178950948</v>
      </c>
      <c r="BK73" s="12">
        <f t="shared" si="63"/>
        <v>193821.08178950948</v>
      </c>
      <c r="BL73" s="12">
        <f t="shared" si="63"/>
        <v>193821.08178950948</v>
      </c>
      <c r="BM73" s="12">
        <f t="shared" si="63"/>
        <v>193821.08178950948</v>
      </c>
      <c r="BN73" s="12">
        <f t="shared" si="63"/>
        <v>193821.08178950948</v>
      </c>
      <c r="BO73" s="12">
        <f t="shared" si="63"/>
        <v>193821.08178950948</v>
      </c>
      <c r="BP73" s="12">
        <f t="shared" si="63"/>
        <v>193821.08178950948</v>
      </c>
      <c r="BQ73" s="12">
        <f t="shared" si="63"/>
        <v>193821.08178950948</v>
      </c>
      <c r="BR73" s="12">
        <f t="shared" si="63"/>
        <v>193821.08178950948</v>
      </c>
      <c r="BS73" s="12">
        <f t="shared" si="63"/>
        <v>193821.08178950948</v>
      </c>
      <c r="BT73" s="12">
        <f t="shared" si="63"/>
        <v>193821.08178950948</v>
      </c>
      <c r="BU73" s="12">
        <f t="shared" si="63"/>
        <v>193821.08178950948</v>
      </c>
      <c r="BV73" s="12">
        <f t="shared" si="63"/>
        <v>193821.08178950948</v>
      </c>
      <c r="BW73" s="12">
        <f t="shared" si="63"/>
        <v>193821.08178950948</v>
      </c>
      <c r="BX73" s="12">
        <f t="shared" si="63"/>
        <v>193821.08178950948</v>
      </c>
      <c r="BY73" s="12">
        <f t="shared" si="63"/>
        <v>193821.08178950948</v>
      </c>
      <c r="BZ73" s="12">
        <f t="shared" si="63"/>
        <v>193821.08178950948</v>
      </c>
      <c r="CA73" s="12">
        <f t="shared" si="63"/>
        <v>193821.08178950948</v>
      </c>
      <c r="CB73" s="12">
        <f t="shared" si="63"/>
        <v>193821.08178950948</v>
      </c>
      <c r="CC73" s="12">
        <f t="shared" si="63"/>
        <v>193821.08178950948</v>
      </c>
      <c r="CD73" s="12">
        <f t="shared" si="63"/>
        <v>193821.08178950948</v>
      </c>
      <c r="CE73" s="12">
        <f t="shared" si="63"/>
        <v>193821.08178950948</v>
      </c>
      <c r="CF73" s="12">
        <f t="shared" si="63"/>
        <v>193821.08178950948</v>
      </c>
      <c r="CG73" s="12">
        <f t="shared" si="63"/>
        <v>193821.08178950948</v>
      </c>
      <c r="CH73" s="12">
        <f t="shared" si="63"/>
        <v>193821.08178950948</v>
      </c>
      <c r="CI73" s="12">
        <f t="shared" si="63"/>
        <v>193821.08178950948</v>
      </c>
      <c r="CJ73" s="12">
        <f t="shared" si="63"/>
        <v>193821.08178950948</v>
      </c>
      <c r="CK73" s="12">
        <f t="shared" si="63"/>
        <v>193821.08178950948</v>
      </c>
      <c r="CL73" s="12">
        <f t="shared" si="63"/>
        <v>193821.08178950948</v>
      </c>
      <c r="CM73" s="12">
        <f t="shared" si="63"/>
        <v>193821.08178950948</v>
      </c>
      <c r="CN73" s="12">
        <f t="shared" si="63"/>
        <v>193821.08178950948</v>
      </c>
      <c r="CO73" s="12">
        <f t="shared" si="63"/>
        <v>193821.08178950948</v>
      </c>
      <c r="CP73" s="12">
        <f t="shared" si="63"/>
        <v>193821.08178950948</v>
      </c>
      <c r="CQ73" s="12">
        <f t="shared" si="63"/>
        <v>193821.08178950948</v>
      </c>
      <c r="CR73" s="12">
        <f t="shared" si="63"/>
        <v>193821.08178950948</v>
      </c>
      <c r="CS73" s="12">
        <f t="shared" si="63"/>
        <v>193821.08178950948</v>
      </c>
      <c r="CT73" s="12">
        <f t="shared" si="63"/>
        <v>193821.08178950948</v>
      </c>
      <c r="CU73" s="12">
        <f t="shared" si="63"/>
        <v>193821.08178950948</v>
      </c>
      <c r="CV73" s="12">
        <f t="shared" si="63"/>
        <v>193821.08178950948</v>
      </c>
    </row>
    <row r="74" spans="1:100" s="12" customFormat="1">
      <c r="W74" s="12" t="s">
        <v>233</v>
      </c>
      <c r="Z74" s="12">
        <f t="shared" si="62"/>
        <v>9415.1349153900064</v>
      </c>
      <c r="AA74" s="12">
        <f t="shared" si="58"/>
        <v>9223.9912697330219</v>
      </c>
      <c r="AH74" s="12" t="s">
        <v>265</v>
      </c>
      <c r="AJ74" s="12" t="s">
        <v>231</v>
      </c>
      <c r="AN74" s="12">
        <f t="shared" ref="AN74:CV74" si="64">AN9*$AE$5/100 + AN21*$AC$5/100 + AN33*$AD$5/100</f>
        <v>100954.51884532929</v>
      </c>
      <c r="AO74" s="12">
        <f t="shared" si="64"/>
        <v>103238.11006161066</v>
      </c>
      <c r="AP74" s="12">
        <f t="shared" si="64"/>
        <v>104352.04926917543</v>
      </c>
      <c r="AQ74" s="12">
        <f t="shared" si="64"/>
        <v>106151.07859857603</v>
      </c>
      <c r="AR74" s="12">
        <f t="shared" si="64"/>
        <v>108486.4023277447</v>
      </c>
      <c r="AS74" s="12">
        <f t="shared" si="64"/>
        <v>110222.1847649886</v>
      </c>
      <c r="AT74" s="12">
        <f t="shared" si="64"/>
        <v>112316.40627552336</v>
      </c>
      <c r="AU74" s="12">
        <f t="shared" si="64"/>
        <v>114450.41799475832</v>
      </c>
      <c r="AV74" s="12">
        <f t="shared" si="64"/>
        <v>116739.42635465346</v>
      </c>
      <c r="AW74" s="12">
        <f t="shared" si="64"/>
        <v>119132.58459492386</v>
      </c>
      <c r="AX74" s="12">
        <f t="shared" si="64"/>
        <v>121634.36887141726</v>
      </c>
      <c r="AY74" s="12">
        <f t="shared" si="64"/>
        <v>124249.50780215273</v>
      </c>
      <c r="AZ74" s="12">
        <f t="shared" si="64"/>
        <v>126982.99697380009</v>
      </c>
      <c r="BA74" s="12">
        <f t="shared" si="64"/>
        <v>129776.6229072237</v>
      </c>
      <c r="BB74" s="12">
        <f t="shared" si="64"/>
        <v>132631.70861118264</v>
      </c>
      <c r="BC74" s="12">
        <f t="shared" si="64"/>
        <v>135549.60620062862</v>
      </c>
      <c r="BD74" s="12">
        <f t="shared" si="64"/>
        <v>138531.69753704246</v>
      </c>
      <c r="BE74" s="12">
        <f t="shared" si="64"/>
        <v>141579.39488285739</v>
      </c>
      <c r="BF74" s="12">
        <f t="shared" si="64"/>
        <v>144694.14157028028</v>
      </c>
      <c r="BG74" s="12">
        <f t="shared" si="64"/>
        <v>147877.41268482641</v>
      </c>
      <c r="BH74" s="12">
        <f t="shared" si="64"/>
        <v>147877.41268482641</v>
      </c>
      <c r="BI74" s="12">
        <f t="shared" si="64"/>
        <v>147877.41268482641</v>
      </c>
      <c r="BJ74" s="12">
        <f t="shared" si="64"/>
        <v>147877.41268482641</v>
      </c>
      <c r="BK74" s="12">
        <f t="shared" si="64"/>
        <v>147877.41268482641</v>
      </c>
      <c r="BL74" s="12">
        <f t="shared" si="64"/>
        <v>147877.41268482641</v>
      </c>
      <c r="BM74" s="12">
        <f t="shared" si="64"/>
        <v>147877.41268482641</v>
      </c>
      <c r="BN74" s="12">
        <f t="shared" si="64"/>
        <v>147877.41268482641</v>
      </c>
      <c r="BO74" s="12">
        <f t="shared" si="64"/>
        <v>147877.41268482641</v>
      </c>
      <c r="BP74" s="12">
        <f t="shared" si="64"/>
        <v>147877.41268482641</v>
      </c>
      <c r="BQ74" s="12">
        <f t="shared" si="64"/>
        <v>147877.41268482641</v>
      </c>
      <c r="BR74" s="12">
        <f t="shared" si="64"/>
        <v>147877.41268482641</v>
      </c>
      <c r="BS74" s="12">
        <f t="shared" si="64"/>
        <v>147877.41268482641</v>
      </c>
      <c r="BT74" s="12">
        <f t="shared" si="64"/>
        <v>147877.41268482641</v>
      </c>
      <c r="BU74" s="12">
        <f t="shared" si="64"/>
        <v>147877.41268482641</v>
      </c>
      <c r="BV74" s="12">
        <f t="shared" si="64"/>
        <v>147877.41268482641</v>
      </c>
      <c r="BW74" s="12">
        <f t="shared" si="64"/>
        <v>147877.41268482641</v>
      </c>
      <c r="BX74" s="12">
        <f t="shared" si="64"/>
        <v>147877.41268482641</v>
      </c>
      <c r="BY74" s="12">
        <f t="shared" si="64"/>
        <v>147877.41268482641</v>
      </c>
      <c r="BZ74" s="12">
        <f t="shared" si="64"/>
        <v>147877.41268482641</v>
      </c>
      <c r="CA74" s="12">
        <f t="shared" si="64"/>
        <v>147877.41268482641</v>
      </c>
      <c r="CB74" s="12">
        <f t="shared" si="64"/>
        <v>147877.41268482641</v>
      </c>
      <c r="CC74" s="12">
        <f t="shared" si="64"/>
        <v>147877.41268482641</v>
      </c>
      <c r="CD74" s="12">
        <f t="shared" si="64"/>
        <v>147877.41268482641</v>
      </c>
      <c r="CE74" s="12">
        <f t="shared" si="64"/>
        <v>147877.41268482641</v>
      </c>
      <c r="CF74" s="12">
        <f t="shared" si="64"/>
        <v>147877.41268482641</v>
      </c>
      <c r="CG74" s="12">
        <f t="shared" si="64"/>
        <v>147877.41268482641</v>
      </c>
      <c r="CH74" s="12">
        <f t="shared" si="64"/>
        <v>147877.41268482641</v>
      </c>
      <c r="CI74" s="12">
        <f t="shared" si="64"/>
        <v>147877.41268482641</v>
      </c>
      <c r="CJ74" s="12">
        <f t="shared" si="64"/>
        <v>147877.41268482641</v>
      </c>
      <c r="CK74" s="12">
        <f t="shared" si="64"/>
        <v>147877.41268482641</v>
      </c>
      <c r="CL74" s="12">
        <f t="shared" si="64"/>
        <v>147877.41268482641</v>
      </c>
      <c r="CM74" s="12">
        <f t="shared" si="64"/>
        <v>147877.41268482641</v>
      </c>
      <c r="CN74" s="12">
        <f t="shared" si="64"/>
        <v>147877.41268482641</v>
      </c>
      <c r="CO74" s="12">
        <f t="shared" si="64"/>
        <v>147877.41268482641</v>
      </c>
      <c r="CP74" s="12">
        <f t="shared" si="64"/>
        <v>147877.41268482641</v>
      </c>
      <c r="CQ74" s="12">
        <f t="shared" si="64"/>
        <v>147877.41268482641</v>
      </c>
      <c r="CR74" s="12">
        <f t="shared" si="64"/>
        <v>147877.41268482641</v>
      </c>
      <c r="CS74" s="12">
        <f t="shared" si="64"/>
        <v>147877.41268482641</v>
      </c>
      <c r="CT74" s="12">
        <f t="shared" si="64"/>
        <v>147877.41268482641</v>
      </c>
      <c r="CU74" s="12">
        <f t="shared" si="64"/>
        <v>147877.41268482641</v>
      </c>
      <c r="CV74" s="12">
        <f t="shared" si="64"/>
        <v>147877.41268482641</v>
      </c>
    </row>
    <row r="75" spans="1:100" s="12" customFormat="1">
      <c r="W75" s="12" t="s">
        <v>234</v>
      </c>
      <c r="Z75" s="12">
        <f t="shared" si="62"/>
        <v>18318.099999999999</v>
      </c>
      <c r="AA75" s="12">
        <f t="shared" si="58"/>
        <v>19641.12</v>
      </c>
      <c r="AJ75" s="12" t="s">
        <v>232</v>
      </c>
      <c r="AN75" s="12">
        <f t="shared" ref="AN75:CV75" si="65">AN10*$AE$5/100 + AN22*$AC$5/100 + AN34*$AD$5/100</f>
        <v>49586.854325600427</v>
      </c>
      <c r="AO75" s="12">
        <f t="shared" si="65"/>
        <v>50708.508970445517</v>
      </c>
      <c r="AP75" s="12">
        <f t="shared" si="65"/>
        <v>51255.653782236623</v>
      </c>
      <c r="AQ75" s="12">
        <f t="shared" si="65"/>
        <v>52139.301253442383</v>
      </c>
      <c r="AR75" s="12">
        <f t="shared" si="65"/>
        <v>53286.365881018115</v>
      </c>
      <c r="AS75" s="12">
        <f t="shared" si="65"/>
        <v>54138.947735114401</v>
      </c>
      <c r="AT75" s="12">
        <f t="shared" si="65"/>
        <v>55167.587742081567</v>
      </c>
      <c r="AU75" s="12">
        <f t="shared" si="65"/>
        <v>56215.771909181116</v>
      </c>
      <c r="AV75" s="12">
        <f t="shared" si="65"/>
        <v>57340.087347364737</v>
      </c>
      <c r="AW75" s="12">
        <f t="shared" si="65"/>
        <v>58515.559137985707</v>
      </c>
      <c r="AX75" s="12">
        <f t="shared" si="65"/>
        <v>59744.385879883404</v>
      </c>
      <c r="AY75" s="12">
        <f t="shared" si="65"/>
        <v>61028.890176300905</v>
      </c>
      <c r="AZ75" s="12">
        <f t="shared" si="65"/>
        <v>62371.525760179524</v>
      </c>
      <c r="BA75" s="12">
        <f t="shared" si="65"/>
        <v>63743.699326903472</v>
      </c>
      <c r="BB75" s="12">
        <f t="shared" si="65"/>
        <v>65146.060712095357</v>
      </c>
      <c r="BC75" s="12">
        <f t="shared" si="65"/>
        <v>66579.274047761457</v>
      </c>
      <c r="BD75" s="12">
        <f t="shared" si="65"/>
        <v>68044.018076812208</v>
      </c>
      <c r="BE75" s="12">
        <f t="shared" si="65"/>
        <v>69540.986474502075</v>
      </c>
      <c r="BF75" s="12">
        <f t="shared" si="65"/>
        <v>71070.888176941124</v>
      </c>
      <c r="BG75" s="12">
        <f t="shared" si="65"/>
        <v>72634.447716833834</v>
      </c>
      <c r="BH75" s="12">
        <f t="shared" si="65"/>
        <v>72634.447716833834</v>
      </c>
      <c r="BI75" s="12">
        <f t="shared" si="65"/>
        <v>72634.447716833834</v>
      </c>
      <c r="BJ75" s="12">
        <f t="shared" si="65"/>
        <v>72634.447716833834</v>
      </c>
      <c r="BK75" s="12">
        <f t="shared" si="65"/>
        <v>72634.447716833834</v>
      </c>
      <c r="BL75" s="12">
        <f t="shared" si="65"/>
        <v>72634.447716833834</v>
      </c>
      <c r="BM75" s="12">
        <f t="shared" si="65"/>
        <v>72634.447716833834</v>
      </c>
      <c r="BN75" s="12">
        <f t="shared" si="65"/>
        <v>72634.447716833834</v>
      </c>
      <c r="BO75" s="12">
        <f t="shared" si="65"/>
        <v>72634.447716833834</v>
      </c>
      <c r="BP75" s="12">
        <f t="shared" si="65"/>
        <v>72634.447716833834</v>
      </c>
      <c r="BQ75" s="12">
        <f t="shared" si="65"/>
        <v>72634.447716833834</v>
      </c>
      <c r="BR75" s="12">
        <f t="shared" si="65"/>
        <v>72634.447716833834</v>
      </c>
      <c r="BS75" s="12">
        <f t="shared" si="65"/>
        <v>72634.447716833834</v>
      </c>
      <c r="BT75" s="12">
        <f t="shared" si="65"/>
        <v>72634.447716833834</v>
      </c>
      <c r="BU75" s="12">
        <f t="shared" si="65"/>
        <v>72634.447716833834</v>
      </c>
      <c r="BV75" s="12">
        <f t="shared" si="65"/>
        <v>72634.447716833834</v>
      </c>
      <c r="BW75" s="12">
        <f t="shared" si="65"/>
        <v>72634.447716833834</v>
      </c>
      <c r="BX75" s="12">
        <f t="shared" si="65"/>
        <v>72634.447716833834</v>
      </c>
      <c r="BY75" s="12">
        <f t="shared" si="65"/>
        <v>72634.447716833834</v>
      </c>
      <c r="BZ75" s="12">
        <f t="shared" si="65"/>
        <v>72634.447716833834</v>
      </c>
      <c r="CA75" s="12">
        <f t="shared" si="65"/>
        <v>72634.447716833834</v>
      </c>
      <c r="CB75" s="12">
        <f t="shared" si="65"/>
        <v>72634.447716833834</v>
      </c>
      <c r="CC75" s="12">
        <f t="shared" si="65"/>
        <v>72634.447716833834</v>
      </c>
      <c r="CD75" s="12">
        <f t="shared" si="65"/>
        <v>72634.447716833834</v>
      </c>
      <c r="CE75" s="12">
        <f t="shared" si="65"/>
        <v>72634.447716833834</v>
      </c>
      <c r="CF75" s="12">
        <f t="shared" si="65"/>
        <v>72634.447716833834</v>
      </c>
      <c r="CG75" s="12">
        <f t="shared" si="65"/>
        <v>72634.447716833834</v>
      </c>
      <c r="CH75" s="12">
        <f t="shared" si="65"/>
        <v>72634.447716833834</v>
      </c>
      <c r="CI75" s="12">
        <f t="shared" si="65"/>
        <v>72634.447716833834</v>
      </c>
      <c r="CJ75" s="12">
        <f t="shared" si="65"/>
        <v>72634.447716833834</v>
      </c>
      <c r="CK75" s="12">
        <f t="shared" si="65"/>
        <v>72634.447716833834</v>
      </c>
      <c r="CL75" s="12">
        <f t="shared" si="65"/>
        <v>72634.447716833834</v>
      </c>
      <c r="CM75" s="12">
        <f t="shared" si="65"/>
        <v>72634.447716833834</v>
      </c>
      <c r="CN75" s="12">
        <f t="shared" si="65"/>
        <v>72634.447716833834</v>
      </c>
      <c r="CO75" s="12">
        <f t="shared" si="65"/>
        <v>72634.447716833834</v>
      </c>
      <c r="CP75" s="12">
        <f t="shared" si="65"/>
        <v>72634.447716833834</v>
      </c>
      <c r="CQ75" s="12">
        <f t="shared" si="65"/>
        <v>72634.447716833834</v>
      </c>
      <c r="CR75" s="12">
        <f t="shared" si="65"/>
        <v>72634.447716833834</v>
      </c>
      <c r="CS75" s="12">
        <f t="shared" si="65"/>
        <v>72634.447716833834</v>
      </c>
      <c r="CT75" s="12">
        <f t="shared" si="65"/>
        <v>72634.447716833834</v>
      </c>
      <c r="CU75" s="12">
        <f t="shared" si="65"/>
        <v>72634.447716833834</v>
      </c>
      <c r="CV75" s="12">
        <f t="shared" si="65"/>
        <v>72634.447716833834</v>
      </c>
    </row>
    <row r="76" spans="1:100">
      <c r="A76" s="8"/>
      <c r="B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 t="s">
        <v>265</v>
      </c>
      <c r="V76" s="12"/>
      <c r="W76" s="12" t="s">
        <v>231</v>
      </c>
      <c r="Z76" s="12">
        <f>(J3+N3)*Q31 +J3/M3*T3*Q31</f>
        <v>65143.630010251829</v>
      </c>
      <c r="AA76" s="12">
        <f>(J46+N46)*Q31 +J46/M46*T46*Q31</f>
        <v>71358.490880474783</v>
      </c>
      <c r="AB76" s="12"/>
      <c r="AC76" s="12"/>
      <c r="AD76" s="12"/>
      <c r="AE76" s="12"/>
      <c r="AH76" s="12"/>
      <c r="AI76" s="12"/>
      <c r="AJ76" s="12" t="s">
        <v>233</v>
      </c>
      <c r="AN76" s="12">
        <f t="shared" ref="AN76:BC77" si="66">AN11*$AE$5/100 + AN23*$AC$5/100 + AN35*$AD$5/100</f>
        <v>77660.254836841632</v>
      </c>
      <c r="AO76" s="12">
        <f t="shared" ref="AO76:BR77" si="67">AO11*$AE$5/100 + AO23*$AC$5/100 + AO35*$AD$5/100</f>
        <v>79416.929801250997</v>
      </c>
      <c r="AP76" s="12">
        <f t="shared" si="67"/>
        <v>80273.838473806492</v>
      </c>
      <c r="AQ76" s="12">
        <f t="shared" si="67"/>
        <v>81657.759449094927</v>
      </c>
      <c r="AR76" s="12">
        <f t="shared" si="67"/>
        <v>83454.230156975013</v>
      </c>
      <c r="AS76" s="12">
        <f t="shared" si="67"/>
        <v>84789.497839486619</v>
      </c>
      <c r="AT76" s="12">
        <f t="shared" si="67"/>
        <v>86400.498298436854</v>
      </c>
      <c r="AU76" s="12">
        <f t="shared" si="67"/>
        <v>88042.107766107147</v>
      </c>
      <c r="AV76" s="12">
        <f t="shared" si="67"/>
        <v>89802.949921429288</v>
      </c>
      <c r="AW76" s="12">
        <f t="shared" si="67"/>
        <v>91643.91039481858</v>
      </c>
      <c r="AX76" s="12">
        <f t="shared" si="67"/>
        <v>93568.432513109772</v>
      </c>
      <c r="AY76" s="12">
        <f t="shared" si="67"/>
        <v>95580.153812141623</v>
      </c>
      <c r="AZ76" s="12">
        <f t="shared" si="67"/>
        <v>97682.917196008741</v>
      </c>
      <c r="BA76" s="12">
        <f t="shared" si="67"/>
        <v>99831.941374320944</v>
      </c>
      <c r="BB76" s="12">
        <f t="shared" si="67"/>
        <v>102028.24408455599</v>
      </c>
      <c r="BC76" s="12">
        <f t="shared" si="67"/>
        <v>104272.86545441623</v>
      </c>
      <c r="BD76" s="12">
        <f t="shared" si="67"/>
        <v>106566.8684944134</v>
      </c>
      <c r="BE76" s="12">
        <f t="shared" si="67"/>
        <v>108911.3396012905</v>
      </c>
      <c r="BF76" s="12">
        <f t="shared" si="67"/>
        <v>111307.3890725189</v>
      </c>
      <c r="BG76" s="12">
        <f t="shared" si="67"/>
        <v>113756.15163211431</v>
      </c>
      <c r="BH76" s="12">
        <f t="shared" si="67"/>
        <v>113756.15163211431</v>
      </c>
      <c r="BI76" s="12">
        <f t="shared" si="67"/>
        <v>113756.15163211431</v>
      </c>
      <c r="BJ76" s="12">
        <f t="shared" si="67"/>
        <v>113756.15163211431</v>
      </c>
      <c r="BK76" s="12">
        <f t="shared" si="67"/>
        <v>113756.15163211431</v>
      </c>
      <c r="BL76" s="12">
        <f t="shared" si="67"/>
        <v>113756.15163211431</v>
      </c>
      <c r="BM76" s="12">
        <f t="shared" si="67"/>
        <v>113756.15163211431</v>
      </c>
      <c r="BN76" s="12">
        <f t="shared" si="67"/>
        <v>113756.15163211431</v>
      </c>
      <c r="BO76" s="12">
        <f t="shared" si="67"/>
        <v>113756.15163211431</v>
      </c>
      <c r="BP76" s="12">
        <f t="shared" si="67"/>
        <v>113756.15163211431</v>
      </c>
      <c r="BQ76" s="12">
        <f t="shared" si="67"/>
        <v>113756.15163211431</v>
      </c>
      <c r="BR76" s="12">
        <f t="shared" si="67"/>
        <v>113756.15163211431</v>
      </c>
      <c r="BS76" s="12">
        <f t="shared" ref="BS76:CV77" si="68">BS11*$AE$5/100 + BS23*$AC$5/100 + BS35*$AD$5/100</f>
        <v>113756.15163211431</v>
      </c>
      <c r="BT76" s="12">
        <f t="shared" si="68"/>
        <v>113756.15163211431</v>
      </c>
      <c r="BU76" s="12">
        <f t="shared" si="68"/>
        <v>113756.15163211431</v>
      </c>
      <c r="BV76" s="12">
        <f t="shared" si="68"/>
        <v>113756.15163211431</v>
      </c>
      <c r="BW76" s="12">
        <f t="shared" si="68"/>
        <v>113756.15163211431</v>
      </c>
      <c r="BX76" s="12">
        <f t="shared" si="68"/>
        <v>113756.15163211431</v>
      </c>
      <c r="BY76" s="12">
        <f t="shared" si="68"/>
        <v>113756.15163211431</v>
      </c>
      <c r="BZ76" s="12">
        <f t="shared" si="68"/>
        <v>113756.15163211431</v>
      </c>
      <c r="CA76" s="12">
        <f t="shared" si="68"/>
        <v>113756.15163211431</v>
      </c>
      <c r="CB76" s="12">
        <f t="shared" si="68"/>
        <v>113756.15163211431</v>
      </c>
      <c r="CC76" s="12">
        <f t="shared" si="68"/>
        <v>113756.15163211431</v>
      </c>
      <c r="CD76" s="12">
        <f t="shared" si="68"/>
        <v>113756.15163211431</v>
      </c>
      <c r="CE76" s="12">
        <f t="shared" si="68"/>
        <v>113756.15163211431</v>
      </c>
      <c r="CF76" s="12">
        <f t="shared" si="68"/>
        <v>113756.15163211431</v>
      </c>
      <c r="CG76" s="12">
        <f t="shared" si="68"/>
        <v>113756.15163211431</v>
      </c>
      <c r="CH76" s="12">
        <f t="shared" si="68"/>
        <v>113756.15163211431</v>
      </c>
      <c r="CI76" s="12">
        <f t="shared" si="68"/>
        <v>113756.15163211431</v>
      </c>
      <c r="CJ76" s="12">
        <f t="shared" si="68"/>
        <v>113756.15163211431</v>
      </c>
      <c r="CK76" s="12">
        <f t="shared" si="68"/>
        <v>113756.15163211431</v>
      </c>
      <c r="CL76" s="12">
        <f t="shared" si="68"/>
        <v>113756.15163211431</v>
      </c>
      <c r="CM76" s="12">
        <f t="shared" si="68"/>
        <v>113756.15163211431</v>
      </c>
      <c r="CN76" s="12">
        <f t="shared" si="68"/>
        <v>113756.15163211431</v>
      </c>
      <c r="CO76" s="12">
        <f t="shared" si="68"/>
        <v>113756.15163211431</v>
      </c>
      <c r="CP76" s="12">
        <f t="shared" si="68"/>
        <v>113756.15163211431</v>
      </c>
      <c r="CQ76" s="12">
        <f t="shared" si="68"/>
        <v>113756.15163211431</v>
      </c>
      <c r="CR76" s="12">
        <f t="shared" si="68"/>
        <v>113756.15163211431</v>
      </c>
      <c r="CS76" s="12">
        <f t="shared" si="68"/>
        <v>113756.15163211431</v>
      </c>
      <c r="CT76" s="12">
        <f t="shared" si="68"/>
        <v>113756.15163211431</v>
      </c>
      <c r="CU76" s="12">
        <f t="shared" si="68"/>
        <v>113756.15163211431</v>
      </c>
      <c r="CV76" s="12">
        <f t="shared" si="68"/>
        <v>113756.15163211431</v>
      </c>
    </row>
    <row r="77" spans="1:100"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 t="s">
        <v>232</v>
      </c>
      <c r="Z77" s="12">
        <f t="shared" ref="Z77:Z79" si="69">(J4+N4)*Q32 +J4/M4*T4*Q32</f>
        <v>21710.511818692172</v>
      </c>
      <c r="AA77" s="12">
        <f t="shared" ref="AA77:AA78" si="70">(J47+N47)*Q32 +J47/M47*T47*Q32</f>
        <v>34115.130043784717</v>
      </c>
      <c r="AB77" s="12"/>
      <c r="AC77" s="12"/>
      <c r="AD77" s="12"/>
      <c r="AE77" s="12"/>
      <c r="AH77" s="12"/>
      <c r="AI77" s="12"/>
      <c r="AJ77" s="12" t="s">
        <v>234</v>
      </c>
      <c r="AN77" s="12">
        <f t="shared" si="66"/>
        <v>7971.0740747317668</v>
      </c>
      <c r="AO77" s="12">
        <f t="shared" si="66"/>
        <v>8151.3797703022001</v>
      </c>
      <c r="AP77" s="12">
        <f t="shared" si="66"/>
        <v>8239.3331580237609</v>
      </c>
      <c r="AQ77" s="12">
        <f t="shared" si="66"/>
        <v>8381.3792616680894</v>
      </c>
      <c r="AR77" s="12">
        <f t="shared" si="66"/>
        <v>8565.7696054247863</v>
      </c>
      <c r="AS77" s="12">
        <f t="shared" si="66"/>
        <v>8702.8219191115841</v>
      </c>
      <c r="AT77" s="12">
        <f t="shared" si="66"/>
        <v>8868.1755355747027</v>
      </c>
      <c r="AU77" s="12">
        <f t="shared" si="66"/>
        <v>9036.6708707506223</v>
      </c>
      <c r="AV77" s="12">
        <f t="shared" si="66"/>
        <v>9217.4042881656333</v>
      </c>
      <c r="AW77" s="12">
        <f t="shared" si="66"/>
        <v>9406.3610760730298</v>
      </c>
      <c r="AX77" s="12">
        <f t="shared" si="66"/>
        <v>9603.8946586705624</v>
      </c>
      <c r="AY77" s="12">
        <f t="shared" si="66"/>
        <v>9810.3783938319793</v>
      </c>
      <c r="AZ77" s="12">
        <f t="shared" si="66"/>
        <v>10026.206718496283</v>
      </c>
      <c r="BA77" s="12">
        <f t="shared" si="66"/>
        <v>10246.783266303202</v>
      </c>
      <c r="BB77" s="12">
        <f t="shared" si="66"/>
        <v>10472.212498161874</v>
      </c>
      <c r="BC77" s="12">
        <f t="shared" si="66"/>
        <v>10702.601173121435</v>
      </c>
      <c r="BD77" s="12">
        <f t="shared" si="67"/>
        <v>10938.058398930107</v>
      </c>
      <c r="BE77" s="12">
        <f t="shared" si="67"/>
        <v>11178.69568370657</v>
      </c>
      <c r="BF77" s="12">
        <f t="shared" si="67"/>
        <v>11424.626988748114</v>
      </c>
      <c r="BG77" s="12">
        <f t="shared" si="67"/>
        <v>11675.968782500571</v>
      </c>
      <c r="BH77" s="12">
        <f t="shared" si="67"/>
        <v>11675.968782500571</v>
      </c>
      <c r="BI77" s="12">
        <f t="shared" si="67"/>
        <v>11675.968782500571</v>
      </c>
      <c r="BJ77" s="12">
        <f t="shared" si="67"/>
        <v>11675.968782500571</v>
      </c>
      <c r="BK77" s="12">
        <f t="shared" si="67"/>
        <v>11675.968782500571</v>
      </c>
      <c r="BL77" s="12">
        <f t="shared" si="67"/>
        <v>11675.968782500571</v>
      </c>
      <c r="BM77" s="12">
        <f t="shared" si="67"/>
        <v>11675.968782500571</v>
      </c>
      <c r="BN77" s="12">
        <f t="shared" si="67"/>
        <v>11675.968782500571</v>
      </c>
      <c r="BO77" s="12">
        <f t="shared" si="67"/>
        <v>11675.968782500571</v>
      </c>
      <c r="BP77" s="12">
        <f t="shared" si="67"/>
        <v>11675.968782500571</v>
      </c>
      <c r="BQ77" s="12">
        <f t="shared" si="67"/>
        <v>11675.968782500571</v>
      </c>
      <c r="BR77" s="12">
        <f t="shared" si="67"/>
        <v>11675.968782500571</v>
      </c>
      <c r="BS77" s="12">
        <f t="shared" si="68"/>
        <v>11675.968782500571</v>
      </c>
      <c r="BT77" s="12">
        <f t="shared" si="68"/>
        <v>11675.968782500571</v>
      </c>
      <c r="BU77" s="12">
        <f t="shared" si="68"/>
        <v>11675.968782500571</v>
      </c>
      <c r="BV77" s="12">
        <f t="shared" si="68"/>
        <v>11675.968782500571</v>
      </c>
      <c r="BW77" s="12">
        <f t="shared" si="68"/>
        <v>11675.968782500571</v>
      </c>
      <c r="BX77" s="12">
        <f t="shared" si="68"/>
        <v>11675.968782500571</v>
      </c>
      <c r="BY77" s="12">
        <f t="shared" si="68"/>
        <v>11675.968782500571</v>
      </c>
      <c r="BZ77" s="12">
        <f t="shared" si="68"/>
        <v>11675.968782500571</v>
      </c>
      <c r="CA77" s="12">
        <f t="shared" si="68"/>
        <v>11675.968782500571</v>
      </c>
      <c r="CB77" s="12">
        <f t="shared" si="68"/>
        <v>11675.968782500571</v>
      </c>
      <c r="CC77" s="12">
        <f t="shared" si="68"/>
        <v>11675.968782500571</v>
      </c>
      <c r="CD77" s="12">
        <f t="shared" si="68"/>
        <v>11675.968782500571</v>
      </c>
      <c r="CE77" s="12">
        <f t="shared" si="68"/>
        <v>11675.968782500571</v>
      </c>
      <c r="CF77" s="12">
        <f t="shared" si="68"/>
        <v>11675.968782500571</v>
      </c>
      <c r="CG77" s="12">
        <f t="shared" si="68"/>
        <v>11675.968782500571</v>
      </c>
      <c r="CH77" s="12">
        <f t="shared" si="68"/>
        <v>11675.968782500571</v>
      </c>
      <c r="CI77" s="12">
        <f t="shared" si="68"/>
        <v>11675.968782500571</v>
      </c>
      <c r="CJ77" s="12">
        <f t="shared" si="68"/>
        <v>11675.968782500571</v>
      </c>
      <c r="CK77" s="12">
        <f t="shared" si="68"/>
        <v>11675.968782500571</v>
      </c>
      <c r="CL77" s="12">
        <f t="shared" si="68"/>
        <v>11675.968782500571</v>
      </c>
      <c r="CM77" s="12">
        <f t="shared" si="68"/>
        <v>11675.968782500571</v>
      </c>
      <c r="CN77" s="12">
        <f t="shared" si="68"/>
        <v>11675.968782500571</v>
      </c>
      <c r="CO77" s="12">
        <f t="shared" si="68"/>
        <v>11675.968782500571</v>
      </c>
      <c r="CP77" s="12">
        <f t="shared" si="68"/>
        <v>11675.968782500571</v>
      </c>
      <c r="CQ77" s="12">
        <f t="shared" si="68"/>
        <v>11675.968782500571</v>
      </c>
      <c r="CR77" s="12">
        <f t="shared" si="68"/>
        <v>11675.968782500571</v>
      </c>
      <c r="CS77" s="12">
        <f t="shared" si="68"/>
        <v>11675.968782500571</v>
      </c>
      <c r="CT77" s="12">
        <f t="shared" si="68"/>
        <v>11675.968782500571</v>
      </c>
      <c r="CU77" s="12">
        <f t="shared" si="68"/>
        <v>11675.968782500571</v>
      </c>
      <c r="CV77" s="12">
        <f t="shared" si="68"/>
        <v>11675.968782500571</v>
      </c>
    </row>
    <row r="78" spans="1:100">
      <c r="A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 t="s">
        <v>233</v>
      </c>
      <c r="Z78" s="12">
        <f t="shared" si="69"/>
        <v>6456.0925134102899</v>
      </c>
      <c r="AA78" s="12">
        <f t="shared" si="70"/>
        <v>6325.0225849597855</v>
      </c>
      <c r="AB78" s="12"/>
      <c r="AC78" s="12"/>
      <c r="AD78" s="12"/>
      <c r="AE78" s="12"/>
    </row>
    <row r="79" spans="1:100">
      <c r="A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 t="s">
        <v>234</v>
      </c>
      <c r="Z79">
        <f t="shared" si="69"/>
        <v>1103.5</v>
      </c>
      <c r="AA79">
        <f>(J49+N49)*Q34 +J49/M49*T49*Q34</f>
        <v>1183.2</v>
      </c>
    </row>
    <row r="80" spans="1:100">
      <c r="A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AJ80" t="s">
        <v>106</v>
      </c>
    </row>
    <row r="81" spans="1:100">
      <c r="A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AH81" s="12"/>
      <c r="AI81" s="12"/>
      <c r="AJ81" s="12" t="s">
        <v>230</v>
      </c>
      <c r="AN81">
        <f t="shared" ref="AN81:AO84" si="71">AN45 + AN57 +AN69</f>
        <v>935625.84</v>
      </c>
      <c r="AO81" s="12">
        <f t="shared" si="71"/>
        <v>956789.69650079985</v>
      </c>
      <c r="AP81" s="12">
        <f t="shared" ref="AP81:CV81" si="72">AP45 + AP57 +AP69</f>
        <v>967113.45732604363</v>
      </c>
      <c r="AQ81" s="12">
        <f t="shared" si="72"/>
        <v>983786.49333034444</v>
      </c>
      <c r="AR81" s="12">
        <f t="shared" si="72"/>
        <v>1005429.796183612</v>
      </c>
      <c r="AS81" s="12">
        <f t="shared" si="72"/>
        <v>1021516.67292255</v>
      </c>
      <c r="AT81" s="12">
        <f t="shared" si="72"/>
        <v>1040925.4897080782</v>
      </c>
      <c r="AU81" s="12">
        <f t="shared" si="72"/>
        <v>1060703.0740125314</v>
      </c>
      <c r="AV81" s="12">
        <f t="shared" si="72"/>
        <v>1081917.1354927823</v>
      </c>
      <c r="AW81" s="12">
        <f t="shared" si="72"/>
        <v>1104096.4367703842</v>
      </c>
      <c r="AX81" s="12">
        <f t="shared" si="72"/>
        <v>1127282.4619425621</v>
      </c>
      <c r="AY81" s="12">
        <f t="shared" si="72"/>
        <v>1151519.0348743275</v>
      </c>
      <c r="AZ81" s="12">
        <f t="shared" si="72"/>
        <v>1176852.4536415625</v>
      </c>
      <c r="BA81" s="12">
        <f t="shared" si="72"/>
        <v>1202743.2076216771</v>
      </c>
      <c r="BB81" s="12">
        <f t="shared" si="72"/>
        <v>1229203.5581893541</v>
      </c>
      <c r="BC81" s="12">
        <f t="shared" si="72"/>
        <v>1256246.0364695201</v>
      </c>
      <c r="BD81" s="12">
        <f t="shared" si="72"/>
        <v>1283883.4492718494</v>
      </c>
      <c r="BE81" s="12">
        <f t="shared" si="72"/>
        <v>1312128.8851558301</v>
      </c>
      <c r="BF81" s="12">
        <f t="shared" si="72"/>
        <v>1340995.7206292583</v>
      </c>
      <c r="BG81" s="12">
        <f t="shared" si="72"/>
        <v>1370497.6264831021</v>
      </c>
      <c r="BH81" s="12">
        <f t="shared" si="72"/>
        <v>1370497.6264831021</v>
      </c>
      <c r="BI81" s="12">
        <f t="shared" si="72"/>
        <v>1370497.6264831021</v>
      </c>
      <c r="BJ81" s="12">
        <f t="shared" si="72"/>
        <v>1370497.6264831021</v>
      </c>
      <c r="BK81" s="12">
        <f t="shared" si="72"/>
        <v>1370497.6264831021</v>
      </c>
      <c r="BL81" s="12">
        <f t="shared" si="72"/>
        <v>1370497.6264831021</v>
      </c>
      <c r="BM81" s="12">
        <f t="shared" si="72"/>
        <v>1370497.6264831021</v>
      </c>
      <c r="BN81" s="12">
        <f t="shared" si="72"/>
        <v>1370497.6264831021</v>
      </c>
      <c r="BO81" s="12">
        <f t="shared" si="72"/>
        <v>1370497.6264831021</v>
      </c>
      <c r="BP81" s="12">
        <f t="shared" si="72"/>
        <v>1370497.6264831021</v>
      </c>
      <c r="BQ81" s="12">
        <f t="shared" si="72"/>
        <v>1370497.6264831021</v>
      </c>
      <c r="BR81" s="12">
        <f t="shared" si="72"/>
        <v>1370497.6264831021</v>
      </c>
      <c r="BS81" s="12">
        <f t="shared" si="72"/>
        <v>1370497.6264831021</v>
      </c>
      <c r="BT81" s="12">
        <f t="shared" si="72"/>
        <v>1370497.6264831021</v>
      </c>
      <c r="BU81" s="12">
        <f t="shared" si="72"/>
        <v>1370497.6264831021</v>
      </c>
      <c r="BV81" s="12">
        <f t="shared" si="72"/>
        <v>1370497.6264831021</v>
      </c>
      <c r="BW81" s="12">
        <f t="shared" si="72"/>
        <v>1370497.6264831021</v>
      </c>
      <c r="BX81" s="12">
        <f t="shared" si="72"/>
        <v>1370497.6264831021</v>
      </c>
      <c r="BY81" s="12">
        <f t="shared" si="72"/>
        <v>1370497.6264831021</v>
      </c>
      <c r="BZ81" s="12">
        <f t="shared" si="72"/>
        <v>1370497.6264831021</v>
      </c>
      <c r="CA81" s="12">
        <f t="shared" si="72"/>
        <v>1370497.6264831021</v>
      </c>
      <c r="CB81" s="12">
        <f t="shared" si="72"/>
        <v>1370497.6264831021</v>
      </c>
      <c r="CC81" s="12">
        <f t="shared" si="72"/>
        <v>1370497.6264831021</v>
      </c>
      <c r="CD81" s="12">
        <f t="shared" si="72"/>
        <v>1370497.6264831021</v>
      </c>
      <c r="CE81" s="12">
        <f t="shared" si="72"/>
        <v>1370497.6264831021</v>
      </c>
      <c r="CF81" s="12">
        <f t="shared" si="72"/>
        <v>1370497.6264831021</v>
      </c>
      <c r="CG81" s="12">
        <f t="shared" si="72"/>
        <v>1370497.6264831021</v>
      </c>
      <c r="CH81" s="12">
        <f t="shared" si="72"/>
        <v>1370497.6264831021</v>
      </c>
      <c r="CI81" s="12">
        <f t="shared" si="72"/>
        <v>1370497.6264831021</v>
      </c>
      <c r="CJ81" s="12">
        <f t="shared" si="72"/>
        <v>1370497.6264831021</v>
      </c>
      <c r="CK81" s="12">
        <f t="shared" si="72"/>
        <v>1370497.6264831021</v>
      </c>
      <c r="CL81" s="12">
        <f t="shared" si="72"/>
        <v>1370497.6264831021</v>
      </c>
      <c r="CM81" s="12">
        <f t="shared" si="72"/>
        <v>1370497.6264831021</v>
      </c>
      <c r="CN81" s="12">
        <f t="shared" si="72"/>
        <v>1370497.6264831021</v>
      </c>
      <c r="CO81" s="12">
        <f t="shared" si="72"/>
        <v>1370497.6264831021</v>
      </c>
      <c r="CP81" s="12">
        <f t="shared" si="72"/>
        <v>1370497.6264831021</v>
      </c>
      <c r="CQ81" s="12">
        <f t="shared" si="72"/>
        <v>1370497.6264831021</v>
      </c>
      <c r="CR81" s="12">
        <f t="shared" si="72"/>
        <v>1370497.6264831021</v>
      </c>
      <c r="CS81" s="12">
        <f t="shared" si="72"/>
        <v>1370497.6264831021</v>
      </c>
      <c r="CT81" s="12">
        <f t="shared" si="72"/>
        <v>1370497.6264831021</v>
      </c>
      <c r="CU81" s="12">
        <f t="shared" si="72"/>
        <v>1370497.6264831021</v>
      </c>
      <c r="CV81" s="12">
        <f t="shared" si="72"/>
        <v>1370497.6264831021</v>
      </c>
    </row>
    <row r="82" spans="1:100">
      <c r="A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W82" s="12" t="s">
        <v>268</v>
      </c>
      <c r="AH82" s="12"/>
      <c r="AI82" s="12"/>
      <c r="AJ82" s="12" t="s">
        <v>231</v>
      </c>
      <c r="AN82" s="12">
        <f t="shared" si="71"/>
        <v>0</v>
      </c>
      <c r="AO82" s="12">
        <f t="shared" si="71"/>
        <v>0</v>
      </c>
      <c r="AP82" s="12">
        <f t="shared" ref="AP82:CV82" si="73">AP46 + AP58 +AP70</f>
        <v>0</v>
      </c>
      <c r="AQ82" s="12">
        <f t="shared" si="73"/>
        <v>0</v>
      </c>
      <c r="AR82" s="12">
        <f t="shared" si="73"/>
        <v>0</v>
      </c>
      <c r="AS82" s="12">
        <f t="shared" si="73"/>
        <v>0</v>
      </c>
      <c r="AT82" s="12">
        <f t="shared" si="73"/>
        <v>0</v>
      </c>
      <c r="AU82" s="12">
        <f t="shared" si="73"/>
        <v>0</v>
      </c>
      <c r="AV82" s="12">
        <f t="shared" si="73"/>
        <v>0</v>
      </c>
      <c r="AW82" s="12">
        <f t="shared" si="73"/>
        <v>0</v>
      </c>
      <c r="AX82" s="12">
        <f t="shared" si="73"/>
        <v>0</v>
      </c>
      <c r="AY82" s="12">
        <f t="shared" si="73"/>
        <v>0</v>
      </c>
      <c r="AZ82" s="12">
        <f t="shared" si="73"/>
        <v>0</v>
      </c>
      <c r="BA82" s="12">
        <f t="shared" si="73"/>
        <v>0</v>
      </c>
      <c r="BB82" s="12">
        <f t="shared" si="73"/>
        <v>0</v>
      </c>
      <c r="BC82" s="12">
        <f t="shared" si="73"/>
        <v>0</v>
      </c>
      <c r="BD82" s="12">
        <f t="shared" si="73"/>
        <v>0</v>
      </c>
      <c r="BE82" s="12">
        <f t="shared" si="73"/>
        <v>0</v>
      </c>
      <c r="BF82" s="12">
        <f t="shared" si="73"/>
        <v>0</v>
      </c>
      <c r="BG82" s="12">
        <f t="shared" si="73"/>
        <v>0</v>
      </c>
      <c r="BH82" s="12">
        <f t="shared" si="73"/>
        <v>0</v>
      </c>
      <c r="BI82" s="12">
        <f t="shared" si="73"/>
        <v>0</v>
      </c>
      <c r="BJ82" s="12">
        <f t="shared" si="73"/>
        <v>0</v>
      </c>
      <c r="BK82" s="12">
        <f t="shared" si="73"/>
        <v>0</v>
      </c>
      <c r="BL82" s="12">
        <f t="shared" si="73"/>
        <v>0</v>
      </c>
      <c r="BM82" s="12">
        <f t="shared" si="73"/>
        <v>0</v>
      </c>
      <c r="BN82" s="12">
        <f t="shared" si="73"/>
        <v>0</v>
      </c>
      <c r="BO82" s="12">
        <f t="shared" si="73"/>
        <v>0</v>
      </c>
      <c r="BP82" s="12">
        <f t="shared" si="73"/>
        <v>0</v>
      </c>
      <c r="BQ82" s="12">
        <f t="shared" si="73"/>
        <v>0</v>
      </c>
      <c r="BR82" s="12">
        <f t="shared" si="73"/>
        <v>0</v>
      </c>
      <c r="BS82" s="12">
        <f t="shared" si="73"/>
        <v>0</v>
      </c>
      <c r="BT82" s="12">
        <f t="shared" si="73"/>
        <v>0</v>
      </c>
      <c r="BU82" s="12">
        <f t="shared" si="73"/>
        <v>0</v>
      </c>
      <c r="BV82" s="12">
        <f t="shared" si="73"/>
        <v>0</v>
      </c>
      <c r="BW82" s="12">
        <f t="shared" si="73"/>
        <v>0</v>
      </c>
      <c r="BX82" s="12">
        <f t="shared" si="73"/>
        <v>0</v>
      </c>
      <c r="BY82" s="12">
        <f t="shared" si="73"/>
        <v>0</v>
      </c>
      <c r="BZ82" s="12">
        <f t="shared" si="73"/>
        <v>0</v>
      </c>
      <c r="CA82" s="12">
        <f t="shared" si="73"/>
        <v>0</v>
      </c>
      <c r="CB82" s="12">
        <f t="shared" si="73"/>
        <v>0</v>
      </c>
      <c r="CC82" s="12">
        <f t="shared" si="73"/>
        <v>0</v>
      </c>
      <c r="CD82" s="12">
        <f t="shared" si="73"/>
        <v>0</v>
      </c>
      <c r="CE82" s="12">
        <f t="shared" si="73"/>
        <v>0</v>
      </c>
      <c r="CF82" s="12">
        <f t="shared" si="73"/>
        <v>0</v>
      </c>
      <c r="CG82" s="12">
        <f t="shared" si="73"/>
        <v>0</v>
      </c>
      <c r="CH82" s="12">
        <f t="shared" si="73"/>
        <v>0</v>
      </c>
      <c r="CI82" s="12">
        <f t="shared" si="73"/>
        <v>0</v>
      </c>
      <c r="CJ82" s="12">
        <f t="shared" si="73"/>
        <v>0</v>
      </c>
      <c r="CK82" s="12">
        <f t="shared" si="73"/>
        <v>0</v>
      </c>
      <c r="CL82" s="12">
        <f t="shared" si="73"/>
        <v>0</v>
      </c>
      <c r="CM82" s="12">
        <f t="shared" si="73"/>
        <v>0</v>
      </c>
      <c r="CN82" s="12">
        <f t="shared" si="73"/>
        <v>0</v>
      </c>
      <c r="CO82" s="12">
        <f t="shared" si="73"/>
        <v>0</v>
      </c>
      <c r="CP82" s="12">
        <f t="shared" si="73"/>
        <v>0</v>
      </c>
      <c r="CQ82" s="12">
        <f t="shared" si="73"/>
        <v>0</v>
      </c>
      <c r="CR82" s="12">
        <f t="shared" si="73"/>
        <v>0</v>
      </c>
      <c r="CS82" s="12">
        <f t="shared" si="73"/>
        <v>0</v>
      </c>
      <c r="CT82" s="12">
        <f t="shared" si="73"/>
        <v>0</v>
      </c>
      <c r="CU82" s="12">
        <f t="shared" si="73"/>
        <v>0</v>
      </c>
      <c r="CV82" s="12">
        <f t="shared" si="73"/>
        <v>0</v>
      </c>
    </row>
    <row r="83" spans="1:100">
      <c r="A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Z83" s="12">
        <v>2009</v>
      </c>
      <c r="AA83" s="12">
        <v>2010</v>
      </c>
      <c r="AB83" s="12"/>
      <c r="AC83" s="12"/>
      <c r="AD83" s="12"/>
      <c r="AE83" s="12"/>
      <c r="AH83" s="12"/>
      <c r="AI83" s="12"/>
      <c r="AJ83" s="12" t="s">
        <v>232</v>
      </c>
      <c r="AN83" s="12">
        <f t="shared" si="71"/>
        <v>32216.099999999995</v>
      </c>
      <c r="AO83" s="12">
        <f t="shared" si="71"/>
        <v>32944.828181999997</v>
      </c>
      <c r="AP83" s="12">
        <f t="shared" ref="AP83:CV83" si="74">AP47 + AP59 +AP71</f>
        <v>33300.302878083778</v>
      </c>
      <c r="AQ83" s="12">
        <f t="shared" si="74"/>
        <v>33874.400099701939</v>
      </c>
      <c r="AR83" s="12">
        <f t="shared" si="74"/>
        <v>34619.636901895385</v>
      </c>
      <c r="AS83" s="12">
        <f t="shared" si="74"/>
        <v>35173.55109232571</v>
      </c>
      <c r="AT83" s="12">
        <f t="shared" si="74"/>
        <v>35841.848563079897</v>
      </c>
      <c r="AU83" s="12">
        <f t="shared" si="74"/>
        <v>36522.843685778411</v>
      </c>
      <c r="AV83" s="12">
        <f t="shared" si="74"/>
        <v>37253.300559493975</v>
      </c>
      <c r="AW83" s="12">
        <f t="shared" si="74"/>
        <v>38016.993220963603</v>
      </c>
      <c r="AX83" s="12">
        <f t="shared" si="74"/>
        <v>38815.350078603835</v>
      </c>
      <c r="AY83" s="12">
        <f t="shared" si="74"/>
        <v>39649.880105293822</v>
      </c>
      <c r="AZ83" s="12">
        <f t="shared" si="74"/>
        <v>40522.177467610287</v>
      </c>
      <c r="BA83" s="12">
        <f t="shared" si="74"/>
        <v>41413.66537189771</v>
      </c>
      <c r="BB83" s="12">
        <f t="shared" si="74"/>
        <v>42324.76601007946</v>
      </c>
      <c r="BC83" s="12">
        <f t="shared" si="74"/>
        <v>43255.910862301214</v>
      </c>
      <c r="BD83" s="12">
        <f t="shared" si="74"/>
        <v>44207.540901271845</v>
      </c>
      <c r="BE83" s="12">
        <f t="shared" si="74"/>
        <v>45180.106801099828</v>
      </c>
      <c r="BF83" s="12">
        <f t="shared" si="74"/>
        <v>46174.069150724012</v>
      </c>
      <c r="BG83" s="12">
        <f t="shared" si="74"/>
        <v>47189.898672039941</v>
      </c>
      <c r="BH83" s="12">
        <f t="shared" si="74"/>
        <v>47189.898672039941</v>
      </c>
      <c r="BI83" s="12">
        <f t="shared" si="74"/>
        <v>47189.898672039941</v>
      </c>
      <c r="BJ83" s="12">
        <f t="shared" si="74"/>
        <v>47189.898672039941</v>
      </c>
      <c r="BK83" s="12">
        <f t="shared" si="74"/>
        <v>47189.898672039941</v>
      </c>
      <c r="BL83" s="12">
        <f t="shared" si="74"/>
        <v>47189.898672039941</v>
      </c>
      <c r="BM83" s="12">
        <f t="shared" si="74"/>
        <v>47189.898672039941</v>
      </c>
      <c r="BN83" s="12">
        <f t="shared" si="74"/>
        <v>47189.898672039941</v>
      </c>
      <c r="BO83" s="12">
        <f t="shared" si="74"/>
        <v>47189.898672039941</v>
      </c>
      <c r="BP83" s="12">
        <f t="shared" si="74"/>
        <v>47189.898672039941</v>
      </c>
      <c r="BQ83" s="12">
        <f t="shared" si="74"/>
        <v>47189.898672039941</v>
      </c>
      <c r="BR83" s="12">
        <f t="shared" si="74"/>
        <v>47189.898672039941</v>
      </c>
      <c r="BS83" s="12">
        <f t="shared" si="74"/>
        <v>47189.898672039941</v>
      </c>
      <c r="BT83" s="12">
        <f t="shared" si="74"/>
        <v>47189.898672039941</v>
      </c>
      <c r="BU83" s="12">
        <f t="shared" si="74"/>
        <v>47189.898672039941</v>
      </c>
      <c r="BV83" s="12">
        <f t="shared" si="74"/>
        <v>47189.898672039941</v>
      </c>
      <c r="BW83" s="12">
        <f t="shared" si="74"/>
        <v>47189.898672039941</v>
      </c>
      <c r="BX83" s="12">
        <f t="shared" si="74"/>
        <v>47189.898672039941</v>
      </c>
      <c r="BY83" s="12">
        <f t="shared" si="74"/>
        <v>47189.898672039941</v>
      </c>
      <c r="BZ83" s="12">
        <f t="shared" si="74"/>
        <v>47189.898672039941</v>
      </c>
      <c r="CA83" s="12">
        <f t="shared" si="74"/>
        <v>47189.898672039941</v>
      </c>
      <c r="CB83" s="12">
        <f t="shared" si="74"/>
        <v>47189.898672039941</v>
      </c>
      <c r="CC83" s="12">
        <f t="shared" si="74"/>
        <v>47189.898672039941</v>
      </c>
      <c r="CD83" s="12">
        <f t="shared" si="74"/>
        <v>47189.898672039941</v>
      </c>
      <c r="CE83" s="12">
        <f t="shared" si="74"/>
        <v>47189.898672039941</v>
      </c>
      <c r="CF83" s="12">
        <f t="shared" si="74"/>
        <v>47189.898672039941</v>
      </c>
      <c r="CG83" s="12">
        <f t="shared" si="74"/>
        <v>47189.898672039941</v>
      </c>
      <c r="CH83" s="12">
        <f t="shared" si="74"/>
        <v>47189.898672039941</v>
      </c>
      <c r="CI83" s="12">
        <f t="shared" si="74"/>
        <v>47189.898672039941</v>
      </c>
      <c r="CJ83" s="12">
        <f t="shared" si="74"/>
        <v>47189.898672039941</v>
      </c>
      <c r="CK83" s="12">
        <f t="shared" si="74"/>
        <v>47189.898672039941</v>
      </c>
      <c r="CL83" s="12">
        <f t="shared" si="74"/>
        <v>47189.898672039941</v>
      </c>
      <c r="CM83" s="12">
        <f t="shared" si="74"/>
        <v>47189.898672039941</v>
      </c>
      <c r="CN83" s="12">
        <f t="shared" si="74"/>
        <v>47189.898672039941</v>
      </c>
      <c r="CO83" s="12">
        <f t="shared" si="74"/>
        <v>47189.898672039941</v>
      </c>
      <c r="CP83" s="12">
        <f t="shared" si="74"/>
        <v>47189.898672039941</v>
      </c>
      <c r="CQ83" s="12">
        <f t="shared" si="74"/>
        <v>47189.898672039941</v>
      </c>
      <c r="CR83" s="12">
        <f t="shared" si="74"/>
        <v>47189.898672039941</v>
      </c>
      <c r="CS83" s="12">
        <f t="shared" si="74"/>
        <v>47189.898672039941</v>
      </c>
      <c r="CT83" s="12">
        <f t="shared" si="74"/>
        <v>47189.898672039941</v>
      </c>
      <c r="CU83" s="12">
        <f t="shared" si="74"/>
        <v>47189.898672039941</v>
      </c>
      <c r="CV83" s="12">
        <f t="shared" si="74"/>
        <v>47189.898672039941</v>
      </c>
    </row>
    <row r="84" spans="1:100">
      <c r="A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 t="s">
        <v>230</v>
      </c>
      <c r="Z84" s="12">
        <f>(K16 +O16) + (K16/M16*T16)</f>
        <v>580157.78136659111</v>
      </c>
      <c r="AA84" s="12">
        <f>(K45+O45)*S30 +K45/M45*T45*S30</f>
        <v>621174.41995176219</v>
      </c>
      <c r="AB84" s="12"/>
      <c r="AC84" s="12"/>
      <c r="AD84" s="12"/>
      <c r="AE84" s="12"/>
      <c r="AH84" s="12"/>
      <c r="AI84" s="12"/>
      <c r="AJ84" s="12" t="s">
        <v>233</v>
      </c>
      <c r="AN84" s="12">
        <f t="shared" si="71"/>
        <v>160096.64999999997</v>
      </c>
      <c r="AO84" s="12">
        <f t="shared" si="71"/>
        <v>163718.03622299997</v>
      </c>
      <c r="AP84" s="12">
        <f t="shared" ref="AP84:CV85" si="75">AP48 + AP60 +AP72</f>
        <v>165484.55383384618</v>
      </c>
      <c r="AQ84" s="12">
        <f t="shared" si="75"/>
        <v>168337.50754194168</v>
      </c>
      <c r="AR84" s="12">
        <f t="shared" si="75"/>
        <v>172040.93270786444</v>
      </c>
      <c r="AS84" s="12">
        <f t="shared" si="75"/>
        <v>174793.58763119025</v>
      </c>
      <c r="AT84" s="12">
        <f t="shared" si="75"/>
        <v>178114.66579618288</v>
      </c>
      <c r="AU84" s="12">
        <f t="shared" si="75"/>
        <v>181498.84444631031</v>
      </c>
      <c r="AV84" s="12">
        <f t="shared" si="75"/>
        <v>185128.82133523651</v>
      </c>
      <c r="AW84" s="12">
        <f t="shared" si="75"/>
        <v>188923.96217260888</v>
      </c>
      <c r="AX84" s="12">
        <f t="shared" si="75"/>
        <v>192891.36537823366</v>
      </c>
      <c r="AY84" s="12">
        <f t="shared" si="75"/>
        <v>197038.52973386567</v>
      </c>
      <c r="AZ84" s="12">
        <f t="shared" si="75"/>
        <v>201373.3773880107</v>
      </c>
      <c r="BA84" s="12">
        <f t="shared" si="75"/>
        <v>205803.59169054692</v>
      </c>
      <c r="BB84" s="12">
        <f t="shared" si="75"/>
        <v>210331.27070773896</v>
      </c>
      <c r="BC84" s="12">
        <f t="shared" si="75"/>
        <v>214958.55866330926</v>
      </c>
      <c r="BD84" s="12">
        <f t="shared" si="75"/>
        <v>219687.64695390203</v>
      </c>
      <c r="BE84" s="12">
        <f t="shared" si="75"/>
        <v>224520.77518688788</v>
      </c>
      <c r="BF84" s="12">
        <f t="shared" si="75"/>
        <v>229460.23224099944</v>
      </c>
      <c r="BG84" s="12">
        <f t="shared" si="75"/>
        <v>234508.35735030143</v>
      </c>
      <c r="BH84" s="12">
        <f t="shared" si="75"/>
        <v>234508.35735030143</v>
      </c>
      <c r="BI84" s="12">
        <f t="shared" si="75"/>
        <v>234508.35735030143</v>
      </c>
      <c r="BJ84" s="12">
        <f t="shared" si="75"/>
        <v>234508.35735030143</v>
      </c>
      <c r="BK84" s="12">
        <f t="shared" si="75"/>
        <v>234508.35735030143</v>
      </c>
      <c r="BL84" s="12">
        <f t="shared" si="75"/>
        <v>234508.35735030143</v>
      </c>
      <c r="BM84" s="12">
        <f t="shared" si="75"/>
        <v>234508.35735030143</v>
      </c>
      <c r="BN84" s="12">
        <f t="shared" si="75"/>
        <v>234508.35735030143</v>
      </c>
      <c r="BO84" s="12">
        <f t="shared" si="75"/>
        <v>234508.35735030143</v>
      </c>
      <c r="BP84" s="12">
        <f t="shared" si="75"/>
        <v>234508.35735030143</v>
      </c>
      <c r="BQ84" s="12">
        <f t="shared" si="75"/>
        <v>234508.35735030143</v>
      </c>
      <c r="BR84" s="12">
        <f t="shared" si="75"/>
        <v>234508.35735030143</v>
      </c>
      <c r="BS84" s="12">
        <f t="shared" si="75"/>
        <v>234508.35735030143</v>
      </c>
      <c r="BT84" s="12">
        <f t="shared" si="75"/>
        <v>234508.35735030143</v>
      </c>
      <c r="BU84" s="12">
        <f t="shared" si="75"/>
        <v>234508.35735030143</v>
      </c>
      <c r="BV84" s="12">
        <f t="shared" si="75"/>
        <v>234508.35735030143</v>
      </c>
      <c r="BW84" s="12">
        <f t="shared" si="75"/>
        <v>234508.35735030143</v>
      </c>
      <c r="BX84" s="12">
        <f t="shared" si="75"/>
        <v>234508.35735030143</v>
      </c>
      <c r="BY84" s="12">
        <f t="shared" si="75"/>
        <v>234508.35735030143</v>
      </c>
      <c r="BZ84" s="12">
        <f t="shared" si="75"/>
        <v>234508.35735030143</v>
      </c>
      <c r="CA84" s="12">
        <f t="shared" si="75"/>
        <v>234508.35735030143</v>
      </c>
      <c r="CB84" s="12">
        <f t="shared" si="75"/>
        <v>234508.35735030143</v>
      </c>
      <c r="CC84" s="12">
        <f t="shared" si="75"/>
        <v>234508.35735030143</v>
      </c>
      <c r="CD84" s="12">
        <f t="shared" si="75"/>
        <v>234508.35735030143</v>
      </c>
      <c r="CE84" s="12">
        <f t="shared" si="75"/>
        <v>234508.35735030143</v>
      </c>
      <c r="CF84" s="12">
        <f t="shared" si="75"/>
        <v>234508.35735030143</v>
      </c>
      <c r="CG84" s="12">
        <f t="shared" si="75"/>
        <v>234508.35735030143</v>
      </c>
      <c r="CH84" s="12">
        <f t="shared" si="75"/>
        <v>234508.35735030143</v>
      </c>
      <c r="CI84" s="12">
        <f t="shared" si="75"/>
        <v>234508.35735030143</v>
      </c>
      <c r="CJ84" s="12">
        <f t="shared" si="75"/>
        <v>234508.35735030143</v>
      </c>
      <c r="CK84" s="12">
        <f t="shared" si="75"/>
        <v>234508.35735030143</v>
      </c>
      <c r="CL84" s="12">
        <f t="shared" si="75"/>
        <v>234508.35735030143</v>
      </c>
      <c r="CM84" s="12">
        <f t="shared" si="75"/>
        <v>234508.35735030143</v>
      </c>
      <c r="CN84" s="12">
        <f t="shared" si="75"/>
        <v>234508.35735030143</v>
      </c>
      <c r="CO84" s="12">
        <f t="shared" si="75"/>
        <v>234508.35735030143</v>
      </c>
      <c r="CP84" s="12">
        <f t="shared" si="75"/>
        <v>234508.35735030143</v>
      </c>
      <c r="CQ84" s="12">
        <f t="shared" si="75"/>
        <v>234508.35735030143</v>
      </c>
      <c r="CR84" s="12">
        <f t="shared" si="75"/>
        <v>234508.35735030143</v>
      </c>
      <c r="CS84" s="12">
        <f t="shared" si="75"/>
        <v>234508.35735030143</v>
      </c>
      <c r="CT84" s="12">
        <f t="shared" si="75"/>
        <v>234508.35735030143</v>
      </c>
      <c r="CU84" s="12">
        <f t="shared" si="75"/>
        <v>234508.35735030143</v>
      </c>
      <c r="CV84" s="12">
        <f t="shared" si="75"/>
        <v>234508.35735030143</v>
      </c>
    </row>
    <row r="85" spans="1:100" s="12" customFormat="1">
      <c r="W85" s="12" t="s">
        <v>231</v>
      </c>
      <c r="Z85" s="12">
        <f>(K17 +O17) + (K17*T17)</f>
        <v>0</v>
      </c>
      <c r="AA85" s="12">
        <f t="shared" ref="AA85:AA88" si="76">(K46+O46)*S31 +K46/M46*T46*S31</f>
        <v>0</v>
      </c>
      <c r="AJ85" s="12" t="s">
        <v>234</v>
      </c>
      <c r="AN85" s="12">
        <f t="shared" ref="AN85:BC87" si="77">AN49 + AN61 +AN73</f>
        <v>277150.27999999991</v>
      </c>
      <c r="AO85" s="12">
        <f t="shared" si="77"/>
        <v>283419.41933359997</v>
      </c>
      <c r="AP85" s="12">
        <f t="shared" si="77"/>
        <v>286477.51486820949</v>
      </c>
      <c r="AQ85" s="12">
        <f t="shared" si="77"/>
        <v>291416.38722453744</v>
      </c>
      <c r="AR85" s="12">
        <f t="shared" si="77"/>
        <v>297827.54774347728</v>
      </c>
      <c r="AS85" s="12">
        <f t="shared" si="77"/>
        <v>302592.78850737284</v>
      </c>
      <c r="AT85" s="12">
        <f t="shared" si="77"/>
        <v>308342.0514890129</v>
      </c>
      <c r="AU85" s="12">
        <f t="shared" si="77"/>
        <v>314200.55046730407</v>
      </c>
      <c r="AV85" s="12">
        <f t="shared" si="77"/>
        <v>320484.56147665018</v>
      </c>
      <c r="AW85" s="12">
        <f t="shared" si="77"/>
        <v>327054.49498692155</v>
      </c>
      <c r="AX85" s="12">
        <f t="shared" si="77"/>
        <v>333922.63938164688</v>
      </c>
      <c r="AY85" s="12">
        <f t="shared" si="77"/>
        <v>341101.97612835228</v>
      </c>
      <c r="AZ85" s="12">
        <f t="shared" si="77"/>
        <v>348606.219603176</v>
      </c>
      <c r="BA85" s="12">
        <f t="shared" si="77"/>
        <v>356275.5564344459</v>
      </c>
      <c r="BB85" s="12">
        <f t="shared" si="77"/>
        <v>364113.61867600371</v>
      </c>
      <c r="BC85" s="12">
        <f t="shared" si="77"/>
        <v>372124.11828687578</v>
      </c>
      <c r="BD85" s="12">
        <f t="shared" si="75"/>
        <v>380310.84888918709</v>
      </c>
      <c r="BE85" s="12">
        <f t="shared" si="75"/>
        <v>388677.68756474927</v>
      </c>
      <c r="BF85" s="12">
        <f t="shared" si="75"/>
        <v>397228.59669117368</v>
      </c>
      <c r="BG85" s="12">
        <f t="shared" si="75"/>
        <v>405967.62581837957</v>
      </c>
      <c r="BH85" s="12">
        <f t="shared" si="75"/>
        <v>405967.62581837957</v>
      </c>
      <c r="BI85" s="12">
        <f t="shared" si="75"/>
        <v>405967.62581837957</v>
      </c>
      <c r="BJ85" s="12">
        <f t="shared" si="75"/>
        <v>405967.62581837957</v>
      </c>
      <c r="BK85" s="12">
        <f t="shared" si="75"/>
        <v>405967.62581837957</v>
      </c>
      <c r="BL85" s="12">
        <f t="shared" si="75"/>
        <v>405967.62581837957</v>
      </c>
      <c r="BM85" s="12">
        <f t="shared" si="75"/>
        <v>405967.62581837957</v>
      </c>
      <c r="BN85" s="12">
        <f t="shared" si="75"/>
        <v>405967.62581837957</v>
      </c>
      <c r="BO85" s="12">
        <f t="shared" si="75"/>
        <v>405967.62581837957</v>
      </c>
      <c r="BP85" s="12">
        <f t="shared" si="75"/>
        <v>405967.62581837957</v>
      </c>
      <c r="BQ85" s="12">
        <f t="shared" si="75"/>
        <v>405967.62581837957</v>
      </c>
      <c r="BR85" s="12">
        <f t="shared" si="75"/>
        <v>405967.62581837957</v>
      </c>
      <c r="BS85" s="12">
        <f t="shared" si="75"/>
        <v>405967.62581837957</v>
      </c>
      <c r="BT85" s="12">
        <f t="shared" si="75"/>
        <v>405967.62581837957</v>
      </c>
      <c r="BU85" s="12">
        <f t="shared" si="75"/>
        <v>405967.62581837957</v>
      </c>
      <c r="BV85" s="12">
        <f t="shared" si="75"/>
        <v>405967.62581837957</v>
      </c>
      <c r="BW85" s="12">
        <f t="shared" si="75"/>
        <v>405967.62581837957</v>
      </c>
      <c r="BX85" s="12">
        <f t="shared" si="75"/>
        <v>405967.62581837957</v>
      </c>
      <c r="BY85" s="12">
        <f t="shared" si="75"/>
        <v>405967.62581837957</v>
      </c>
      <c r="BZ85" s="12">
        <f t="shared" si="75"/>
        <v>405967.62581837957</v>
      </c>
      <c r="CA85" s="12">
        <f t="shared" si="75"/>
        <v>405967.62581837957</v>
      </c>
      <c r="CB85" s="12">
        <f t="shared" si="75"/>
        <v>405967.62581837957</v>
      </c>
      <c r="CC85" s="12">
        <f t="shared" si="75"/>
        <v>405967.62581837957</v>
      </c>
      <c r="CD85" s="12">
        <f t="shared" si="75"/>
        <v>405967.62581837957</v>
      </c>
      <c r="CE85" s="12">
        <f t="shared" si="75"/>
        <v>405967.62581837957</v>
      </c>
      <c r="CF85" s="12">
        <f t="shared" si="75"/>
        <v>405967.62581837957</v>
      </c>
      <c r="CG85" s="12">
        <f t="shared" si="75"/>
        <v>405967.62581837957</v>
      </c>
      <c r="CH85" s="12">
        <f t="shared" si="75"/>
        <v>405967.62581837957</v>
      </c>
      <c r="CI85" s="12">
        <f t="shared" si="75"/>
        <v>405967.62581837957</v>
      </c>
      <c r="CJ85" s="12">
        <f t="shared" si="75"/>
        <v>405967.62581837957</v>
      </c>
      <c r="CK85" s="12">
        <f t="shared" si="75"/>
        <v>405967.62581837957</v>
      </c>
      <c r="CL85" s="12">
        <f t="shared" si="75"/>
        <v>405967.62581837957</v>
      </c>
      <c r="CM85" s="12">
        <f t="shared" si="75"/>
        <v>405967.62581837957</v>
      </c>
      <c r="CN85" s="12">
        <f t="shared" si="75"/>
        <v>405967.62581837957</v>
      </c>
      <c r="CO85" s="12">
        <f t="shared" si="75"/>
        <v>405967.62581837957</v>
      </c>
      <c r="CP85" s="12">
        <f t="shared" si="75"/>
        <v>405967.62581837957</v>
      </c>
      <c r="CQ85" s="12">
        <f t="shared" si="75"/>
        <v>405967.62581837957</v>
      </c>
      <c r="CR85" s="12">
        <f t="shared" si="75"/>
        <v>405967.62581837957</v>
      </c>
      <c r="CS85" s="12">
        <f t="shared" si="75"/>
        <v>405967.62581837957</v>
      </c>
      <c r="CT85" s="12">
        <f t="shared" si="75"/>
        <v>405967.62581837957</v>
      </c>
      <c r="CU85" s="12">
        <f t="shared" si="75"/>
        <v>405967.62581837957</v>
      </c>
      <c r="CV85" s="12">
        <f t="shared" si="75"/>
        <v>405967.62581837957</v>
      </c>
    </row>
    <row r="86" spans="1:100" s="12" customFormat="1">
      <c r="A86" s="8"/>
      <c r="W86" s="12" t="s">
        <v>232</v>
      </c>
      <c r="Z86" s="12">
        <f t="shared" ref="Z86:Z88" si="78">(K18 +O18) + (K18/M18*T18)</f>
        <v>16916.250520844162</v>
      </c>
      <c r="AA86" s="12">
        <f t="shared" si="76"/>
        <v>16075.718106707744</v>
      </c>
      <c r="AH86" s="12" t="s">
        <v>265</v>
      </c>
      <c r="AJ86" s="12" t="s">
        <v>231</v>
      </c>
      <c r="AN86" s="12">
        <f t="shared" si="77"/>
        <v>207560.65000000002</v>
      </c>
      <c r="AO86" s="12">
        <f t="shared" ref="AO86:CV87" si="79">AO50 + AO62 +AO74</f>
        <v>212255.67190300004</v>
      </c>
      <c r="AP86" s="12">
        <f t="shared" si="79"/>
        <v>214545.91060283341</v>
      </c>
      <c r="AQ86" s="12">
        <f t="shared" si="79"/>
        <v>218244.68210162624</v>
      </c>
      <c r="AR86" s="12">
        <f t="shared" si="79"/>
        <v>223046.06510786203</v>
      </c>
      <c r="AS86" s="12">
        <f t="shared" si="79"/>
        <v>226614.80214958781</v>
      </c>
      <c r="AT86" s="12">
        <f t="shared" si="79"/>
        <v>230920.48339042993</v>
      </c>
      <c r="AU86" s="12">
        <f t="shared" si="79"/>
        <v>235307.9725748481</v>
      </c>
      <c r="AV86" s="12">
        <f t="shared" si="79"/>
        <v>240014.13202634506</v>
      </c>
      <c r="AW86" s="12">
        <f t="shared" si="79"/>
        <v>244934.42173288512</v>
      </c>
      <c r="AX86" s="12">
        <f t="shared" si="79"/>
        <v>250078.04458927567</v>
      </c>
      <c r="AY86" s="12">
        <f t="shared" si="79"/>
        <v>255454.7225479451</v>
      </c>
      <c r="AZ86" s="12">
        <f t="shared" si="79"/>
        <v>261074.72644399994</v>
      </c>
      <c r="BA86" s="12">
        <f t="shared" si="79"/>
        <v>266818.37042576796</v>
      </c>
      <c r="BB86" s="12">
        <f t="shared" si="79"/>
        <v>272688.37457513483</v>
      </c>
      <c r="BC86" s="12">
        <f t="shared" si="79"/>
        <v>278687.51881578774</v>
      </c>
      <c r="BD86" s="12">
        <f t="shared" si="79"/>
        <v>284818.64422973513</v>
      </c>
      <c r="BE86" s="12">
        <f t="shared" si="79"/>
        <v>291084.65440278931</v>
      </c>
      <c r="BF86" s="12">
        <f t="shared" si="79"/>
        <v>297488.51679965074</v>
      </c>
      <c r="BG86" s="12">
        <f t="shared" si="79"/>
        <v>304033.26416924299</v>
      </c>
      <c r="BH86" s="12">
        <f t="shared" si="79"/>
        <v>304033.26416924299</v>
      </c>
      <c r="BI86" s="12">
        <f t="shared" si="79"/>
        <v>304033.26416924299</v>
      </c>
      <c r="BJ86" s="12">
        <f t="shared" si="79"/>
        <v>304033.26416924299</v>
      </c>
      <c r="BK86" s="12">
        <f t="shared" si="79"/>
        <v>304033.26416924299</v>
      </c>
      <c r="BL86" s="12">
        <f t="shared" si="79"/>
        <v>304033.26416924299</v>
      </c>
      <c r="BM86" s="12">
        <f t="shared" si="79"/>
        <v>304033.26416924299</v>
      </c>
      <c r="BN86" s="12">
        <f t="shared" si="79"/>
        <v>304033.26416924299</v>
      </c>
      <c r="BO86" s="12">
        <f t="shared" si="79"/>
        <v>304033.26416924299</v>
      </c>
      <c r="BP86" s="12">
        <f t="shared" si="79"/>
        <v>304033.26416924299</v>
      </c>
      <c r="BQ86" s="12">
        <f t="shared" si="79"/>
        <v>304033.26416924299</v>
      </c>
      <c r="BR86" s="12">
        <f t="shared" si="79"/>
        <v>304033.26416924299</v>
      </c>
      <c r="BS86" s="12">
        <f t="shared" si="79"/>
        <v>304033.26416924299</v>
      </c>
      <c r="BT86" s="12">
        <f t="shared" si="79"/>
        <v>304033.26416924299</v>
      </c>
      <c r="BU86" s="12">
        <f t="shared" si="79"/>
        <v>304033.26416924299</v>
      </c>
      <c r="BV86" s="12">
        <f t="shared" si="79"/>
        <v>304033.26416924299</v>
      </c>
      <c r="BW86" s="12">
        <f t="shared" si="79"/>
        <v>304033.26416924299</v>
      </c>
      <c r="BX86" s="12">
        <f t="shared" si="79"/>
        <v>304033.26416924299</v>
      </c>
      <c r="BY86" s="12">
        <f t="shared" si="79"/>
        <v>304033.26416924299</v>
      </c>
      <c r="BZ86" s="12">
        <f t="shared" si="79"/>
        <v>304033.26416924299</v>
      </c>
      <c r="CA86" s="12">
        <f t="shared" si="79"/>
        <v>304033.26416924299</v>
      </c>
      <c r="CB86" s="12">
        <f t="shared" si="79"/>
        <v>304033.26416924299</v>
      </c>
      <c r="CC86" s="12">
        <f t="shared" si="79"/>
        <v>304033.26416924299</v>
      </c>
      <c r="CD86" s="12">
        <f t="shared" si="79"/>
        <v>304033.26416924299</v>
      </c>
      <c r="CE86" s="12">
        <f t="shared" si="79"/>
        <v>304033.26416924299</v>
      </c>
      <c r="CF86" s="12">
        <f t="shared" si="79"/>
        <v>304033.26416924299</v>
      </c>
      <c r="CG86" s="12">
        <f t="shared" si="79"/>
        <v>304033.26416924299</v>
      </c>
      <c r="CH86" s="12">
        <f t="shared" si="79"/>
        <v>304033.26416924299</v>
      </c>
      <c r="CI86" s="12">
        <f t="shared" si="79"/>
        <v>304033.26416924299</v>
      </c>
      <c r="CJ86" s="12">
        <f t="shared" si="79"/>
        <v>304033.26416924299</v>
      </c>
      <c r="CK86" s="12">
        <f t="shared" si="79"/>
        <v>304033.26416924299</v>
      </c>
      <c r="CL86" s="12">
        <f t="shared" si="79"/>
        <v>304033.26416924299</v>
      </c>
      <c r="CM86" s="12">
        <f t="shared" si="79"/>
        <v>304033.26416924299</v>
      </c>
      <c r="CN86" s="12">
        <f t="shared" si="79"/>
        <v>304033.26416924299</v>
      </c>
      <c r="CO86" s="12">
        <f t="shared" si="79"/>
        <v>304033.26416924299</v>
      </c>
      <c r="CP86" s="12">
        <f t="shared" si="79"/>
        <v>304033.26416924299</v>
      </c>
      <c r="CQ86" s="12">
        <f t="shared" si="79"/>
        <v>304033.26416924299</v>
      </c>
      <c r="CR86" s="12">
        <f t="shared" si="79"/>
        <v>304033.26416924299</v>
      </c>
      <c r="CS86" s="12">
        <f t="shared" si="79"/>
        <v>304033.26416924299</v>
      </c>
      <c r="CT86" s="12">
        <f t="shared" si="79"/>
        <v>304033.26416924299</v>
      </c>
      <c r="CU86" s="12">
        <f t="shared" si="79"/>
        <v>304033.26416924299</v>
      </c>
      <c r="CV86" s="12">
        <f t="shared" si="79"/>
        <v>304033.26416924299</v>
      </c>
    </row>
    <row r="87" spans="1:100" s="12" customFormat="1">
      <c r="A87" s="8"/>
      <c r="W87" s="12" t="s">
        <v>233</v>
      </c>
      <c r="Z87" s="12">
        <f t="shared" si="78"/>
        <v>127579.72650946229</v>
      </c>
      <c r="AA87" s="12">
        <f t="shared" si="76"/>
        <v>137266.65526587883</v>
      </c>
      <c r="AJ87" s="12" t="s">
        <v>232</v>
      </c>
      <c r="AN87" s="12">
        <f t="shared" si="77"/>
        <v>94500.56</v>
      </c>
      <c r="AO87" s="12">
        <f t="shared" si="79"/>
        <v>96638.162667199998</v>
      </c>
      <c r="AP87" s="12">
        <f t="shared" si="79"/>
        <v>97680.888442379102</v>
      </c>
      <c r="AQ87" s="12">
        <f t="shared" si="79"/>
        <v>99364.906959125714</v>
      </c>
      <c r="AR87" s="12">
        <f t="shared" si="79"/>
        <v>101550.93491222648</v>
      </c>
      <c r="AS87" s="12">
        <f t="shared" si="79"/>
        <v>103175.74987082208</v>
      </c>
      <c r="AT87" s="12">
        <f t="shared" si="79"/>
        <v>105136.0891183677</v>
      </c>
      <c r="AU87" s="12">
        <f t="shared" si="79"/>
        <v>107133.67481161667</v>
      </c>
      <c r="AV87" s="12">
        <f t="shared" si="79"/>
        <v>109276.348307849</v>
      </c>
      <c r="AW87" s="12">
        <f t="shared" si="79"/>
        <v>111516.51344815991</v>
      </c>
      <c r="AX87" s="12">
        <f t="shared" si="79"/>
        <v>113858.36023057124</v>
      </c>
      <c r="AY87" s="12">
        <f t="shared" si="79"/>
        <v>116306.31497552854</v>
      </c>
      <c r="AZ87" s="12">
        <f t="shared" si="79"/>
        <v>118865.05390499017</v>
      </c>
      <c r="BA87" s="12">
        <f t="shared" si="79"/>
        <v>121480.08509089996</v>
      </c>
      <c r="BB87" s="12">
        <f t="shared" si="79"/>
        <v>124152.64696289977</v>
      </c>
      <c r="BC87" s="12">
        <f t="shared" si="79"/>
        <v>126884.00519608357</v>
      </c>
      <c r="BD87" s="12">
        <f t="shared" si="79"/>
        <v>129675.45331039741</v>
      </c>
      <c r="BE87" s="12">
        <f t="shared" si="79"/>
        <v>132528.31328322616</v>
      </c>
      <c r="BF87" s="12">
        <f t="shared" si="79"/>
        <v>135443.93617545714</v>
      </c>
      <c r="BG87" s="12">
        <f t="shared" si="79"/>
        <v>138423.70277131721</v>
      </c>
      <c r="BH87" s="12">
        <f t="shared" si="79"/>
        <v>138423.70277131721</v>
      </c>
      <c r="BI87" s="12">
        <f t="shared" si="79"/>
        <v>138423.70277131721</v>
      </c>
      <c r="BJ87" s="12">
        <f t="shared" si="79"/>
        <v>138423.70277131721</v>
      </c>
      <c r="BK87" s="12">
        <f t="shared" si="79"/>
        <v>138423.70277131721</v>
      </c>
      <c r="BL87" s="12">
        <f t="shared" si="79"/>
        <v>138423.70277131721</v>
      </c>
      <c r="BM87" s="12">
        <f t="shared" si="79"/>
        <v>138423.70277131721</v>
      </c>
      <c r="BN87" s="12">
        <f t="shared" si="79"/>
        <v>138423.70277131721</v>
      </c>
      <c r="BO87" s="12">
        <f t="shared" si="79"/>
        <v>138423.70277131721</v>
      </c>
      <c r="BP87" s="12">
        <f t="shared" si="79"/>
        <v>138423.70277131721</v>
      </c>
      <c r="BQ87" s="12">
        <f t="shared" si="79"/>
        <v>138423.70277131721</v>
      </c>
      <c r="BR87" s="12">
        <f t="shared" si="79"/>
        <v>138423.70277131721</v>
      </c>
      <c r="BS87" s="12">
        <f t="shared" si="79"/>
        <v>138423.70277131721</v>
      </c>
      <c r="BT87" s="12">
        <f t="shared" si="79"/>
        <v>138423.70277131721</v>
      </c>
      <c r="BU87" s="12">
        <f t="shared" si="79"/>
        <v>138423.70277131721</v>
      </c>
      <c r="BV87" s="12">
        <f t="shared" si="79"/>
        <v>138423.70277131721</v>
      </c>
      <c r="BW87" s="12">
        <f t="shared" si="79"/>
        <v>138423.70277131721</v>
      </c>
      <c r="BX87" s="12">
        <f t="shared" si="79"/>
        <v>138423.70277131721</v>
      </c>
      <c r="BY87" s="12">
        <f t="shared" si="79"/>
        <v>138423.70277131721</v>
      </c>
      <c r="BZ87" s="12">
        <f t="shared" si="79"/>
        <v>138423.70277131721</v>
      </c>
      <c r="CA87" s="12">
        <f t="shared" si="79"/>
        <v>138423.70277131721</v>
      </c>
      <c r="CB87" s="12">
        <f t="shared" si="79"/>
        <v>138423.70277131721</v>
      </c>
      <c r="CC87" s="12">
        <f t="shared" si="79"/>
        <v>138423.70277131721</v>
      </c>
      <c r="CD87" s="12">
        <f t="shared" si="79"/>
        <v>138423.70277131721</v>
      </c>
      <c r="CE87" s="12">
        <f t="shared" si="79"/>
        <v>138423.70277131721</v>
      </c>
      <c r="CF87" s="12">
        <f t="shared" si="79"/>
        <v>138423.70277131721</v>
      </c>
      <c r="CG87" s="12">
        <f t="shared" si="79"/>
        <v>138423.70277131721</v>
      </c>
      <c r="CH87" s="12">
        <f t="shared" si="79"/>
        <v>138423.70277131721</v>
      </c>
      <c r="CI87" s="12">
        <f t="shared" si="79"/>
        <v>138423.70277131721</v>
      </c>
      <c r="CJ87" s="12">
        <f t="shared" si="79"/>
        <v>138423.70277131721</v>
      </c>
      <c r="CK87" s="12">
        <f t="shared" si="79"/>
        <v>138423.70277131721</v>
      </c>
      <c r="CL87" s="12">
        <f t="shared" si="79"/>
        <v>138423.70277131721</v>
      </c>
      <c r="CM87" s="12">
        <f t="shared" si="79"/>
        <v>138423.70277131721</v>
      </c>
      <c r="CN87" s="12">
        <f t="shared" si="79"/>
        <v>138423.70277131721</v>
      </c>
      <c r="CO87" s="12">
        <f t="shared" si="79"/>
        <v>138423.70277131721</v>
      </c>
      <c r="CP87" s="12">
        <f t="shared" si="79"/>
        <v>138423.70277131721</v>
      </c>
      <c r="CQ87" s="12">
        <f t="shared" si="79"/>
        <v>138423.70277131721</v>
      </c>
      <c r="CR87" s="12">
        <f t="shared" si="79"/>
        <v>138423.70277131721</v>
      </c>
      <c r="CS87" s="12">
        <f t="shared" si="79"/>
        <v>138423.70277131721</v>
      </c>
      <c r="CT87" s="12">
        <f t="shared" si="79"/>
        <v>138423.70277131721</v>
      </c>
      <c r="CU87" s="12">
        <f t="shared" si="79"/>
        <v>138423.70277131721</v>
      </c>
      <c r="CV87" s="12">
        <f t="shared" si="79"/>
        <v>138423.70277131721</v>
      </c>
    </row>
    <row r="88" spans="1:100"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 t="s">
        <v>234</v>
      </c>
      <c r="Z88" s="12">
        <f t="shared" si="78"/>
        <v>143214.84</v>
      </c>
      <c r="AA88" s="12">
        <f t="shared" si="76"/>
        <v>152510.84</v>
      </c>
      <c r="AB88" s="12"/>
      <c r="AC88" s="12"/>
      <c r="AD88" s="12"/>
      <c r="AE88" s="12"/>
      <c r="AH88" s="12"/>
      <c r="AI88" s="12"/>
      <c r="AJ88" s="12" t="s">
        <v>233</v>
      </c>
      <c r="AN88" s="12">
        <f t="shared" ref="AN88:BC89" si="80">AN52 + AN64 +AN76</f>
        <v>109780.55999999998</v>
      </c>
      <c r="AO88" s="12">
        <f t="shared" si="80"/>
        <v>112263.7962672</v>
      </c>
      <c r="AP88" s="12">
        <f t="shared" ref="AP88:CV89" si="81">AP52 + AP64 +AP76</f>
        <v>113475.12262892308</v>
      </c>
      <c r="AQ88" s="12">
        <f t="shared" si="81"/>
        <v>115431.43374304572</v>
      </c>
      <c r="AR88" s="12">
        <f t="shared" si="81"/>
        <v>117970.92528539273</v>
      </c>
      <c r="AS88" s="12">
        <f t="shared" si="81"/>
        <v>119858.46008995903</v>
      </c>
      <c r="AT88" s="12">
        <f t="shared" si="81"/>
        <v>122135.77083166823</v>
      </c>
      <c r="AU88" s="12">
        <f t="shared" si="81"/>
        <v>124456.35047746991</v>
      </c>
      <c r="AV88" s="12">
        <f t="shared" si="81"/>
        <v>126945.47748701932</v>
      </c>
      <c r="AW88" s="12">
        <f t="shared" si="81"/>
        <v>129547.8597755032</v>
      </c>
      <c r="AX88" s="12">
        <f t="shared" si="81"/>
        <v>132268.36483078875</v>
      </c>
      <c r="AY88" s="12">
        <f t="shared" si="81"/>
        <v>135112.1346746507</v>
      </c>
      <c r="AZ88" s="12">
        <f t="shared" si="81"/>
        <v>138084.60163749303</v>
      </c>
      <c r="BA88" s="12">
        <f t="shared" si="81"/>
        <v>141122.46287351788</v>
      </c>
      <c r="BB88" s="12">
        <f t="shared" si="81"/>
        <v>144227.15705673525</v>
      </c>
      <c r="BC88" s="12">
        <f t="shared" si="81"/>
        <v>147400.15451198345</v>
      </c>
      <c r="BD88" s="12">
        <f t="shared" si="81"/>
        <v>150642.9579112471</v>
      </c>
      <c r="BE88" s="12">
        <f t="shared" si="81"/>
        <v>153957.10298529454</v>
      </c>
      <c r="BF88" s="12">
        <f t="shared" si="81"/>
        <v>157344.15925097105</v>
      </c>
      <c r="BG88" s="12">
        <f t="shared" si="81"/>
        <v>160805.7307544924</v>
      </c>
      <c r="BH88" s="12">
        <f t="shared" si="81"/>
        <v>160805.7307544924</v>
      </c>
      <c r="BI88" s="12">
        <f t="shared" si="81"/>
        <v>160805.7307544924</v>
      </c>
      <c r="BJ88" s="12">
        <f t="shared" si="81"/>
        <v>160805.7307544924</v>
      </c>
      <c r="BK88" s="12">
        <f t="shared" si="81"/>
        <v>160805.7307544924</v>
      </c>
      <c r="BL88" s="12">
        <f t="shared" si="81"/>
        <v>160805.7307544924</v>
      </c>
      <c r="BM88" s="12">
        <f t="shared" si="81"/>
        <v>160805.7307544924</v>
      </c>
      <c r="BN88" s="12">
        <f t="shared" si="81"/>
        <v>160805.7307544924</v>
      </c>
      <c r="BO88" s="12">
        <f t="shared" si="81"/>
        <v>160805.7307544924</v>
      </c>
      <c r="BP88" s="12">
        <f t="shared" si="81"/>
        <v>160805.7307544924</v>
      </c>
      <c r="BQ88" s="12">
        <f t="shared" si="81"/>
        <v>160805.7307544924</v>
      </c>
      <c r="BR88" s="12">
        <f t="shared" si="81"/>
        <v>160805.7307544924</v>
      </c>
      <c r="BS88" s="12">
        <f t="shared" si="81"/>
        <v>160805.7307544924</v>
      </c>
      <c r="BT88" s="12">
        <f t="shared" si="81"/>
        <v>160805.7307544924</v>
      </c>
      <c r="BU88" s="12">
        <f t="shared" si="81"/>
        <v>160805.7307544924</v>
      </c>
      <c r="BV88" s="12">
        <f t="shared" si="81"/>
        <v>160805.7307544924</v>
      </c>
      <c r="BW88" s="12">
        <f t="shared" si="81"/>
        <v>160805.7307544924</v>
      </c>
      <c r="BX88" s="12">
        <f t="shared" si="81"/>
        <v>160805.7307544924</v>
      </c>
      <c r="BY88" s="12">
        <f t="shared" si="81"/>
        <v>160805.7307544924</v>
      </c>
      <c r="BZ88" s="12">
        <f t="shared" si="81"/>
        <v>160805.7307544924</v>
      </c>
      <c r="CA88" s="12">
        <f t="shared" si="81"/>
        <v>160805.7307544924</v>
      </c>
      <c r="CB88" s="12">
        <f t="shared" si="81"/>
        <v>160805.7307544924</v>
      </c>
      <c r="CC88" s="12">
        <f t="shared" si="81"/>
        <v>160805.7307544924</v>
      </c>
      <c r="CD88" s="12">
        <f t="shared" si="81"/>
        <v>160805.7307544924</v>
      </c>
      <c r="CE88" s="12">
        <f t="shared" si="81"/>
        <v>160805.7307544924</v>
      </c>
      <c r="CF88" s="12">
        <f t="shared" si="81"/>
        <v>160805.7307544924</v>
      </c>
      <c r="CG88" s="12">
        <f t="shared" si="81"/>
        <v>160805.7307544924</v>
      </c>
      <c r="CH88" s="12">
        <f t="shared" si="81"/>
        <v>160805.7307544924</v>
      </c>
      <c r="CI88" s="12">
        <f t="shared" si="81"/>
        <v>160805.7307544924</v>
      </c>
      <c r="CJ88" s="12">
        <f t="shared" si="81"/>
        <v>160805.7307544924</v>
      </c>
      <c r="CK88" s="12">
        <f t="shared" si="81"/>
        <v>160805.7307544924</v>
      </c>
      <c r="CL88" s="12">
        <f t="shared" si="81"/>
        <v>160805.7307544924</v>
      </c>
      <c r="CM88" s="12">
        <f t="shared" si="81"/>
        <v>160805.7307544924</v>
      </c>
      <c r="CN88" s="12">
        <f t="shared" si="81"/>
        <v>160805.7307544924</v>
      </c>
      <c r="CO88" s="12">
        <f t="shared" si="81"/>
        <v>160805.7307544924</v>
      </c>
      <c r="CP88" s="12">
        <f t="shared" si="81"/>
        <v>160805.7307544924</v>
      </c>
      <c r="CQ88" s="12">
        <f t="shared" si="81"/>
        <v>160805.7307544924</v>
      </c>
      <c r="CR88" s="12">
        <f t="shared" si="81"/>
        <v>160805.7307544924</v>
      </c>
      <c r="CS88" s="12">
        <f t="shared" si="81"/>
        <v>160805.7307544924</v>
      </c>
      <c r="CT88" s="12">
        <f t="shared" si="81"/>
        <v>160805.7307544924</v>
      </c>
      <c r="CU88" s="12">
        <f t="shared" si="81"/>
        <v>160805.7307544924</v>
      </c>
      <c r="CV88" s="12">
        <f t="shared" si="81"/>
        <v>160805.7307544924</v>
      </c>
    </row>
    <row r="89" spans="1:100">
      <c r="A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 t="s">
        <v>265</v>
      </c>
      <c r="V89" s="12"/>
      <c r="W89" s="12" t="s">
        <v>231</v>
      </c>
      <c r="Z89" s="12">
        <f>(K3+O3)*Q31 +K3/M3*T3*Q31</f>
        <v>85743.879638294515</v>
      </c>
      <c r="AA89" s="12">
        <f>(K46+O46)*Q31 +K46/M46*T46*Q31</f>
        <v>94520.225176037566</v>
      </c>
      <c r="AB89" s="12"/>
      <c r="AC89" s="12"/>
      <c r="AD89" s="12"/>
      <c r="AE89" s="12"/>
      <c r="AH89" s="12"/>
      <c r="AI89" s="12"/>
      <c r="AJ89" s="12" t="s">
        <v>234</v>
      </c>
      <c r="AN89" s="12">
        <f t="shared" si="80"/>
        <v>16695.8</v>
      </c>
      <c r="AO89" s="12">
        <f t="shared" si="80"/>
        <v>17073.458996000001</v>
      </c>
      <c r="AP89" s="12">
        <f t="shared" si="80"/>
        <v>17257.681618566839</v>
      </c>
      <c r="AQ89" s="12">
        <f t="shared" si="80"/>
        <v>17555.204049670931</v>
      </c>
      <c r="AR89" s="12">
        <f t="shared" si="80"/>
        <v>17941.41853876369</v>
      </c>
      <c r="AS89" s="12">
        <f t="shared" si="80"/>
        <v>18228.481235383912</v>
      </c>
      <c r="AT89" s="12">
        <f t="shared" si="80"/>
        <v>18574.822378856203</v>
      </c>
      <c r="AU89" s="12">
        <f t="shared" si="80"/>
        <v>18927.744004054472</v>
      </c>
      <c r="AV89" s="12">
        <f t="shared" si="80"/>
        <v>19306.298884135558</v>
      </c>
      <c r="AW89" s="12">
        <f t="shared" si="80"/>
        <v>19702.078011260339</v>
      </c>
      <c r="AX89" s="12">
        <f t="shared" si="80"/>
        <v>20115.821649496804</v>
      </c>
      <c r="AY89" s="12">
        <f t="shared" si="80"/>
        <v>20548.311814960987</v>
      </c>
      <c r="AZ89" s="12">
        <f t="shared" si="80"/>
        <v>21000.374674890129</v>
      </c>
      <c r="BA89" s="12">
        <f t="shared" si="80"/>
        <v>21462.382917737712</v>
      </c>
      <c r="BB89" s="12">
        <f t="shared" si="80"/>
        <v>21934.555341927946</v>
      </c>
      <c r="BC89" s="12">
        <f t="shared" si="80"/>
        <v>22417.115559450358</v>
      </c>
      <c r="BD89" s="12">
        <f t="shared" si="81"/>
        <v>22910.292101758263</v>
      </c>
      <c r="BE89" s="12">
        <f t="shared" si="81"/>
        <v>23414.318527996948</v>
      </c>
      <c r="BF89" s="12">
        <f t="shared" si="81"/>
        <v>23929.433535612879</v>
      </c>
      <c r="BG89" s="12">
        <f t="shared" si="81"/>
        <v>24455.881073396362</v>
      </c>
      <c r="BH89" s="12">
        <f t="shared" si="81"/>
        <v>24455.881073396362</v>
      </c>
      <c r="BI89" s="12">
        <f t="shared" si="81"/>
        <v>24455.881073396362</v>
      </c>
      <c r="BJ89" s="12">
        <f t="shared" si="81"/>
        <v>24455.881073396362</v>
      </c>
      <c r="BK89" s="12">
        <f t="shared" si="81"/>
        <v>24455.881073396362</v>
      </c>
      <c r="BL89" s="12">
        <f t="shared" si="81"/>
        <v>24455.881073396362</v>
      </c>
      <c r="BM89" s="12">
        <f t="shared" si="81"/>
        <v>24455.881073396362</v>
      </c>
      <c r="BN89" s="12">
        <f t="shared" si="81"/>
        <v>24455.881073396362</v>
      </c>
      <c r="BO89" s="12">
        <f t="shared" si="81"/>
        <v>24455.881073396362</v>
      </c>
      <c r="BP89" s="12">
        <f t="shared" si="81"/>
        <v>24455.881073396362</v>
      </c>
      <c r="BQ89" s="12">
        <f t="shared" si="81"/>
        <v>24455.881073396362</v>
      </c>
      <c r="BR89" s="12">
        <f t="shared" si="81"/>
        <v>24455.881073396362</v>
      </c>
      <c r="BS89" s="12">
        <f t="shared" si="81"/>
        <v>24455.881073396362</v>
      </c>
      <c r="BT89" s="12">
        <f t="shared" si="81"/>
        <v>24455.881073396362</v>
      </c>
      <c r="BU89" s="12">
        <f t="shared" si="81"/>
        <v>24455.881073396362</v>
      </c>
      <c r="BV89" s="12">
        <f t="shared" si="81"/>
        <v>24455.881073396362</v>
      </c>
      <c r="BW89" s="12">
        <f t="shared" si="81"/>
        <v>24455.881073396362</v>
      </c>
      <c r="BX89" s="12">
        <f t="shared" si="81"/>
        <v>24455.881073396362</v>
      </c>
      <c r="BY89" s="12">
        <f t="shared" si="81"/>
        <v>24455.881073396362</v>
      </c>
      <c r="BZ89" s="12">
        <f t="shared" si="81"/>
        <v>24455.881073396362</v>
      </c>
      <c r="CA89" s="12">
        <f t="shared" si="81"/>
        <v>24455.881073396362</v>
      </c>
      <c r="CB89" s="12">
        <f t="shared" si="81"/>
        <v>24455.881073396362</v>
      </c>
      <c r="CC89" s="12">
        <f t="shared" si="81"/>
        <v>24455.881073396362</v>
      </c>
      <c r="CD89" s="12">
        <f t="shared" si="81"/>
        <v>24455.881073396362</v>
      </c>
      <c r="CE89" s="12">
        <f t="shared" si="81"/>
        <v>24455.881073396362</v>
      </c>
      <c r="CF89" s="12">
        <f t="shared" si="81"/>
        <v>24455.881073396362</v>
      </c>
      <c r="CG89" s="12">
        <f t="shared" si="81"/>
        <v>24455.881073396362</v>
      </c>
      <c r="CH89" s="12">
        <f t="shared" si="81"/>
        <v>24455.881073396362</v>
      </c>
      <c r="CI89" s="12">
        <f t="shared" si="81"/>
        <v>24455.881073396362</v>
      </c>
      <c r="CJ89" s="12">
        <f t="shared" si="81"/>
        <v>24455.881073396362</v>
      </c>
      <c r="CK89" s="12">
        <f t="shared" si="81"/>
        <v>24455.881073396362</v>
      </c>
      <c r="CL89" s="12">
        <f t="shared" si="81"/>
        <v>24455.881073396362</v>
      </c>
      <c r="CM89" s="12">
        <f t="shared" si="81"/>
        <v>24455.881073396362</v>
      </c>
      <c r="CN89" s="12">
        <f t="shared" si="81"/>
        <v>24455.881073396362</v>
      </c>
      <c r="CO89" s="12">
        <f t="shared" si="81"/>
        <v>24455.881073396362</v>
      </c>
      <c r="CP89" s="12">
        <f t="shared" si="81"/>
        <v>24455.881073396362</v>
      </c>
      <c r="CQ89" s="12">
        <f t="shared" si="81"/>
        <v>24455.881073396362</v>
      </c>
      <c r="CR89" s="12">
        <f t="shared" si="81"/>
        <v>24455.881073396362</v>
      </c>
      <c r="CS89" s="12">
        <f t="shared" si="81"/>
        <v>24455.881073396362</v>
      </c>
      <c r="CT89" s="12">
        <f t="shared" si="81"/>
        <v>24455.881073396362</v>
      </c>
      <c r="CU89" s="12">
        <f t="shared" si="81"/>
        <v>24455.881073396362</v>
      </c>
      <c r="CV89" s="12">
        <f t="shared" si="81"/>
        <v>24455.881073396362</v>
      </c>
    </row>
    <row r="90" spans="1:100">
      <c r="A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 t="s">
        <v>232</v>
      </c>
      <c r="Z90" s="12">
        <f t="shared" ref="Z90:Z92" si="82">(K4+O4)*Q32 +K4/M4*T4*Q32</f>
        <v>49621.001527809545</v>
      </c>
      <c r="AA90" s="12">
        <f t="shared" ref="AA90:AA92" si="83">(K47+O47)*Q32 +K47/M47*T47*Q32</f>
        <v>47155.439779676046</v>
      </c>
      <c r="AB90" s="12"/>
      <c r="AC90" s="12"/>
      <c r="AD90" s="12"/>
      <c r="AE90" s="12"/>
    </row>
    <row r="91" spans="1:100">
      <c r="A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 t="s">
        <v>233</v>
      </c>
      <c r="Z91" s="12">
        <f t="shared" si="82"/>
        <v>87483.241035059866</v>
      </c>
      <c r="AA91" s="12">
        <f t="shared" si="83"/>
        <v>94125.706468031174</v>
      </c>
      <c r="AB91" s="12"/>
      <c r="AC91" s="12"/>
      <c r="AD91" s="12"/>
      <c r="AE91" s="12"/>
    </row>
    <row r="92" spans="1:100">
      <c r="A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 t="s">
        <v>234</v>
      </c>
      <c r="Z92">
        <f t="shared" si="82"/>
        <v>8627.4</v>
      </c>
      <c r="AA92">
        <f t="shared" si="83"/>
        <v>9187.4</v>
      </c>
    </row>
    <row r="93" spans="1:100">
      <c r="A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Z93" s="12"/>
      <c r="AA93" s="12"/>
      <c r="AB93" s="12"/>
      <c r="AC93" s="12"/>
      <c r="AD93" s="12"/>
      <c r="AE93" s="12"/>
    </row>
    <row r="94" spans="1:100">
      <c r="A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W94" s="12"/>
      <c r="AA94" s="12"/>
      <c r="AB94" s="12"/>
      <c r="AC94" s="12"/>
      <c r="AD94" s="12"/>
    </row>
    <row r="95" spans="1:100">
      <c r="A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W95" s="12"/>
      <c r="Z95" s="12"/>
      <c r="AA95" s="12"/>
      <c r="AB95" s="12"/>
      <c r="AC95" s="12"/>
      <c r="AD95" s="12"/>
    </row>
    <row r="96" spans="1:100">
      <c r="A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W96" s="12"/>
      <c r="Z96" s="12"/>
      <c r="AA96" s="12"/>
      <c r="AB96" s="12"/>
      <c r="AC96" s="12"/>
      <c r="AD96" s="12"/>
    </row>
    <row r="97" spans="23:30">
      <c r="W97" s="12"/>
      <c r="Z97" s="12"/>
      <c r="AA97" s="12"/>
      <c r="AB97" s="12"/>
      <c r="AC97" s="12"/>
      <c r="AD97" s="12"/>
    </row>
    <row r="98" spans="23:30">
      <c r="W98" s="12"/>
      <c r="Z98" s="12"/>
      <c r="AA98" s="12"/>
      <c r="AB98" s="12"/>
      <c r="AC98" s="12"/>
      <c r="AD98" s="12"/>
    </row>
    <row r="99" spans="23:30">
      <c r="Z99" s="12"/>
      <c r="AA99" s="12"/>
      <c r="AB99" s="12"/>
      <c r="AC99" s="12"/>
      <c r="AD99" s="12"/>
    </row>
  </sheetData>
  <conditionalFormatting sqref="J5:T5">
    <cfRule type="expression" dxfId="9" priority="7" stopIfTrue="1">
      <formula>MOD(ROW(),2)=0</formula>
    </cfRule>
    <cfRule type="expression" dxfId="8" priority="8" stopIfTrue="1">
      <formula>MOD(ROW(),2)=1</formula>
    </cfRule>
  </conditionalFormatting>
  <conditionalFormatting sqref="J6:T6">
    <cfRule type="expression" dxfId="7" priority="5" stopIfTrue="1">
      <formula>MOD(ROW(),2)=0</formula>
    </cfRule>
    <cfRule type="expression" dxfId="6" priority="6" stopIfTrue="1">
      <formula>MOD(ROW(),2)=1</formula>
    </cfRule>
  </conditionalFormatting>
  <conditionalFormatting sqref="J4:T4">
    <cfRule type="expression" dxfId="5" priority="9" stopIfTrue="1">
      <formula>MOD(ROW(),2)=0</formula>
    </cfRule>
    <cfRule type="expression" dxfId="4" priority="10" stopIfTrue="1">
      <formula>MOD(ROW(),2)=1</formula>
    </cfRule>
  </conditionalFormatting>
  <conditionalFormatting sqref="J2:T2">
    <cfRule type="expression" dxfId="3" priority="13" stopIfTrue="1">
      <formula>MOD(ROW(),2)=0</formula>
    </cfRule>
    <cfRule type="expression" dxfId="2" priority="14" stopIfTrue="1">
      <formula>MOD(ROW(),2)=1</formula>
    </cfRule>
  </conditionalFormatting>
  <conditionalFormatting sqref="J3:T3">
    <cfRule type="expression" dxfId="1" priority="11" stopIfTrue="1">
      <formula>MOD(ROW(),2)=0</formula>
    </cfRule>
    <cfRule type="expression" dxfId="0" priority="12" stopIfTrue="1">
      <formula>MOD(ROW(),2)=1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E69"/>
  <sheetViews>
    <sheetView workbookViewId="0">
      <selection activeCell="O12" sqref="O12"/>
    </sheetView>
  </sheetViews>
  <sheetFormatPr defaultRowHeight="15"/>
  <cols>
    <col min="6" max="6" width="14.85546875" bestFit="1" customWidth="1"/>
    <col min="7" max="7" width="13.85546875" bestFit="1" customWidth="1"/>
    <col min="8" max="8" width="20.42578125" bestFit="1" customWidth="1"/>
    <col min="9" max="10" width="13.85546875" bestFit="1" customWidth="1"/>
    <col min="11" max="11" width="15.42578125" customWidth="1"/>
    <col min="13" max="13" width="14" bestFit="1" customWidth="1"/>
    <col min="14" max="17" width="13.85546875" bestFit="1" customWidth="1"/>
    <col min="18" max="18" width="16.42578125" bestFit="1" customWidth="1"/>
  </cols>
  <sheetData>
    <row r="1" spans="1:83">
      <c r="A1" t="s">
        <v>82</v>
      </c>
    </row>
    <row r="2" spans="1:83">
      <c r="A2">
        <f>2.5*Variables!E21</f>
        <v>2.75</v>
      </c>
      <c r="B2" t="s">
        <v>86</v>
      </c>
      <c r="J2">
        <v>2.5</v>
      </c>
      <c r="K2" s="12" t="s">
        <v>88</v>
      </c>
      <c r="R2">
        <v>2010</v>
      </c>
      <c r="S2">
        <f>R2 +1</f>
        <v>2011</v>
      </c>
      <c r="T2" s="12">
        <f t="shared" ref="T2:BZ2" si="0">S2 +1</f>
        <v>2012</v>
      </c>
      <c r="U2" s="12">
        <f t="shared" si="0"/>
        <v>2013</v>
      </c>
      <c r="V2" s="12">
        <f t="shared" si="0"/>
        <v>2014</v>
      </c>
      <c r="W2" s="12">
        <f t="shared" si="0"/>
        <v>2015</v>
      </c>
      <c r="X2" s="12">
        <f t="shared" si="0"/>
        <v>2016</v>
      </c>
      <c r="Y2" s="12">
        <f t="shared" si="0"/>
        <v>2017</v>
      </c>
      <c r="Z2" s="12">
        <f t="shared" si="0"/>
        <v>2018</v>
      </c>
      <c r="AA2" s="12">
        <f t="shared" si="0"/>
        <v>2019</v>
      </c>
      <c r="AB2" s="12">
        <f t="shared" si="0"/>
        <v>2020</v>
      </c>
      <c r="AC2" s="12">
        <f t="shared" si="0"/>
        <v>2021</v>
      </c>
      <c r="AD2" s="12">
        <f t="shared" si="0"/>
        <v>2022</v>
      </c>
      <c r="AE2" s="12">
        <f t="shared" si="0"/>
        <v>2023</v>
      </c>
      <c r="AF2" s="12">
        <f t="shared" si="0"/>
        <v>2024</v>
      </c>
      <c r="AG2" s="12">
        <f t="shared" si="0"/>
        <v>2025</v>
      </c>
      <c r="AH2" s="12">
        <f t="shared" si="0"/>
        <v>2026</v>
      </c>
      <c r="AI2" s="12">
        <f t="shared" si="0"/>
        <v>2027</v>
      </c>
      <c r="AJ2" s="12">
        <f t="shared" si="0"/>
        <v>2028</v>
      </c>
      <c r="AK2" s="12">
        <f t="shared" si="0"/>
        <v>2029</v>
      </c>
      <c r="AL2" s="12">
        <f t="shared" si="0"/>
        <v>2030</v>
      </c>
      <c r="AM2" s="12">
        <f t="shared" si="0"/>
        <v>2031</v>
      </c>
      <c r="AN2" s="12">
        <f t="shared" si="0"/>
        <v>2032</v>
      </c>
      <c r="AO2" s="12">
        <f t="shared" si="0"/>
        <v>2033</v>
      </c>
      <c r="AP2" s="12">
        <f t="shared" si="0"/>
        <v>2034</v>
      </c>
      <c r="AQ2" s="12">
        <f t="shared" si="0"/>
        <v>2035</v>
      </c>
      <c r="AR2" s="12">
        <f t="shared" si="0"/>
        <v>2036</v>
      </c>
      <c r="AS2" s="12">
        <f t="shared" si="0"/>
        <v>2037</v>
      </c>
      <c r="AT2" s="12">
        <f t="shared" si="0"/>
        <v>2038</v>
      </c>
      <c r="AU2" s="12">
        <f t="shared" si="0"/>
        <v>2039</v>
      </c>
      <c r="AV2" s="12">
        <f t="shared" si="0"/>
        <v>2040</v>
      </c>
      <c r="AW2" s="12">
        <f t="shared" si="0"/>
        <v>2041</v>
      </c>
      <c r="AX2" s="12">
        <f t="shared" si="0"/>
        <v>2042</v>
      </c>
      <c r="AY2" s="12">
        <f t="shared" si="0"/>
        <v>2043</v>
      </c>
      <c r="AZ2" s="12">
        <f t="shared" si="0"/>
        <v>2044</v>
      </c>
      <c r="BA2" s="12">
        <f t="shared" si="0"/>
        <v>2045</v>
      </c>
      <c r="BB2" s="12">
        <f t="shared" si="0"/>
        <v>2046</v>
      </c>
      <c r="BC2" s="12">
        <f t="shared" si="0"/>
        <v>2047</v>
      </c>
      <c r="BD2" s="12">
        <f t="shared" si="0"/>
        <v>2048</v>
      </c>
      <c r="BE2" s="12">
        <f t="shared" si="0"/>
        <v>2049</v>
      </c>
      <c r="BF2" s="12">
        <f t="shared" si="0"/>
        <v>2050</v>
      </c>
      <c r="BG2" s="12">
        <f t="shared" si="0"/>
        <v>2051</v>
      </c>
      <c r="BH2" s="12">
        <f t="shared" si="0"/>
        <v>2052</v>
      </c>
      <c r="BI2" s="12">
        <f t="shared" si="0"/>
        <v>2053</v>
      </c>
      <c r="BJ2" s="12">
        <f t="shared" si="0"/>
        <v>2054</v>
      </c>
      <c r="BK2" s="12">
        <f t="shared" si="0"/>
        <v>2055</v>
      </c>
      <c r="BL2" s="12">
        <f t="shared" si="0"/>
        <v>2056</v>
      </c>
      <c r="BM2" s="12">
        <f t="shared" si="0"/>
        <v>2057</v>
      </c>
      <c r="BN2" s="12">
        <f t="shared" si="0"/>
        <v>2058</v>
      </c>
      <c r="BO2" s="12">
        <f t="shared" si="0"/>
        <v>2059</v>
      </c>
      <c r="BP2" s="12">
        <f t="shared" si="0"/>
        <v>2060</v>
      </c>
      <c r="BQ2" s="12">
        <f t="shared" si="0"/>
        <v>2061</v>
      </c>
      <c r="BR2" s="12">
        <f t="shared" si="0"/>
        <v>2062</v>
      </c>
      <c r="BS2" s="12">
        <f t="shared" si="0"/>
        <v>2063</v>
      </c>
      <c r="BT2" s="12">
        <f t="shared" si="0"/>
        <v>2064</v>
      </c>
      <c r="BU2" s="12">
        <f t="shared" si="0"/>
        <v>2065</v>
      </c>
      <c r="BV2" s="12">
        <f t="shared" si="0"/>
        <v>2066</v>
      </c>
      <c r="BW2" s="12">
        <f t="shared" si="0"/>
        <v>2067</v>
      </c>
      <c r="BX2" s="12">
        <f>BW2 +1</f>
        <v>2068</v>
      </c>
      <c r="BY2" s="12">
        <f t="shared" si="0"/>
        <v>2069</v>
      </c>
      <c r="BZ2" s="12">
        <f t="shared" si="0"/>
        <v>2070</v>
      </c>
    </row>
    <row r="3" spans="1:83">
      <c r="A3">
        <f>2.5*Variables!E22</f>
        <v>2.25</v>
      </c>
      <c r="B3" s="12" t="s">
        <v>87</v>
      </c>
      <c r="O3" t="s">
        <v>156</v>
      </c>
      <c r="R3" s="12">
        <v>1.1010210444514001</v>
      </c>
      <c r="S3" s="12">
        <v>0.8009927599883282</v>
      </c>
      <c r="T3" s="12">
        <v>-4.4443846577424395E-3</v>
      </c>
      <c r="U3" s="12">
        <v>1.0934996325012047</v>
      </c>
      <c r="V3" s="12">
        <v>2.0510297419709778</v>
      </c>
      <c r="W3" s="12">
        <v>1.6678234133589598</v>
      </c>
      <c r="X3" s="12">
        <v>1.9510892789831091</v>
      </c>
      <c r="Y3" s="12">
        <v>1.9866850429725469</v>
      </c>
      <c r="Z3" s="12">
        <v>1.9012423194452621</v>
      </c>
      <c r="AA3" s="12">
        <v>1.9114490239246607</v>
      </c>
      <c r="AB3" s="22">
        <v>1.8967691114666119</v>
      </c>
      <c r="AC3" s="12">
        <v>1.8838501413751763</v>
      </c>
      <c r="AD3" s="12">
        <v>1.8721839479827196</v>
      </c>
      <c r="AE3" s="12">
        <v>1.8865661867700556</v>
      </c>
      <c r="AF3" s="12">
        <v>1.9020871208777601</v>
      </c>
      <c r="AG3" s="12">
        <v>1.9185066472588108</v>
      </c>
      <c r="AH3" s="12">
        <v>1.9357146096685485</v>
      </c>
      <c r="AI3" s="12">
        <v>1.9533111103176015</v>
      </c>
      <c r="AJ3" s="12">
        <v>1.9707940712245575</v>
      </c>
      <c r="AK3" s="12">
        <v>1.9881695313068937</v>
      </c>
      <c r="AL3" s="12">
        <v>2.005004522039644</v>
      </c>
      <c r="AM3" s="12">
        <v>2.0211861698473443</v>
      </c>
      <c r="AN3" s="12">
        <v>2.0364595374527061</v>
      </c>
      <c r="AO3" s="12">
        <v>2.0505485655055056</v>
      </c>
      <c r="AP3" s="16">
        <v>2.0630452785669551</v>
      </c>
      <c r="AQ3" s="16">
        <v>2.0739038398084109</v>
      </c>
      <c r="AR3" s="16">
        <v>2.0831362198523662</v>
      </c>
      <c r="AS3" s="16">
        <v>2.090745764720503</v>
      </c>
      <c r="AT3" s="16">
        <v>2.1037172140809801</v>
      </c>
      <c r="AU3" s="16">
        <v>2.1037172140809801</v>
      </c>
      <c r="AV3" s="16">
        <v>2.1037172140809801</v>
      </c>
      <c r="AW3" s="16">
        <v>2.1037172140809801</v>
      </c>
      <c r="AX3" s="16">
        <v>2.1217898195732943</v>
      </c>
      <c r="AY3" s="16">
        <v>2.1217898195732943</v>
      </c>
      <c r="AZ3" s="16">
        <v>2.1217898195732943</v>
      </c>
      <c r="BA3" s="23">
        <v>2.1217898195732943</v>
      </c>
      <c r="BB3" s="16">
        <v>2.1217898195732943</v>
      </c>
      <c r="BC3" s="16">
        <v>2.1504608436407668</v>
      </c>
      <c r="BD3" s="16">
        <v>2.1504608436407668</v>
      </c>
      <c r="BE3" s="16">
        <v>2.1504608436407668</v>
      </c>
      <c r="BF3" s="16">
        <v>2.1504608436407668</v>
      </c>
      <c r="BG3" s="16">
        <v>2.1504608436407668</v>
      </c>
      <c r="BH3" s="16">
        <v>2.1861535914413199</v>
      </c>
      <c r="BI3" s="16">
        <v>2.1861535914413199</v>
      </c>
      <c r="BJ3" s="16">
        <v>2.1861535914413199</v>
      </c>
      <c r="BK3" s="16">
        <v>2.1861535914413199</v>
      </c>
      <c r="BL3" s="16">
        <v>2.1861535914413199</v>
      </c>
      <c r="BM3" s="12">
        <v>2.2122911127276712</v>
      </c>
      <c r="BN3" s="12">
        <v>2.2122911127276712</v>
      </c>
      <c r="BO3" s="12">
        <v>2.2122911127276712</v>
      </c>
      <c r="BP3" s="12">
        <v>2.2122911127276712</v>
      </c>
      <c r="BQ3" s="12">
        <v>2.2122911127276712</v>
      </c>
      <c r="BR3" s="12">
        <v>2.2181288114146103</v>
      </c>
      <c r="BS3" s="12">
        <v>2.2140884620266643</v>
      </c>
      <c r="BT3" s="12">
        <v>2.2140884620266643</v>
      </c>
      <c r="BU3" s="12">
        <v>2.2140884620266643</v>
      </c>
      <c r="BV3" s="12">
        <v>2.2140884620266643</v>
      </c>
      <c r="BW3" s="12">
        <v>2.1961508015812869</v>
      </c>
      <c r="BX3" s="12">
        <v>2.1961508015812869</v>
      </c>
      <c r="BY3" s="12">
        <v>2.1961508015812869</v>
      </c>
      <c r="BZ3" s="12">
        <v>2.1961508015812869</v>
      </c>
      <c r="CA3" s="12"/>
      <c r="CB3" s="12"/>
      <c r="CC3" s="12"/>
      <c r="CD3" s="12"/>
      <c r="CE3" s="12"/>
    </row>
    <row r="4" spans="1:83">
      <c r="R4" s="22"/>
      <c r="AU4" s="21"/>
    </row>
    <row r="5" spans="1:83">
      <c r="O5" t="s">
        <v>157</v>
      </c>
      <c r="R5" s="12">
        <f>C45*(1+R3/100)</f>
        <v>0</v>
      </c>
      <c r="S5" s="12">
        <f>R5*(1 + S3/100)</f>
        <v>0</v>
      </c>
      <c r="T5" s="12">
        <f t="shared" ref="T5:BZ5" si="1">S5*(1 + T3/100)</f>
        <v>0</v>
      </c>
      <c r="U5" s="12">
        <f t="shared" si="1"/>
        <v>0</v>
      </c>
      <c r="V5" s="12">
        <f t="shared" si="1"/>
        <v>0</v>
      </c>
      <c r="W5" s="12">
        <f t="shared" si="1"/>
        <v>0</v>
      </c>
      <c r="X5" s="12">
        <f t="shared" si="1"/>
        <v>0</v>
      </c>
      <c r="Y5" s="12">
        <f t="shared" si="1"/>
        <v>0</v>
      </c>
      <c r="Z5" s="12">
        <f t="shared" si="1"/>
        <v>0</v>
      </c>
      <c r="AA5" s="12">
        <f t="shared" si="1"/>
        <v>0</v>
      </c>
      <c r="AB5" s="12">
        <f t="shared" si="1"/>
        <v>0</v>
      </c>
      <c r="AC5" s="12">
        <f t="shared" si="1"/>
        <v>0</v>
      </c>
      <c r="AD5" s="12">
        <f t="shared" si="1"/>
        <v>0</v>
      </c>
      <c r="AE5" s="12">
        <f t="shared" si="1"/>
        <v>0</v>
      </c>
      <c r="AF5" s="12">
        <f t="shared" si="1"/>
        <v>0</v>
      </c>
      <c r="AG5" s="12">
        <f t="shared" si="1"/>
        <v>0</v>
      </c>
      <c r="AH5" s="12">
        <f t="shared" si="1"/>
        <v>0</v>
      </c>
      <c r="AI5" s="12">
        <f t="shared" si="1"/>
        <v>0</v>
      </c>
      <c r="AJ5" s="12">
        <f t="shared" si="1"/>
        <v>0</v>
      </c>
      <c r="AK5" s="12">
        <f t="shared" si="1"/>
        <v>0</v>
      </c>
      <c r="AL5" s="12">
        <f t="shared" si="1"/>
        <v>0</v>
      </c>
      <c r="AM5" s="12">
        <f t="shared" si="1"/>
        <v>0</v>
      </c>
      <c r="AN5" s="12">
        <f t="shared" si="1"/>
        <v>0</v>
      </c>
      <c r="AO5" s="12">
        <f t="shared" si="1"/>
        <v>0</v>
      </c>
      <c r="AP5" s="12">
        <f t="shared" si="1"/>
        <v>0</v>
      </c>
      <c r="AQ5" s="12">
        <f t="shared" si="1"/>
        <v>0</v>
      </c>
      <c r="AR5" s="12">
        <f t="shared" si="1"/>
        <v>0</v>
      </c>
      <c r="AS5" s="12">
        <f t="shared" si="1"/>
        <v>0</v>
      </c>
      <c r="AT5" s="12">
        <f t="shared" si="1"/>
        <v>0</v>
      </c>
      <c r="AU5" s="12">
        <f t="shared" si="1"/>
        <v>0</v>
      </c>
      <c r="AV5" s="12">
        <f t="shared" si="1"/>
        <v>0</v>
      </c>
      <c r="AW5" s="12">
        <f t="shared" si="1"/>
        <v>0</v>
      </c>
      <c r="AX5" s="12">
        <f t="shared" si="1"/>
        <v>0</v>
      </c>
      <c r="AY5" s="12">
        <f t="shared" si="1"/>
        <v>0</v>
      </c>
      <c r="AZ5" s="12">
        <f t="shared" si="1"/>
        <v>0</v>
      </c>
      <c r="BA5" s="12">
        <f t="shared" si="1"/>
        <v>0</v>
      </c>
      <c r="BB5" s="12">
        <f t="shared" si="1"/>
        <v>0</v>
      </c>
      <c r="BC5" s="12">
        <f t="shared" si="1"/>
        <v>0</v>
      </c>
      <c r="BD5" s="12">
        <f t="shared" si="1"/>
        <v>0</v>
      </c>
      <c r="BE5" s="12">
        <f t="shared" si="1"/>
        <v>0</v>
      </c>
      <c r="BF5" s="12">
        <f t="shared" si="1"/>
        <v>0</v>
      </c>
      <c r="BG5" s="12">
        <f t="shared" si="1"/>
        <v>0</v>
      </c>
      <c r="BH5" s="12">
        <f t="shared" si="1"/>
        <v>0</v>
      </c>
      <c r="BI5" s="12">
        <f t="shared" si="1"/>
        <v>0</v>
      </c>
      <c r="BJ5" s="12">
        <f t="shared" si="1"/>
        <v>0</v>
      </c>
      <c r="BK5" s="12">
        <f t="shared" si="1"/>
        <v>0</v>
      </c>
      <c r="BL5" s="12">
        <f t="shared" si="1"/>
        <v>0</v>
      </c>
      <c r="BM5" s="12">
        <f t="shared" si="1"/>
        <v>0</v>
      </c>
      <c r="BN5" s="12">
        <f t="shared" si="1"/>
        <v>0</v>
      </c>
      <c r="BO5" s="12">
        <f t="shared" si="1"/>
        <v>0</v>
      </c>
      <c r="BP5" s="12">
        <f t="shared" si="1"/>
        <v>0</v>
      </c>
      <c r="BQ5" s="12">
        <f t="shared" si="1"/>
        <v>0</v>
      </c>
      <c r="BR5" s="12">
        <f t="shared" si="1"/>
        <v>0</v>
      </c>
      <c r="BS5" s="12">
        <f t="shared" si="1"/>
        <v>0</v>
      </c>
      <c r="BT5" s="12">
        <f t="shared" si="1"/>
        <v>0</v>
      </c>
      <c r="BU5" s="12">
        <f t="shared" si="1"/>
        <v>0</v>
      </c>
      <c r="BV5" s="12">
        <f t="shared" si="1"/>
        <v>0</v>
      </c>
      <c r="BW5" s="12">
        <f t="shared" si="1"/>
        <v>0</v>
      </c>
      <c r="BX5" s="12">
        <f t="shared" si="1"/>
        <v>0</v>
      </c>
      <c r="BY5" s="12">
        <f t="shared" si="1"/>
        <v>0</v>
      </c>
      <c r="BZ5" s="12">
        <f t="shared" si="1"/>
        <v>0</v>
      </c>
    </row>
    <row r="6" spans="1:83">
      <c r="A6" s="12"/>
      <c r="B6" s="12"/>
      <c r="C6" s="12"/>
      <c r="D6" s="12"/>
      <c r="G6" s="12"/>
      <c r="H6" s="12"/>
      <c r="I6" s="12"/>
      <c r="J6" s="12"/>
      <c r="K6" s="12"/>
      <c r="R6" s="22"/>
      <c r="AU6" s="22"/>
    </row>
    <row r="7" spans="1:83">
      <c r="A7" s="12"/>
      <c r="B7" s="12"/>
      <c r="C7" s="12"/>
      <c r="D7" s="12"/>
      <c r="F7" s="12"/>
      <c r="G7" s="12"/>
      <c r="H7" s="12"/>
      <c r="I7" s="12"/>
      <c r="J7" s="12"/>
      <c r="K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</row>
    <row r="8" spans="1:83">
      <c r="A8" s="12"/>
      <c r="B8" s="12"/>
      <c r="C8" s="12"/>
      <c r="D8" s="12"/>
      <c r="F8" s="12"/>
      <c r="G8" s="12"/>
      <c r="H8" s="12"/>
      <c r="I8" s="12"/>
      <c r="J8" s="12"/>
      <c r="K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</row>
    <row r="9" spans="1:83">
      <c r="A9" s="12"/>
      <c r="B9" s="12"/>
      <c r="C9" s="12"/>
      <c r="D9" s="12"/>
      <c r="F9" s="12"/>
      <c r="G9" s="12"/>
      <c r="H9" s="12"/>
      <c r="I9" s="12"/>
      <c r="J9" s="12"/>
      <c r="K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</row>
    <row r="10" spans="1:83" s="12" customFormat="1"/>
    <row r="11" spans="1:83" s="12" customFormat="1"/>
    <row r="12" spans="1:83" s="12" customFormat="1"/>
    <row r="13" spans="1:83">
      <c r="A13" s="12"/>
      <c r="B13" s="12"/>
      <c r="C13" s="12"/>
      <c r="D13" s="12"/>
      <c r="F13" s="12"/>
      <c r="G13" s="12"/>
      <c r="H13" s="12"/>
      <c r="I13" s="12"/>
      <c r="J13" s="12"/>
      <c r="K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</row>
    <row r="14" spans="1:83" s="12" customFormat="1"/>
    <row r="15" spans="1:83">
      <c r="A15" s="12"/>
      <c r="B15" s="12"/>
      <c r="G15" s="12"/>
      <c r="H15" s="12"/>
      <c r="I15" s="12"/>
      <c r="J15" s="12"/>
      <c r="K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</row>
    <row r="16" spans="1:83" s="12" customFormat="1">
      <c r="F16" s="17"/>
      <c r="G16" s="17"/>
      <c r="H16" s="17"/>
      <c r="I16" s="17"/>
      <c r="J16" s="17"/>
      <c r="K16" s="17"/>
      <c r="M16" s="17"/>
    </row>
    <row r="17" spans="1:81" s="12" customFormat="1"/>
    <row r="18" spans="1:81">
      <c r="P18" s="12"/>
      <c r="Q18" s="12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2"/>
      <c r="CB18" s="12"/>
      <c r="CC18" s="12"/>
    </row>
    <row r="19" spans="1:8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</row>
    <row r="20" spans="1:8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</row>
    <row r="21" spans="1:8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O21" t="s">
        <v>162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</row>
    <row r="22" spans="1:8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O22" t="s">
        <v>163</v>
      </c>
      <c r="P22" s="12"/>
      <c r="Q22" s="12"/>
      <c r="R22" s="12">
        <f>31.9602945504059*Variables!E19</f>
        <v>31.960294550405902</v>
      </c>
      <c r="S22" s="12">
        <f>32.2162941958256*Variables!E19</f>
        <v>32.216294195825597</v>
      </c>
      <c r="T22" s="12">
        <f>32.2148623797891*Variables!E19</f>
        <v>32.214862379789103</v>
      </c>
      <c r="U22" s="12">
        <f>32.5671317815229*Variables!E19</f>
        <v>32.567131781522903</v>
      </c>
      <c r="V22" s="12">
        <f>33.2350933404688*Variables!E19</f>
        <v>33.235093340468801</v>
      </c>
      <c r="W22" s="12">
        <f>33.7893960086528*Variables!E19</f>
        <v>33.789396008652801</v>
      </c>
      <c r="X22" s="12">
        <f>34.4486572916108*Variables!E19</f>
        <v>34.4486572916108</v>
      </c>
      <c r="Y22" s="12">
        <f>35.1330436135281*Variables!E19</f>
        <v>35.133043613528102</v>
      </c>
      <c r="Z22" s="12">
        <f>35.8010079068176*Variables!E19</f>
        <v>35.801007906817603</v>
      </c>
      <c r="AA22" s="12">
        <f>36.4853259230077*Variables!E19</f>
        <v>36.4853259230077</v>
      </c>
      <c r="AB22" s="12">
        <f>37.1773683153332*Variables!E19</f>
        <v>37.177368315333197</v>
      </c>
      <c r="AC22" s="12">
        <f>37.8777342209012*Variables!E19</f>
        <v>37.877734220901203</v>
      </c>
      <c r="AD22" s="12">
        <f>38.5868750808445*Variables!E19</f>
        <v>38.5868750808445</v>
      </c>
      <c r="AE22" s="12">
        <f>39.3148420186509*Variables!E19</f>
        <v>39.3148420186509</v>
      </c>
      <c r="AF22" s="12">
        <f>40.0626445652811*Variables!E19</f>
        <v>40.062644565281097</v>
      </c>
      <c r="AG22" s="12">
        <f>40.8312490643337*Variables!E19</f>
        <v>40.831249064333697</v>
      </c>
      <c r="AH22" s="12">
        <f>41.6216255177821*Variables!E19</f>
        <v>41.6216255177821</v>
      </c>
      <c r="AI22" s="12">
        <f>42.4346253533158*Variables!E19</f>
        <v>42.434625353315802</v>
      </c>
      <c r="AJ22" s="12">
        <f>43.2709244339253*Variables!E19</f>
        <v>43.270924433925302</v>
      </c>
      <c r="AK22" s="12">
        <f>44.1312237694354*Variables!E19</f>
        <v>44.131223769435401</v>
      </c>
      <c r="AL22" s="12">
        <f>45.016056801644*Variables!E19</f>
        <v>45.016056801643998</v>
      </c>
      <c r="AM22" s="12">
        <f>45.9259151159294*Variables!E19</f>
        <v>45.925915115929399</v>
      </c>
      <c r="AN22" s="12">
        <f>46.8611777944702*Variables!E19</f>
        <v>46.861177794470201</v>
      </c>
      <c r="AO22" s="12">
        <f>47.8220890035137*Variables!E19</f>
        <v>47.822089003513703</v>
      </c>
      <c r="AP22" s="12">
        <f>48.8086803528128*Variables!E19</f>
        <v>48.8086803528128</v>
      </c>
      <c r="AQ22" s="12">
        <f>49.8209254488096*Variables!E19</f>
        <v>49.820925448809597</v>
      </c>
      <c r="AR22" s="12">
        <f>50.8587631918994*Variables!E19</f>
        <v>50.858763191899399</v>
      </c>
      <c r="AS22" s="12">
        <f>51.9220906293233*Variables!E19</f>
        <v>51.9220906293233</v>
      </c>
      <c r="AT22" s="12">
        <f>53.0143845878031*Variables!E19</f>
        <v>53.0143845878031</v>
      </c>
      <c r="AU22" s="12">
        <f>54.1296573223158*Variables!E19</f>
        <v>54.129657322315801</v>
      </c>
      <c r="AV22" s="12">
        <f>55.2683922413284*Variables!E19</f>
        <v>55.268392241328399</v>
      </c>
      <c r="AW22" s="12">
        <f>56.431082922855*Variables!E19</f>
        <v>56.431082922854998</v>
      </c>
      <c r="AX22" s="12">
        <f>57.6284318953871*Variables!E19</f>
        <v>57.628431895387102</v>
      </c>
      <c r="AY22" s="12">
        <f>58.8511860965232*Variables!E19</f>
        <v>58.8511860965232</v>
      </c>
      <c r="AZ22" s="12">
        <f>60.0998845718173*Variables!E19</f>
        <v>60.099884571817299</v>
      </c>
      <c r="BA22" s="12">
        <f>61.3750778042374*Variables!E19</f>
        <v>61.375077804237399</v>
      </c>
      <c r="BB22" s="12">
        <f>62.6773279568429*Variables!E19</f>
        <v>62.677327956842902</v>
      </c>
      <c r="BC22" s="12">
        <f>64.0251793523951*Variables!E19</f>
        <v>64.025179352395099</v>
      </c>
      <c r="BD22" s="12">
        <f>65.4020157644392*Variables!E19</f>
        <v>65.402015764439199</v>
      </c>
      <c r="BE22" s="12">
        <f>66.8084605044052*Variables!E19</f>
        <v>66.808460504405204</v>
      </c>
      <c r="BF22" s="12">
        <f>68.2451502877916*Variables!E19</f>
        <v>68.245150287791603</v>
      </c>
      <c r="BG22" s="12">
        <f>69.7127355224144*Variables!E19</f>
        <v>69.712735522414405</v>
      </c>
      <c r="BH22" s="12">
        <f>71.2367629937296*Variables!E19</f>
        <v>71.236762993729599</v>
      </c>
      <c r="BI22" s="12">
        <f>72.7941080463436*Variables!E19</f>
        <v>72.794108046343595</v>
      </c>
      <c r="BJ22" s="12">
        <f>74.3854990537564*Variables!E19</f>
        <v>74.385499053756405</v>
      </c>
      <c r="BK22" s="12">
        <f>76.0116803128317*Variables!E19</f>
        <v>76.0116803128317</v>
      </c>
      <c r="BL22" s="12">
        <f>77.6734123919055*Variables!E19</f>
        <v>77.673412391905501</v>
      </c>
      <c r="BM22" s="12">
        <f>79.391774391204*Variables!E19</f>
        <v>79.391774391203995</v>
      </c>
      <c r="BN22" s="12">
        <f>81.1481515602974*Variables!E19</f>
        <v>81.148151560297407</v>
      </c>
      <c r="BO22" s="12">
        <f>82.9433849054086*Variables!E19</f>
        <v>82.943384905408607</v>
      </c>
      <c r="BP22" s="12">
        <f>84.7783340382665*Variables!E19</f>
        <v>84.778334038266493</v>
      </c>
      <c r="BQ22" s="12">
        <f>86.6538775877136*Variables!E19</f>
        <v>86.653877587713595</v>
      </c>
      <c r="BR22" s="12">
        <f>88.5759722126946*Variables!E19</f>
        <v>88.575972212694595</v>
      </c>
      <c r="BS22" s="12">
        <f>90.5371225935839*Variables!E19</f>
        <v>90.537122593583902</v>
      </c>
      <c r="BT22" s="12">
        <f>92.5416945787793*Variables!E19</f>
        <v>92.5416945787793</v>
      </c>
      <c r="BU22" s="12">
        <f>94.5906495610121*Variables!E19</f>
        <v>94.5906495610121</v>
      </c>
      <c r="BV22" s="12">
        <f>96.6849702190985*Variables!E19</f>
        <v>96.684970219098503</v>
      </c>
      <c r="BW22" s="12">
        <f>98.8083179675739*Variables!E19</f>
        <v>98.808317967573899</v>
      </c>
      <c r="BX22" s="12">
        <f>100.978297634648*Variables!E19</f>
        <v>100.978297634648</v>
      </c>
      <c r="BY22" s="12">
        <f>103.195933327574*Variables!E19</f>
        <v>103.195933327574</v>
      </c>
      <c r="BZ22" s="12">
        <f>105.462271644547*Variables!E19</f>
        <v>105.462271644547</v>
      </c>
      <c r="CA22" s="12"/>
      <c r="CB22" s="12"/>
      <c r="CC22" s="12"/>
    </row>
    <row r="23" spans="1:8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O23" t="s">
        <v>171</v>
      </c>
      <c r="P23" s="12"/>
      <c r="Q23" s="12"/>
      <c r="R23" s="12">
        <f>6.04448378023513*Variables!E20</f>
        <v>6.0444837802351303</v>
      </c>
      <c r="S23" s="12">
        <f>6.09289965769348*Variables!E20</f>
        <v>6.0928996576934802</v>
      </c>
      <c r="T23" s="12">
        <f>6.09262886579589*Variables!E20</f>
        <v>6.0926288657958896</v>
      </c>
      <c r="U23" s="12">
        <f>6.15925174005303*Variables!E20</f>
        <v>6.1592517400530298</v>
      </c>
      <c r="V23" s="12">
        <f>6.28557982512438*Variables!E20</f>
        <v>6.2855798251243797</v>
      </c>
      <c r="W23" s="12">
        <f>6.39041219711317*Variables!E20</f>
        <v>6.3904121971131698</v>
      </c>
      <c r="X23" s="12">
        <f>6.51509484437388*Variables!E20</f>
        <v>6.5150948443738796</v>
      </c>
      <c r="Y23" s="12">
        <f>6.64452925918253*Variables!E20</f>
        <v>6.64452925918253</v>
      </c>
      <c r="Z23" s="12">
        <f>6.77085786138603*Variables!E20</f>
        <v>6.7708578613860304</v>
      </c>
      <c r="AA23" s="12">
        <f>6.90027935788882*Variables!E20</f>
        <v>6.9002793578888202</v>
      </c>
      <c r="AB23" s="12">
        <f>7.03116172535416*Variables!E20</f>
        <v>7.0311617253541598</v>
      </c>
      <c r="AC23" s="12">
        <f>7.16361827545756*Variables!E20</f>
        <v>7.1636182754575604</v>
      </c>
      <c r="AD23" s="12">
        <f>7.29773438690543*Variables!E20</f>
        <v>7.2977343869054296</v>
      </c>
      <c r="AE23" s="12">
        <f>7.43541097624908*Variables!E20</f>
        <v>7.4354109762490799</v>
      </c>
      <c r="AF23" s="12">
        <f>7.57683897081265*Variables!E20</f>
        <v>7.5768389708126502</v>
      </c>
      <c r="AG23" s="12">
        <f>7.72220113011978*Variables!E20</f>
        <v>7.7222011301197799</v>
      </c>
      <c r="AH23" s="12">
        <f>7.8716809055835*Variables!E20</f>
        <v>7.8716809055835002</v>
      </c>
      <c r="AI23" s="12">
        <f>8.02543932328101*Variables!E20</f>
        <v>8.0254393232810095</v>
      </c>
      <c r="AJ23" s="12">
        <f>8.18360420565396*Variables!E20</f>
        <v>8.1836042056539604</v>
      </c>
      <c r="AK23" s="12">
        <f>8.34630813103352*Variables!E20</f>
        <v>8.3463081310335205</v>
      </c>
      <c r="AL23" s="12">
        <f>8.51365198648411*Variables!E20</f>
        <v>8.5136519864841098</v>
      </c>
      <c r="AM23" s="12">
        <f>8.68572874298386*Variables!E20</f>
        <v>8.6857287429838603</v>
      </c>
      <c r="AN23" s="12">
        <f>8.86261009436762*Variables!E20</f>
        <v>8.8626100943676196</v>
      </c>
      <c r="AO23" s="12">
        <f>9.04434221852402*Variables!E20</f>
        <v>9.0443422185240205</v>
      </c>
      <c r="AP23" s="12">
        <f>9.23093109364072*Variables!E20</f>
        <v>9.2309310936407201</v>
      </c>
      <c r="AQ23" s="12">
        <f>9.4223717280418*Variables!E20</f>
        <v>9.4223717280417993</v>
      </c>
      <c r="AR23" s="12">
        <f>9.61865256627777*Variables!E20</f>
        <v>9.6186525662777704</v>
      </c>
      <c r="AS23" s="12">
        <f>9.81975413743041*Variables!E20</f>
        <v>9.8197541374304098</v>
      </c>
      <c r="AT23" s="12">
        <f>10.0263339956*Variables!E20</f>
        <v>10.0263339956</v>
      </c>
      <c r="AU23" s="12">
        <f>10.2372597098066*Variables!E20</f>
        <v>10.237259709806599</v>
      </c>
      <c r="AV23" s="12">
        <f>10.452622704572*Variables!E20</f>
        <v>10.452622704572001</v>
      </c>
      <c r="AW23" s="12">
        <f>10.672516327731*Variables!E20</f>
        <v>10.672516327731</v>
      </c>
      <c r="AX23" s="12">
        <f>10.8989646926651*Variables!E20</f>
        <v>10.8989646926651</v>
      </c>
      <c r="AY23" s="12">
        <f>11.130217815953*Variables!E20</f>
        <v>11.130217815952999</v>
      </c>
      <c r="AZ23" s="12">
        <f>11.3663776444682*Variables!E20</f>
        <v>11.3663776444682</v>
      </c>
      <c r="BA23" s="12">
        <f>11.6075482881828*Variables!E20</f>
        <v>11.6075482881828</v>
      </c>
      <c r="BB23" s="12">
        <f>11.8538360660635*Variables!E20</f>
        <v>11.853836066063501</v>
      </c>
      <c r="BC23" s="12">
        <f>12.1087481691336*Variables!E20</f>
        <v>12.1087481691336</v>
      </c>
      <c r="BD23" s="12">
        <f>12.3691420571659*Variables!E20</f>
        <v>12.369142057165901</v>
      </c>
      <c r="BE23" s="12">
        <f>12.6351356137995*Variables!E20</f>
        <v>12.6351356137995</v>
      </c>
      <c r="BF23" s="12">
        <f>12.9068492577152*Variables!E20</f>
        <v>12.9068492577152</v>
      </c>
      <c r="BG23" s="12">
        <f>13.1844059971501*Variables!E20</f>
        <v>13.184405997150099</v>
      </c>
      <c r="BH23" s="12">
        <f>13.472637362367*Variables!E20</f>
        <v>13.472637362366999</v>
      </c>
      <c r="BI23" s="12">
        <f>13.7671699079262*Variables!E20</f>
        <v>13.767169907926201</v>
      </c>
      <c r="BJ23" s="12">
        <f>14.0681413873082*Variables!E20</f>
        <v>14.0681413873082</v>
      </c>
      <c r="BK23" s="12">
        <f>14.3756925654959*Variables!E20</f>
        <v>14.3756925654959</v>
      </c>
      <c r="BL23" s="12">
        <f>14.689967284811*Variables!E20</f>
        <v>14.689967284811001</v>
      </c>
      <c r="BM23" s="12">
        <f>15.0149521255155*Variables!E20</f>
        <v>15.014952125515499</v>
      </c>
      <c r="BN23" s="12">
        <f>15.3471265769686*Variables!E20</f>
        <v>15.3471265769686</v>
      </c>
      <c r="BO23" s="12">
        <f>15.6866496942899*Variables!E20</f>
        <v>15.686649694289899</v>
      </c>
      <c r="BP23" s="12">
        <f>16.0336840513614*Variables!E20</f>
        <v>16.033684051361401</v>
      </c>
      <c r="BQ23" s="12">
        <f>16.3883958186726*Variables!E20</f>
        <v>16.388395818672599</v>
      </c>
      <c r="BR23" s="12">
        <f>16.7519115480552*Variables!E20</f>
        <v>16.751911548055201</v>
      </c>
      <c r="BS23" s="12">
        <f>17.1228136888096*Variables!E20</f>
        <v>17.1228136888096</v>
      </c>
      <c r="BT23" s="12">
        <f>17.5019279310679*Variables!E20</f>
        <v>17.5019279310679</v>
      </c>
      <c r="BU23" s="12">
        <f>17.8894360980219*Variables!E20</f>
        <v>17.8894360980219</v>
      </c>
      <c r="BV23" s="12">
        <f>18.2855240385898*Variables!E20</f>
        <v>18.285524038589799</v>
      </c>
      <c r="BW23" s="12">
        <f>18.6871017213366*Variables!E20</f>
        <v>18.6871017213366</v>
      </c>
      <c r="BX23" s="12">
        <f>19.0974986555821*Variables!E20</f>
        <v>19.0974986555821</v>
      </c>
      <c r="BY23" s="12">
        <f>19.5169085253886*Variables!E20</f>
        <v>19.516908525388601</v>
      </c>
      <c r="BZ23" s="12">
        <f>19.9455292684128*Variables!E20</f>
        <v>19.945529268412798</v>
      </c>
      <c r="CA23" s="12"/>
      <c r="CB23" s="12"/>
    </row>
    <row r="24" spans="1:81" s="12" customFormat="1">
      <c r="O24" t="s">
        <v>174</v>
      </c>
      <c r="R24" s="12">
        <f>6.8105743832518*Variables!E20</f>
        <v>6.8105743832518</v>
      </c>
      <c r="S24" s="12">
        <f>6.86512659097527*Variables!E20</f>
        <v>6.8651265909752697</v>
      </c>
      <c r="T24" s="12">
        <f>6.86482147834232*Variables!E20</f>
        <v>6.8648214783423196</v>
      </c>
      <c r="U24" s="12">
        <f>6.93988827597986*Variables!E20</f>
        <v>6.9398882759798601</v>
      </c>
      <c r="V24" s="12">
        <f>7.08222744857976*Variables!E20</f>
        <v>7.0822274485797596</v>
      </c>
      <c r="W24" s="12">
        <f>7.20034649615451*Variables!E20</f>
        <v>7.2003464961545101</v>
      </c>
      <c r="X24" s="12">
        <f>7.34083168469062*Variables!E20</f>
        <v>7.3408316846906203</v>
      </c>
      <c r="Y24" s="12">
        <f>7.48667088980016*Variables!E20</f>
        <v>7.4866708898001599</v>
      </c>
      <c r="Z24" s="12">
        <f>7.62901064507463*Variables!E20</f>
        <v>7.6290106450746302</v>
      </c>
      <c r="AA24" s="12">
        <f>7.77483529458501*Variables!E20</f>
        <v>7.7748352945850101</v>
      </c>
      <c r="AB24" s="12">
        <f>7.92230596892011*Variables!E20</f>
        <v>7.9223059689201101</v>
      </c>
      <c r="AC24" s="12">
        <f>8.07155034111578*Variables!E20</f>
        <v>8.0715503411157794</v>
      </c>
      <c r="AD24" s="12">
        <f>8.2226646109555*Variables!E20</f>
        <v>8.2226646109554995</v>
      </c>
      <c r="AE24" s="12">
        <f>8.37779062115729*Variables!E20</f>
        <v>8.3777906211572901</v>
      </c>
      <c r="AF24" s="12">
        <f>8.53714349757642*Variables!E20</f>
        <v>8.5371434975764195</v>
      </c>
      <c r="AG24" s="12">
        <f>8.70092916306345*Variables!E20</f>
        <v>8.7009291630634493</v>
      </c>
      <c r="AH24" s="12">
        <f>8.86935432004978*Variables!E20</f>
        <v>8.86935432004978</v>
      </c>
      <c r="AI24" s="12">
        <f>9.04260040339675*Variables!E20</f>
        <v>9.0426004033967509</v>
      </c>
      <c r="AJ24" s="12">
        <f>9.22081143603142*Variables!E20</f>
        <v>9.2208114360314202</v>
      </c>
      <c r="AK24" s="12">
        <f>9.40413679954186*Variables!E20</f>
        <v>9.4041367995418597</v>
      </c>
      <c r="AL24" s="12">
        <f>9.59269016763147*Variables!E20</f>
        <v>9.5926901676314706</v>
      </c>
      <c r="AM24" s="12">
        <f>9.78657629461594*Variables!E20</f>
        <v>9.7865762946159407</v>
      </c>
      <c r="AN24" s="12">
        <f>9.98587596095773*Variables!E20</f>
        <v>9.9858759609577294</v>
      </c>
      <c r="AO24" s="12">
        <f>10.1906411972283*Variables!E20</f>
        <v>10.190641197228301</v>
      </c>
      <c r="AP24" s="12">
        <f>10.4008787393034*Variables!E20</f>
        <v>10.400878739303399</v>
      </c>
      <c r="AQ24" s="12">
        <f>10.6165829628517*Variables!E20</f>
        <v>10.6165829628517</v>
      </c>
      <c r="AR24" s="12">
        <f>10.8377408478615*Variables!E20</f>
        <v>10.8377408478615</v>
      </c>
      <c r="AS24" s="12">
        <f>11.0643304556295*Variables!E20</f>
        <v>11.0643304556295</v>
      </c>
      <c r="AT24" s="12">
        <f>11.2970926800474*Variables!E20</f>
        <v>11.297092680047401</v>
      </c>
      <c r="AU24" s="12">
        <f>11.5347515634483*Variables!E20</f>
        <v>11.5347515634483</v>
      </c>
      <c r="AV24" s="12">
        <f>11.77741011769*Variables!E20</f>
        <v>11.77741011769</v>
      </c>
      <c r="AW24" s="12">
        <f>12.0251735217088*Variables!E20</f>
        <v>12.025173521708799</v>
      </c>
      <c r="AX24" s="12">
        <f>12.2803224292784*Variables!E20</f>
        <v>12.280322429278399</v>
      </c>
      <c r="AY24" s="12">
        <f>12.5408850603936*Variables!E20</f>
        <v>12.540885060393601</v>
      </c>
      <c r="AZ24" s="12">
        <f>12.8069762828894*Variables!E20</f>
        <v>12.8069762828894</v>
      </c>
      <c r="BA24" s="12">
        <f>13.0787134018549*Variables!E20</f>
        <v>13.0787134018549</v>
      </c>
      <c r="BB24" s="12">
        <f>13.3562162113467*Variables!E20</f>
        <v>13.3562162113467</v>
      </c>
      <c r="BC24" s="12">
        <f>13.6434364111637*Variables!E20</f>
        <v>13.6434364111637</v>
      </c>
      <c r="BD24" s="12">
        <f>13.9368331689128*Variables!E20</f>
        <v>13.9368331689128</v>
      </c>
      <c r="BE24" s="12">
        <f>14.2365393090538*Variables!E20</f>
        <v>14.2365393090538</v>
      </c>
      <c r="BF24" s="12">
        <f>14.5426905123845*Variables!E20</f>
        <v>14.5426905123845</v>
      </c>
      <c r="BG24" s="12">
        <f>14.8554253774652*Variables!E20</f>
        <v>14.855425377465201</v>
      </c>
      <c r="BH24" s="12">
        <f>15.1801877928785*Variables!E20</f>
        <v>15.180187792878501</v>
      </c>
      <c r="BI24" s="12">
        <f>15.5120500135001*Variables!E20</f>
        <v>15.512050013500099</v>
      </c>
      <c r="BJ24" s="12">
        <f>15.8511672519764*Variables!E20</f>
        <v>15.851167251976401</v>
      </c>
      <c r="BK24" s="12">
        <f>16.1976981141409*Variables!E20</f>
        <v>16.197698114140898</v>
      </c>
      <c r="BL24" s="12">
        <f>16.551804673194*Variables!E20</f>
        <v>16.551804673193999</v>
      </c>
      <c r="BM24" s="12">
        <f>16.9179787769751*Variables!E20</f>
        <v>16.917978776975101</v>
      </c>
      <c r="BN24" s="12">
        <f>17.2922537179113*Variables!E20</f>
        <v>17.292253717911301</v>
      </c>
      <c r="BO24" s="12">
        <f>17.6748087101029*Variables!E20</f>
        <v>17.674808710102901</v>
      </c>
      <c r="BP24" s="12">
        <f>18.0658269323881*Variables!E20</f>
        <v>18.065826932388099</v>
      </c>
      <c r="BQ24" s="12">
        <f>18.4654956160541*Variables!E20</f>
        <v>18.465495616054099</v>
      </c>
      <c r="BR24" s="12">
        <f>18.8750840944843*Variables!E20</f>
        <v>18.875084094484301</v>
      </c>
      <c r="BS24" s="12">
        <f>19.2929951536181*Variables!E20</f>
        <v>19.292995153618101</v>
      </c>
      <c r="BT24" s="12">
        <f>19.7201591332938*Variables!E20</f>
        <v>19.720159133293802</v>
      </c>
      <c r="BU24" s="12">
        <f>20.1567809013573*Variables!E20</f>
        <v>20.156780901357301</v>
      </c>
      <c r="BV24" s="12">
        <f>20.6030698616103*Variables!E20</f>
        <v>20.603069861610301</v>
      </c>
      <c r="BW24" s="12">
        <f>21.0555443455264*Variables!E20</f>
        <v>21.0555443455264</v>
      </c>
      <c r="BX24" s="12">
        <f>21.517955851448*Variables!E20</f>
        <v>21.517955851448001</v>
      </c>
      <c r="BY24" s="12">
        <f>21.9905226113634*Variables!E20</f>
        <v>21.990522611363399</v>
      </c>
      <c r="BZ24" s="12">
        <f>22.4734676499648*Variables!E20</f>
        <v>22.4734676499648</v>
      </c>
    </row>
    <row r="25" spans="1:81" s="12" customFormat="1"/>
    <row r="26" spans="1:81" s="12" customFormat="1">
      <c r="O26" t="s">
        <v>172</v>
      </c>
      <c r="AM26"/>
      <c r="BG26"/>
      <c r="BO26"/>
    </row>
    <row r="27" spans="1:8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H27" s="12"/>
      <c r="BI27" s="12"/>
      <c r="BJ27" s="12"/>
      <c r="BK27" s="12"/>
      <c r="BL27" s="12"/>
      <c r="BM27" s="12"/>
      <c r="BN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</row>
    <row r="28" spans="1:81">
      <c r="A28" s="12"/>
      <c r="B28" s="12"/>
      <c r="C28" s="12"/>
      <c r="D28" s="12"/>
      <c r="N28" s="12"/>
      <c r="O28" s="12"/>
      <c r="P28" s="12" t="s">
        <v>230</v>
      </c>
      <c r="Q28" s="12"/>
      <c r="R28" s="12">
        <f>($M$49*$I$54+$M$50*$I$55+$M$51*$I$56)*($A$2*(Users!AN45 + Users!AN57)*R$22 + $A$3*Users!AN69*R$23)/60</f>
        <v>2280341.7912053145</v>
      </c>
      <c r="S28" s="12">
        <f>($M$49*$I$54+$M$50*$I$55+$M$51*$I$56)*($A$2*(Users!AO45 + Users!AO57)*S$22 + $A$3*Users!AO69*S$23)/60</f>
        <v>2350601.6579022766</v>
      </c>
      <c r="T28" s="12">
        <f>($M$49*$I$54+$M$50*$I$55+$M$51*$I$56)*($A$2*(Users!AP45 + Users!AP57)*T$22 + $A$3*Users!AP69*T$23)/60</f>
        <v>2375859.0527826762</v>
      </c>
      <c r="U28" s="12">
        <f>($M$49*$I$54+$M$50*$I$55+$M$51*$I$56)*($A$2*(Users!AQ45 + Users!AQ57)*U$22 + $A$3*Users!AQ69*U$23)/60</f>
        <v>2443246.7682361654</v>
      </c>
      <c r="V28" s="12">
        <f>($M$49*$I$54+$M$50*$I$55+$M$51*$I$56)*($A$2*(Users!AR45 + Users!AR57)*V$22 + $A$3*Users!AR69*V$23)/60</f>
        <v>2548212.3728171261</v>
      </c>
      <c r="W28" s="12">
        <f>($M$49*$I$54+$M$50*$I$55+$M$51*$I$56)*($A$2*(Users!AS45 + Users!AS57)*W$22 + $A$3*Users!AS69*W$23)/60</f>
        <v>2632163.4482793664</v>
      </c>
      <c r="X28" s="12">
        <f>($M$49*$I$54+$M$50*$I$55+$M$51*$I$56)*($A$2*(Users!AT45 + Users!AT57)*X$22 + $A$3*Users!AT69*X$23)/60</f>
        <v>2734506.1739594163</v>
      </c>
      <c r="Y28" s="12">
        <f>($M$49*$I$54+$M$50*$I$55+$M$51*$I$56)*($A$2*(Users!AU45 + Users!AU57)*Y$22 + $A$3*Users!AU69*Y$23)/60</f>
        <v>2841820.0108998441</v>
      </c>
      <c r="Z28" s="12">
        <f>($M$49*$I$54+$M$50*$I$55+$M$51*$I$56)*($A$2*(Users!AV45 + Users!AV57)*Z$22 + $A$3*Users!AV69*Z$23)/60</f>
        <v>2953766.8935013232</v>
      </c>
      <c r="AA28" s="12">
        <f>($M$49*$I$54+$M$50*$I$55+$M$51*$I$56)*($A$2*(Users!AW45 + Users!AW57)*AA$22 + $A$3*Users!AW69*AA$23)/60</f>
        <v>3071936.2881162683</v>
      </c>
      <c r="AB28" s="12">
        <f>($M$49*$I$54+$M$50*$I$55+$M$51*$I$56)*($A$2*(Users!AX45 + Users!AX57)*AB$22 + $A$3*Users!AX69*AB$23)/60</f>
        <v>3195938.1071150056</v>
      </c>
      <c r="AC28" s="12">
        <f>($M$49*$I$54+$M$50*$I$55+$M$51*$I$56)*($A$2*(Users!AY45 + Users!AY57)*AC$22 + $A$3*Users!AY69*AC$23)/60</f>
        <v>3326151.9046849362</v>
      </c>
      <c r="AD28" s="12">
        <f>($M$49*$I$54+$M$50*$I$55+$M$51*$I$56)*($A$2*(Users!AZ45 + Users!AZ57)*AD$22 + $A$3*Users!AZ69*AD$23)/60</f>
        <v>3462968.9056380298</v>
      </c>
      <c r="AE28" s="12">
        <f>($M$49*$I$54+$M$50*$I$55+$M$51*$I$56)*($A$2*(Users!BA45 + Users!BA57)*AE$22 + $A$3*Users!BA69*AE$23)/60</f>
        <v>3605922.708403701</v>
      </c>
      <c r="AF28" s="12">
        <f>($M$49*$I$54+$M$50*$I$55+$M$51*$I$56)*($A$2*(Users!BB45 + Users!BB57)*AF$22 + $A$3*Users!BB69*AF$23)/60</f>
        <v>3755349.7308252943</v>
      </c>
      <c r="AG28" s="12">
        <f>($M$49*$I$54+$M$50*$I$55+$M$51*$I$56)*($A$2*(Users!BC45 + Users!BC57)*AG$22 + $A$3*Users!BC69*AG$23)/60</f>
        <v>3911599.0850698515</v>
      </c>
      <c r="AH28" s="12">
        <f>($M$49*$I$54+$M$50*$I$55+$M$51*$I$56)*($A$2*(Users!BD45 + Users!BD57)*AH$22 + $A$3*Users!BD69*AH$23)/60</f>
        <v>4075037.4425918926</v>
      </c>
      <c r="AI28" s="12">
        <f>($M$49*$I$54+$M$50*$I$55+$M$51*$I$56)*($A$2*(Users!BE45 + Users!BE57)*AI$22 + $A$3*Users!BE69*AI$23)/60</f>
        <v>4246037.5849452168</v>
      </c>
      <c r="AJ28" s="12">
        <f>($M$49*$I$54+$M$50*$I$55+$M$51*$I$56)*($A$2*(Users!BF45 + Users!BF57)*AJ$22 + $A$3*Users!BF69*AJ$23)/60</f>
        <v>4424972.043253771</v>
      </c>
      <c r="AK28" s="12">
        <f>($M$49*$I$54+$M$50*$I$55+$M$51*$I$56)*($A$2*(Users!BG45 + Users!BG57)*AK$22 + $A$3*Users!BG69*AK$23)/60</f>
        <v>4612232.8449486941</v>
      </c>
      <c r="AL28" s="12">
        <f>($M$49*$I$54+$M$50*$I$55+$M$51*$I$56)*($A$2*(Users!BH45 + Users!BH57)*AL$22 + $A$3*Users!BH69*AL$23)/60</f>
        <v>4704708.3220569128</v>
      </c>
      <c r="AM28" s="12">
        <f>($M$49*$I$54+$M$50*$I$55+$M$51*$I$56)*($A$2*(Users!BI45 + Users!BI57)*AM$22 + $A$3*Users!BI69*AM$23)/60</f>
        <v>4799799.2359939786</v>
      </c>
      <c r="AN28" s="12">
        <f>($M$49*$I$54+$M$50*$I$55+$M$51*$I$56)*($A$2*(Users!BJ45 + Users!BJ57)*AN$22 + $A$3*Users!BJ69*AN$23)/60</f>
        <v>4897545.205313962</v>
      </c>
      <c r="AO28" s="12">
        <f>($M$49*$I$54+$M$50*$I$55+$M$51*$I$56)*($A$2*(Users!BK45 + Users!BK57)*AO$22 + $A$3*Users!BK69*AO$23)/60</f>
        <v>4997971.7482665125</v>
      </c>
      <c r="AP28" s="12">
        <f>($M$49*$I$54+$M$50*$I$55+$M$51*$I$56)*($A$2*(Users!BL45 + Users!BL57)*AP$22 + $A$3*Users!BL69*AP$23)/60</f>
        <v>5101082.1684432356</v>
      </c>
      <c r="AQ28" s="12">
        <f>($M$49*$I$54+$M$50*$I$55+$M$51*$I$56)*($A$2*(Users!BM45 + Users!BM57)*AQ$22 + $A$3*Users!BM69*AQ$23)/60</f>
        <v>5206873.7074063616</v>
      </c>
      <c r="AR28" s="12">
        <f>($M$49*$I$54+$M$50*$I$55+$M$51*$I$56)*($A$2*(Users!BN45 + Users!BN57)*AR$22 + $A$3*Users!BN69*AR$23)/60</f>
        <v>5315339.9795273133</v>
      </c>
      <c r="AS28" s="12">
        <f>($M$49*$I$54+$M$50*$I$55+$M$51*$I$56)*($A$2*(Users!BO45 + Users!BO57)*AS$22 + $A$3*Users!BO69*AS$23)/60</f>
        <v>5426470.2250297805</v>
      </c>
      <c r="AT28" s="12">
        <f>($M$49*$I$54+$M$50*$I$55+$M$51*$I$56)*($A$2*(Users!BP45 + Users!BP57)*AT$22 + $A$3*Users!BP69*AT$23)/60</f>
        <v>5540627.813270716</v>
      </c>
      <c r="AU28" s="12">
        <f>($M$49*$I$54+$M$50*$I$55+$M$51*$I$56)*($A$2*(Users!BQ45 + Users!BQ57)*AU$22 + $A$3*Users!BQ69*AU$23)/60</f>
        <v>5657186.9543466391</v>
      </c>
      <c r="AV28" s="12">
        <f>($M$49*$I$54+$M$50*$I$55+$M$51*$I$56)*($A$2*(Users!BR45 + Users!BR57)*AV$22 + $A$3*Users!BR69*AV$23)/60</f>
        <v>5776198.1701379744</v>
      </c>
      <c r="AW28" s="12">
        <f>($M$49*$I$54+$M$50*$I$55+$M$51*$I$56)*($A$2*(Users!BS45 + Users!BS57)*AW$22 + $A$3*Users!BS69*AW$23)/60</f>
        <v>5897713.0453625936</v>
      </c>
      <c r="AX28" s="12">
        <f>($M$49*$I$54+$M$50*$I$55+$M$51*$I$56)*($A$2*(Users!BT45 + Users!BT57)*AX$22 + $A$3*Users!BT69*AX$23)/60</f>
        <v>6022850.1203467445</v>
      </c>
      <c r="AY28" s="12">
        <f>($M$49*$I$54+$M$50*$I$55+$M$51*$I$56)*($A$2*(Users!BU45 + Users!BU57)*AY$22 + $A$3*Users!BU69*AY$23)/60</f>
        <v>6150642.3410484288</v>
      </c>
      <c r="AZ28" s="12">
        <f>($M$49*$I$54+$M$50*$I$55+$M$51*$I$56)*($A$2*(Users!BV45 + Users!BV57)*AZ$22 + $A$3*Users!BV69*AZ$23)/60</f>
        <v>6281146.044079151</v>
      </c>
      <c r="BA28" s="12">
        <f>($M$49*$I$54+$M$50*$I$55+$M$51*$I$56)*($A$2*(Users!BW45 + Users!BW57)*BA$22 + $A$3*Users!BW69*BA$23)/60</f>
        <v>6414418.7613949524</v>
      </c>
      <c r="BB28" s="12">
        <f>($M$49*$I$54+$M$50*$I$55+$M$51*$I$56)*($A$2*(Users!BX45 + Users!BX57)*BB$22 + $A$3*Users!BX69*BB$23)/60</f>
        <v>6550519.2456590282</v>
      </c>
      <c r="BC28" s="12">
        <f>($M$49*$I$54+$M$50*$I$55+$M$51*$I$56)*($A$2*(Users!BY45 + Users!BY57)*BC$22 + $A$3*Users!BY69*BC$23)/60</f>
        <v>6691385.5970920818</v>
      </c>
      <c r="BD28" s="12">
        <f>($M$49*$I$54+$M$50*$I$55+$M$51*$I$56)*($A$2*(Users!BZ45 + Users!BZ57)*BD$22 + $A$3*Users!BZ69*BD$23)/60</f>
        <v>6835281.2242545728</v>
      </c>
      <c r="BE28" s="12">
        <f>($M$49*$I$54+$M$50*$I$55+$M$51*$I$56)*($A$2*(Users!CA45 + Users!CA57)*BE$22 + $A$3*Users!CA69*BE$23)/60</f>
        <v>6982271.2705348879</v>
      </c>
      <c r="BF28" s="12">
        <f>($M$49*$I$54+$M$50*$I$55+$M$51*$I$56)*($A$2*(Users!CB45 + Users!CB57)*BF$22 + $A$3*Users!CB69*BF$23)/60</f>
        <v>7132422.2802045196</v>
      </c>
      <c r="BG28" s="12">
        <f>($M$49*$I$54+$M$50*$I$55+$M$51*$I$56)*($A$2*(Users!CC45 + Users!CC57)*BG$22 + $A$3*Users!CC69*BG$23)/60</f>
        <v>7285802.2285434315</v>
      </c>
      <c r="BH28" s="12">
        <f>($M$49*$I$54+$M$50*$I$55+$M$51*$I$56)*($A$2*(Users!CD45 + Users!CD57)*BH$22 + $A$3*Users!CD69*BH$23)/60</f>
        <v>7445081.0556280399</v>
      </c>
      <c r="BI28" s="12">
        <f>($M$49*$I$54+$M$50*$I$55+$M$51*$I$56)*($A$2*(Users!CE45 + Users!CE57)*BI$22 + $A$3*Users!CE69*BI$23)/60</f>
        <v>7607841.9625113672</v>
      </c>
      <c r="BJ28" s="12">
        <f>($M$49*$I$54+$M$50*$I$55+$M$51*$I$56)*($A$2*(Users!CF45 + Users!CF57)*BJ$22 + $A$3*Users!CF69*BJ$23)/60</f>
        <v>7774161.0728059942</v>
      </c>
      <c r="BK28" s="12">
        <f>($M$49*$I$54+$M$50*$I$55+$M$51*$I$56)*($A$2*(Users!CG45 + Users!CG57)*BK$22 + $A$3*Users!CG69*BK$23)/60</f>
        <v>7944116.1743035819</v>
      </c>
      <c r="BL28" s="12">
        <f>($M$49*$I$54+$M$50*$I$55+$M$51*$I$56)*($A$2*(Users!CH45 + Users!CH57)*BL$22 + $A$3*Users!CH69*BL$23)/60</f>
        <v>8117786.7553563779</v>
      </c>
      <c r="BM28" s="12">
        <f>($M$49*$I$54+$M$50*$I$55+$M$51*$I$56)*($A$2*(Users!CI45 + Users!CI57)*BM$22 + $A$3*Users!CI69*BM$23)/60</f>
        <v>8297375.8302953187</v>
      </c>
      <c r="BN28" s="12">
        <f>($M$49*$I$54+$M$50*$I$55+$M$51*$I$56)*($A$2*(Users!CJ45 + Users!CJ57)*BN$22 + $A$3*Users!CJ69*BN$23)/60</f>
        <v>8480937.9383785557</v>
      </c>
      <c r="BO28" s="12">
        <f>($M$49*$I$54+$M$50*$I$55+$M$51*$I$56)*($A$2*(Users!CK45 + Users!CK57)*BO$22 + $A$3*Users!CK69*BO$23)/60</f>
        <v>8668560.9746652469</v>
      </c>
      <c r="BP28" s="12">
        <f>($M$49*$I$54+$M$50*$I$55+$M$51*$I$56)*($A$2*(Users!CL45 + Users!CL57)*BP$22 + $A$3*Users!CL69*BP$23)/60</f>
        <v>8860334.778709149</v>
      </c>
      <c r="BQ28" s="12">
        <f>($M$49*$I$54+$M$50*$I$55+$M$51*$I$56)*($A$2*(Users!CM45 + Users!CM57)*BQ$22 + $A$3*Users!CM69*BQ$23)/60</f>
        <v>9056351.1775764562</v>
      </c>
      <c r="BR28" s="12">
        <f>($M$49*$I$54+$M$50*$I$55+$M$51*$I$56)*($A$2*(Users!CN45 + Users!CN57)*BR$22 + $A$3*Users!CN69*BR$23)/60</f>
        <v>9257232.7123091612</v>
      </c>
      <c r="BS28" s="12">
        <f>($M$49*$I$54+$M$50*$I$55+$M$51*$I$56)*($A$2*(Users!CO45 + Users!CO57)*BS$22 + $A$3*Users!CO69*BS$23)/60</f>
        <v>9462196.0336953606</v>
      </c>
      <c r="BT28" s="12">
        <f>($M$49*$I$54+$M$50*$I$55+$M$51*$I$56)*($A$2*(Users!CP45 + Users!CP57)*BT$22 + $A$3*Users!CP69*BT$23)/60</f>
        <v>9671697.4243317544</v>
      </c>
      <c r="BU28" s="12">
        <f>($M$49*$I$54+$M$50*$I$55+$M$51*$I$56)*($A$2*(Users!CQ45 + Users!CQ57)*BU$22 + $A$3*Users!CQ69*BU$23)/60</f>
        <v>9885837.3610860221</v>
      </c>
      <c r="BV28" s="12">
        <f>($M$49*$I$54+$M$50*$I$55+$M$51*$I$56)*($A$2*(Users!CR45 + Users!CR57)*BV$22 + $A$3*Users!CR69*BV$23)/60</f>
        <v>10104718.54547254</v>
      </c>
      <c r="BW28" s="12">
        <f>($M$49*$I$54+$M$50*$I$55+$M$51*$I$56)*($A$2*(Users!CS45 + Users!CS57)*BW$22 + $A$3*Users!CS69*BW$23)/60</f>
        <v>10326633.402806468</v>
      </c>
      <c r="BX28" s="12">
        <f>($M$49*$I$54+$M$50*$I$55+$M$51*$I$56)*($A$2*(Users!CT45 + Users!CT57)*BX$22 + $A$3*Users!CT69*BX$23)/60</f>
        <v>10553421.845058592</v>
      </c>
      <c r="BY28" s="12">
        <f>($M$49*$I$54+$M$50*$I$55+$M$51*$I$56)*($A$2*(Users!CU45 + Users!CU57)*BY$22 + $A$3*Users!CU69*BY$23)/60</f>
        <v>10785190.903503057</v>
      </c>
      <c r="BZ28" s="12">
        <f>($M$49*$I$54+$M$50*$I$55+$M$51*$I$56)*($A$2*(Users!CV45 + Users!CV57)*BZ$22 + $A$3*Users!CV69*BZ$23)/60</f>
        <v>11022049.959982425</v>
      </c>
      <c r="CA28" s="12"/>
      <c r="CB28" s="12"/>
      <c r="CC28" s="12"/>
    </row>
    <row r="29" spans="1:81" s="12" customFormat="1">
      <c r="P29" s="12" t="s">
        <v>231</v>
      </c>
      <c r="R29" s="12">
        <f>($M$49*$I$54+$M$50*$I$55+$M$51*$I$56)*($A$2*(Users!AN46 + Users!AN58)*R$22 + $A$3*Users!AN70*R$23)/60</f>
        <v>0</v>
      </c>
      <c r="S29" s="12">
        <f>($M$49*$I$54+$M$50*$I$55+$M$51*$I$56)*($A$2*(Users!AO46 + Users!AO58)*S$22 + $A$3*Users!AO70*S$23)/60</f>
        <v>0</v>
      </c>
      <c r="T29" s="12">
        <f>($M$49*$I$54+$M$50*$I$55+$M$51*$I$56)*($A$2*(Users!AP46 + Users!AP58)*T$22 + $A$3*Users!AP70*T$23)/60</f>
        <v>0</v>
      </c>
      <c r="U29" s="12">
        <f>($M$49*$I$54+$M$50*$I$55+$M$51*$I$56)*($A$2*(Users!AQ46 + Users!AQ58)*U$22 + $A$3*Users!AQ70*U$23)/60</f>
        <v>0</v>
      </c>
      <c r="V29" s="12">
        <f>($M$49*$I$54+$M$50*$I$55+$M$51*$I$56)*($A$2*(Users!AR46 + Users!AR58)*V$22 + $A$3*Users!AR70*V$23)/60</f>
        <v>0</v>
      </c>
      <c r="W29" s="12">
        <f>($M$49*$I$54+$M$50*$I$55+$M$51*$I$56)*($A$2*(Users!AS46 + Users!AS58)*W$22 + $A$3*Users!AS70*W$23)/60</f>
        <v>0</v>
      </c>
      <c r="X29" s="12">
        <f>($M$49*$I$54+$M$50*$I$55+$M$51*$I$56)*($A$2*(Users!AT46 + Users!AT58)*X$22 + $A$3*Users!AT70*X$23)/60</f>
        <v>0</v>
      </c>
      <c r="Y29" s="12">
        <f>($M$49*$I$54+$M$50*$I$55+$M$51*$I$56)*($A$2*(Users!AU46 + Users!AU58)*Y$22 + $A$3*Users!AU70*Y$23)/60</f>
        <v>0</v>
      </c>
      <c r="Z29" s="12">
        <f>($M$49*$I$54+$M$50*$I$55+$M$51*$I$56)*($A$2*(Users!AV46 + Users!AV58)*Z$22 + $A$3*Users!AV70*Z$23)/60</f>
        <v>0</v>
      </c>
      <c r="AA29" s="12">
        <f>($M$49*$I$54+$M$50*$I$55+$M$51*$I$56)*($A$2*(Users!AW46 + Users!AW58)*AA$22 + $A$3*Users!AW70*AA$23)/60</f>
        <v>0</v>
      </c>
      <c r="AB29" s="12">
        <f>($M$49*$I$54+$M$50*$I$55+$M$51*$I$56)*($A$2*(Users!AX46 + Users!AX58)*AB$22 + $A$3*Users!AX70*AB$23)/60</f>
        <v>0</v>
      </c>
      <c r="AC29" s="12">
        <f>($M$49*$I$54+$M$50*$I$55+$M$51*$I$56)*($A$2*(Users!AY46 + Users!AY58)*AC$22 + $A$3*Users!AY70*AC$23)/60</f>
        <v>0</v>
      </c>
      <c r="AD29" s="12">
        <f>($M$49*$I$54+$M$50*$I$55+$M$51*$I$56)*($A$2*(Users!AZ46 + Users!AZ58)*AD$22 + $A$3*Users!AZ70*AD$23)/60</f>
        <v>0</v>
      </c>
      <c r="AE29" s="12">
        <f>($M$49*$I$54+$M$50*$I$55+$M$51*$I$56)*($A$2*(Users!BA46 + Users!BA58)*AE$22 + $A$3*Users!BA70*AE$23)/60</f>
        <v>0</v>
      </c>
      <c r="AF29" s="12">
        <f>($M$49*$I$54+$M$50*$I$55+$M$51*$I$56)*($A$2*(Users!BB46 + Users!BB58)*AF$22 + $A$3*Users!BB70*AF$23)/60</f>
        <v>0</v>
      </c>
      <c r="AG29" s="12">
        <f>($M$49*$I$54+$M$50*$I$55+$M$51*$I$56)*($A$2*(Users!BC46 + Users!BC58)*AG$22 + $A$3*Users!BC70*AG$23)/60</f>
        <v>0</v>
      </c>
      <c r="AH29" s="12">
        <f>($M$49*$I$54+$M$50*$I$55+$M$51*$I$56)*($A$2*(Users!BD46 + Users!BD58)*AH$22 + $A$3*Users!BD70*AH$23)/60</f>
        <v>0</v>
      </c>
      <c r="AI29" s="12">
        <f>($M$49*$I$54+$M$50*$I$55+$M$51*$I$56)*($A$2*(Users!BE46 + Users!BE58)*AI$22 + $A$3*Users!BE70*AI$23)/60</f>
        <v>0</v>
      </c>
      <c r="AJ29" s="12">
        <f>($M$49*$I$54+$M$50*$I$55+$M$51*$I$56)*($A$2*(Users!BF46 + Users!BF58)*AJ$22 + $A$3*Users!BF70*AJ$23)/60</f>
        <v>0</v>
      </c>
      <c r="AK29" s="12">
        <f>($M$49*$I$54+$M$50*$I$55+$M$51*$I$56)*($A$2*(Users!BG46 + Users!BG58)*AK$22 + $A$3*Users!BG70*AK$23)/60</f>
        <v>0</v>
      </c>
      <c r="AL29" s="12">
        <f>($M$49*$I$54+$M$50*$I$55+$M$51*$I$56)*($A$2*(Users!BH46 + Users!BH58)*AL$22 + $A$3*Users!BH70*AL$23)/60</f>
        <v>0</v>
      </c>
      <c r="AM29" s="12">
        <f>($M$49*$I$54+$M$50*$I$55+$M$51*$I$56)*($A$2*(Users!BI46 + Users!BI58)*AM$22 + $A$3*Users!BI70*AM$23)/60</f>
        <v>0</v>
      </c>
      <c r="AN29" s="12">
        <f>($M$49*$I$54+$M$50*$I$55+$M$51*$I$56)*($A$2*(Users!BJ46 + Users!BJ58)*AN$22 + $A$3*Users!BJ70*AN$23)/60</f>
        <v>0</v>
      </c>
      <c r="AO29" s="12">
        <f>($M$49*$I$54+$M$50*$I$55+$M$51*$I$56)*($A$2*(Users!BK46 + Users!BK58)*AO$22 + $A$3*Users!BK70*AO$23)/60</f>
        <v>0</v>
      </c>
      <c r="AP29" s="12">
        <f>($M$49*$I$54+$M$50*$I$55+$M$51*$I$56)*($A$2*(Users!BL46 + Users!BL58)*AP$22 + $A$3*Users!BL70*AP$23)/60</f>
        <v>0</v>
      </c>
      <c r="AQ29" s="12">
        <f>($M$49*$I$54+$M$50*$I$55+$M$51*$I$56)*($A$2*(Users!BM46 + Users!BM58)*AQ$22 + $A$3*Users!BM70*AQ$23)/60</f>
        <v>0</v>
      </c>
      <c r="AR29" s="12">
        <f>($M$49*$I$54+$M$50*$I$55+$M$51*$I$56)*($A$2*(Users!BN46 + Users!BN58)*AR$22 + $A$3*Users!BN70*AR$23)/60</f>
        <v>0</v>
      </c>
      <c r="AS29" s="12">
        <f>($M$49*$I$54+$M$50*$I$55+$M$51*$I$56)*($A$2*(Users!BO46 + Users!BO58)*AS$22 + $A$3*Users!BO70*AS$23)/60</f>
        <v>0</v>
      </c>
      <c r="AT29" s="12">
        <f>($M$49*$I$54+$M$50*$I$55+$M$51*$I$56)*($A$2*(Users!BP46 + Users!BP58)*AT$22 + $A$3*Users!BP70*AT$23)/60</f>
        <v>0</v>
      </c>
      <c r="AU29" s="12">
        <f>($M$49*$I$54+$M$50*$I$55+$M$51*$I$56)*($A$2*(Users!BQ46 + Users!BQ58)*AU$22 + $A$3*Users!BQ70*AU$23)/60</f>
        <v>0</v>
      </c>
      <c r="AV29" s="12">
        <f>($M$49*$I$54+$M$50*$I$55+$M$51*$I$56)*($A$2*(Users!BR46 + Users!BR58)*AV$22 + $A$3*Users!BR70*AV$23)/60</f>
        <v>0</v>
      </c>
      <c r="AW29" s="12">
        <f>($M$49*$I$54+$M$50*$I$55+$M$51*$I$56)*($A$2*(Users!BS46 + Users!BS58)*AW$22 + $A$3*Users!BS70*AW$23)/60</f>
        <v>0</v>
      </c>
      <c r="AX29" s="12">
        <f>($M$49*$I$54+$M$50*$I$55+$M$51*$I$56)*($A$2*(Users!BT46 + Users!BT58)*AX$22 + $A$3*Users!BT70*AX$23)/60</f>
        <v>0</v>
      </c>
      <c r="AY29" s="12">
        <f>($M$49*$I$54+$M$50*$I$55+$M$51*$I$56)*($A$2*(Users!BU46 + Users!BU58)*AY$22 + $A$3*Users!BU70*AY$23)/60</f>
        <v>0</v>
      </c>
      <c r="AZ29" s="12">
        <f>($M$49*$I$54+$M$50*$I$55+$M$51*$I$56)*($A$2*(Users!BV46 + Users!BV58)*AZ$22 + $A$3*Users!BV70*AZ$23)/60</f>
        <v>0</v>
      </c>
      <c r="BA29" s="12">
        <f>($M$49*$I$54+$M$50*$I$55+$M$51*$I$56)*($A$2*(Users!BW46 + Users!BW58)*BA$22 + $A$3*Users!BW70*BA$23)/60</f>
        <v>0</v>
      </c>
      <c r="BB29" s="12">
        <f>($M$49*$I$54+$M$50*$I$55+$M$51*$I$56)*($A$2*(Users!BX46 + Users!BX58)*BB$22 + $A$3*Users!BX70*BB$23)/60</f>
        <v>0</v>
      </c>
      <c r="BC29" s="12">
        <f>($M$49*$I$54+$M$50*$I$55+$M$51*$I$56)*($A$2*(Users!BY46 + Users!BY58)*BC$22 + $A$3*Users!BY70*BC$23)/60</f>
        <v>0</v>
      </c>
      <c r="BD29" s="12">
        <f>($M$49*$I$54+$M$50*$I$55+$M$51*$I$56)*($A$2*(Users!BZ46 + Users!BZ58)*BD$22 + $A$3*Users!BZ70*BD$23)/60</f>
        <v>0</v>
      </c>
      <c r="BE29" s="12">
        <f>($M$49*$I$54+$M$50*$I$55+$M$51*$I$56)*($A$2*(Users!CA46 + Users!CA58)*BE$22 + $A$3*Users!CA70*BE$23)/60</f>
        <v>0</v>
      </c>
      <c r="BF29" s="12">
        <f>($M$49*$I$54+$M$50*$I$55+$M$51*$I$56)*($A$2*(Users!CB46 + Users!CB58)*BF$22 + $A$3*Users!CB70*BF$23)/60</f>
        <v>0</v>
      </c>
      <c r="BG29" s="12">
        <f>($M$49*$I$54+$M$50*$I$55+$M$51*$I$56)*($A$2*(Users!CC46 + Users!CC58)*BG$22 + $A$3*Users!CC70*BG$23)/60</f>
        <v>0</v>
      </c>
      <c r="BH29" s="12">
        <f>($M$49*$I$54+$M$50*$I$55+$M$51*$I$56)*($A$2*(Users!CD46 + Users!CD58)*BH$22 + $A$3*Users!CD70*BH$23)/60</f>
        <v>0</v>
      </c>
      <c r="BI29" s="12">
        <f>($M$49*$I$54+$M$50*$I$55+$M$51*$I$56)*($A$2*(Users!CE46 + Users!CE58)*BI$22 + $A$3*Users!CE70*BI$23)/60</f>
        <v>0</v>
      </c>
      <c r="BJ29" s="12">
        <f>($M$49*$I$54+$M$50*$I$55+$M$51*$I$56)*($A$2*(Users!CF46 + Users!CF58)*BJ$22 + $A$3*Users!CF70*BJ$23)/60</f>
        <v>0</v>
      </c>
      <c r="BK29" s="12">
        <f>($M$49*$I$54+$M$50*$I$55+$M$51*$I$56)*($A$2*(Users!CG46 + Users!CG58)*BK$22 + $A$3*Users!CG70*BK$23)/60</f>
        <v>0</v>
      </c>
      <c r="BL29" s="12">
        <f>($M$49*$I$54+$M$50*$I$55+$M$51*$I$56)*($A$2*(Users!CH46 + Users!CH58)*BL$22 + $A$3*Users!CH70*BL$23)/60</f>
        <v>0</v>
      </c>
      <c r="BM29" s="12">
        <f>($M$49*$I$54+$M$50*$I$55+$M$51*$I$56)*($A$2*(Users!CI46 + Users!CI58)*BM$22 + $A$3*Users!CI70*BM$23)/60</f>
        <v>0</v>
      </c>
      <c r="BN29" s="12">
        <f>($M$49*$I$54+$M$50*$I$55+$M$51*$I$56)*($A$2*(Users!CJ46 + Users!CJ58)*BN$22 + $A$3*Users!CJ70*BN$23)/60</f>
        <v>0</v>
      </c>
      <c r="BO29" s="12">
        <f>($M$49*$I$54+$M$50*$I$55+$M$51*$I$56)*($A$2*(Users!CK46 + Users!CK58)*BO$22 + $A$3*Users!CK70*BO$23)/60</f>
        <v>0</v>
      </c>
      <c r="BP29" s="12">
        <f>($M$49*$I$54+$M$50*$I$55+$M$51*$I$56)*($A$2*(Users!CL46 + Users!CL58)*BP$22 + $A$3*Users!CL70*BP$23)/60</f>
        <v>0</v>
      </c>
      <c r="BQ29" s="12">
        <f>($M$49*$I$54+$M$50*$I$55+$M$51*$I$56)*($A$2*(Users!CM46 + Users!CM58)*BQ$22 + $A$3*Users!CM70*BQ$23)/60</f>
        <v>0</v>
      </c>
      <c r="BR29" s="12">
        <f>($M$49*$I$54+$M$50*$I$55+$M$51*$I$56)*($A$2*(Users!CN46 + Users!CN58)*BR$22 + $A$3*Users!CN70*BR$23)/60</f>
        <v>0</v>
      </c>
      <c r="BS29" s="12">
        <f>($M$49*$I$54+$M$50*$I$55+$M$51*$I$56)*($A$2*(Users!CO46 + Users!CO58)*BS$22 + $A$3*Users!CO70*BS$23)/60</f>
        <v>0</v>
      </c>
      <c r="BT29" s="12">
        <f>($M$49*$I$54+$M$50*$I$55+$M$51*$I$56)*($A$2*(Users!CP46 + Users!CP58)*BT$22 + $A$3*Users!CP70*BT$23)/60</f>
        <v>0</v>
      </c>
      <c r="BU29" s="12">
        <f>($M$49*$I$54+$M$50*$I$55+$M$51*$I$56)*($A$2*(Users!CQ46 + Users!CQ58)*BU$22 + $A$3*Users!CQ70*BU$23)/60</f>
        <v>0</v>
      </c>
      <c r="BV29" s="12">
        <f>($M$49*$I$54+$M$50*$I$55+$M$51*$I$56)*($A$2*(Users!CR46 + Users!CR58)*BV$22 + $A$3*Users!CR70*BV$23)/60</f>
        <v>0</v>
      </c>
      <c r="BW29" s="12">
        <f>($M$49*$I$54+$M$50*$I$55+$M$51*$I$56)*($A$2*(Users!CS46 + Users!CS58)*BW$22 + $A$3*Users!CS70*BW$23)/60</f>
        <v>0</v>
      </c>
      <c r="BX29" s="12">
        <f>($M$49*$I$54+$M$50*$I$55+$M$51*$I$56)*($A$2*(Users!CT46 + Users!CT58)*BX$22 + $A$3*Users!CT70*BX$23)/60</f>
        <v>0</v>
      </c>
      <c r="BY29" s="12">
        <f>($M$49*$I$54+$M$50*$I$55+$M$51*$I$56)*($A$2*(Users!CU46 + Users!CU58)*BY$22 + $A$3*Users!CU70*BY$23)/60</f>
        <v>0</v>
      </c>
      <c r="BZ29" s="12">
        <f>($M$49*$I$54+$M$50*$I$55+$M$51*$I$56)*($A$2*(Users!CV46 + Users!CV58)*BZ$22 + $A$3*Users!CV70*BZ$23)/60</f>
        <v>0</v>
      </c>
    </row>
    <row r="30" spans="1:81" s="12" customFormat="1">
      <c r="P30" s="12" t="s">
        <v>232</v>
      </c>
      <c r="R30" s="12">
        <f>($M$49*$I$54+$M$50*$I$55+$M$51*$I$56)*($A$2*(Users!AN47 + Users!AN59)*R$22 + $A$3*Users!AN71*R$23)/60</f>
        <v>89286.464613154691</v>
      </c>
      <c r="S30" s="12">
        <f>($M$49*$I$54+$M$50*$I$55+$M$51*$I$56)*($A$2*(Users!AO47 + Users!AO59)*S$22 + $A$3*Users!AO71*S$23)/60</f>
        <v>92037.479888916234</v>
      </c>
      <c r="T30" s="12">
        <f>($M$49*$I$54+$M$50*$I$55+$M$51*$I$56)*($A$2*(Users!AP47 + Users!AP59)*T$22 + $A$3*Users!AP71*T$23)/60</f>
        <v>93026.429660791138</v>
      </c>
      <c r="U30" s="12">
        <f>($M$49*$I$54+$M$50*$I$55+$M$51*$I$56)*($A$2*(Users!AQ47 + Users!AQ59)*U$22 + $A$3*Users!AQ71*U$23)/60</f>
        <v>95664.986255422948</v>
      </c>
      <c r="V30" s="12">
        <f>($M$49*$I$54+$M$50*$I$55+$M$51*$I$56)*($A$2*(Users!AR47 + Users!AR59)*V$22 + $A$3*Users!AR71*V$23)/60</f>
        <v>99774.899854849893</v>
      </c>
      <c r="W30" s="12">
        <f>($M$49*$I$54+$M$50*$I$55+$M$51*$I$56)*($A$2*(Users!AS47 + Users!AS59)*W$22 + $A$3*Users!AS71*W$23)/60</f>
        <v>103061.99249920898</v>
      </c>
      <c r="X30" s="12">
        <f>($M$49*$I$54+$M$50*$I$55+$M$51*$I$56)*($A$2*(Users!AT47 + Users!AT59)*X$22 + $A$3*Users!AT71*X$23)/60</f>
        <v>107069.20764129327</v>
      </c>
      <c r="Y30" s="12">
        <f>($M$49*$I$54+$M$50*$I$55+$M$51*$I$56)*($A$2*(Users!AU47 + Users!AU59)*Y$22 + $A$3*Users!AU71*Y$23)/60</f>
        <v>111271.06595105954</v>
      </c>
      <c r="Z30" s="12">
        <f>($M$49*$I$54+$M$50*$I$55+$M$51*$I$56)*($A$2*(Users!AV47 + Users!AV59)*Z$22 + $A$3*Users!AV71*Z$23)/60</f>
        <v>115654.33051714319</v>
      </c>
      <c r="AA30" s="12">
        <f>($M$49*$I$54+$M$50*$I$55+$M$51*$I$56)*($A$2*(Users!AW47 + Users!AW59)*AA$22 + $A$3*Users!AW71*AA$23)/60</f>
        <v>120281.23667276309</v>
      </c>
      <c r="AB30" s="12">
        <f>($M$49*$I$54+$M$50*$I$55+$M$51*$I$56)*($A$2*(Users!AX47 + Users!AX59)*AB$22 + $A$3*Users!AX71*AB$23)/60</f>
        <v>125136.51059121608</v>
      </c>
      <c r="AC30" s="12">
        <f>($M$49*$I$54+$M$50*$I$55+$M$51*$I$56)*($A$2*(Users!AY47 + Users!AY59)*AC$22 + $A$3*Users!AY71*AC$23)/60</f>
        <v>130235.01366374313</v>
      </c>
      <c r="AD30" s="12">
        <f>($M$49*$I$54+$M$50*$I$55+$M$51*$I$56)*($A$2*(Users!AZ47 + Users!AZ59)*AD$22 + $A$3*Users!AZ71*AD$23)/60</f>
        <v>135592.06424326153</v>
      </c>
      <c r="AE30" s="12">
        <f>($M$49*$I$54+$M$50*$I$55+$M$51*$I$56)*($A$2*(Users!BA47 + Users!BA59)*AE$22 + $A$3*Users!BA71*AE$23)/60</f>
        <v>141189.40044136118</v>
      </c>
      <c r="AF30" s="12">
        <f>($M$49*$I$54+$M$50*$I$55+$M$51*$I$56)*($A$2*(Users!BB47 + Users!BB59)*AF$22 + $A$3*Users!BB71*AF$23)/60</f>
        <v>147040.19465175128</v>
      </c>
      <c r="AG30" s="12">
        <f>($M$49*$I$54+$M$50*$I$55+$M$51*$I$56)*($A$2*(Users!BC47 + Users!BC59)*AG$22 + $A$3*Users!BC71*AG$23)/60</f>
        <v>153158.11631261374</v>
      </c>
      <c r="AH30" s="12">
        <f>($M$49*$I$54+$M$50*$I$55+$M$51*$I$56)*($A$2*(Users!BD47 + Users!BD59)*AH$22 + $A$3*Users!BD71*AH$23)/60</f>
        <v>159557.52239358137</v>
      </c>
      <c r="AI30" s="12">
        <f>($M$49*$I$54+$M$50*$I$55+$M$51*$I$56)*($A$2*(Users!BE47 + Users!BE59)*AI$22 + $A$3*Users!BE71*AI$23)/60</f>
        <v>166253.00910437148</v>
      </c>
      <c r="AJ30" s="12">
        <f>($M$49*$I$54+$M$50*$I$55+$M$51*$I$56)*($A$2*(Users!BF47 + Users!BF59)*AJ$22 + $A$3*Users!BF71*AJ$23)/60</f>
        <v>173259.1628491556</v>
      </c>
      <c r="AK30" s="12">
        <f>($M$49*$I$54+$M$50*$I$55+$M$51*$I$56)*($A$2*(Users!BG47 + Users!BG59)*AK$22 + $A$3*Users!BG71*AK$23)/60</f>
        <v>180591.3334072924</v>
      </c>
      <c r="AL30" s="12">
        <f>($M$49*$I$54+$M$50*$I$55+$M$51*$I$56)*($A$2*(Users!BH47 + Users!BH59)*AL$22 + $A$3*Users!BH71*AL$23)/60</f>
        <v>184212.19780852026</v>
      </c>
      <c r="AM30" s="12">
        <f>($M$49*$I$54+$M$50*$I$55+$M$51*$I$56)*($A$2*(Users!BI47 + Users!BI59)*AM$22 + $A$3*Users!BI71*AM$23)/60</f>
        <v>187935.46927379773</v>
      </c>
      <c r="AN30" s="12">
        <f>($M$49*$I$54+$M$50*$I$55+$M$51*$I$56)*($A$2*(Users!BJ47 + Users!BJ59)*AN$22 + $A$3*Users!BJ71*AN$23)/60</f>
        <v>191762.69906208053</v>
      </c>
      <c r="AO30" s="12">
        <f>($M$49*$I$54+$M$50*$I$55+$M$51*$I$56)*($A$2*(Users!BK47 + Users!BK59)*AO$22 + $A$3*Users!BK71*AO$23)/60</f>
        <v>195694.8863368727</v>
      </c>
      <c r="AP30" s="12">
        <f>($M$49*$I$54+$M$50*$I$55+$M$51*$I$56)*($A$2*(Users!BL47 + Users!BL59)*AP$22 + $A$3*Users!BL71*AP$23)/60</f>
        <v>199732.1604498426</v>
      </c>
      <c r="AQ30" s="12">
        <f>($M$49*$I$54+$M$50*$I$55+$M$51*$I$56)*($A$2*(Users!BM47 + Users!BM59)*AQ$22 + $A$3*Users!BM71*AQ$23)/60</f>
        <v>203874.41339474419</v>
      </c>
      <c r="AR30" s="12">
        <f>($M$49*$I$54+$M$50*$I$55+$M$51*$I$56)*($A$2*(Users!BN47 + Users!BN59)*AR$22 + $A$3*Users!BN71*AR$23)/60</f>
        <v>208121.39514318167</v>
      </c>
      <c r="AS30" s="12">
        <f>($M$49*$I$54+$M$50*$I$55+$M$51*$I$56)*($A$2*(Users!BO47 + Users!BO59)*AS$22 + $A$3*Users!BO71*AS$23)/60</f>
        <v>212472.68439761508</v>
      </c>
      <c r="AT30" s="12">
        <f>($M$49*$I$54+$M$50*$I$55+$M$51*$I$56)*($A$2*(Users!BP47 + Users!BP59)*AT$22 + $A$3*Users!BP71*AT$23)/60</f>
        <v>216942.50883450778</v>
      </c>
      <c r="AU30" s="12">
        <f>($M$49*$I$54+$M$50*$I$55+$M$51*$I$56)*($A$2*(Users!BQ47 + Users!BQ59)*AU$22 + $A$3*Users!BQ71*AU$23)/60</f>
        <v>221506.36573751815</v>
      </c>
      <c r="AV30" s="12">
        <f>($M$49*$I$54+$M$50*$I$55+$M$51*$I$56)*($A$2*(Users!BR47 + Users!BR59)*AV$22 + $A$3*Users!BR71*AV$23)/60</f>
        <v>226166.23328382353</v>
      </c>
      <c r="AW30" s="12">
        <f>($M$49*$I$54+$M$50*$I$55+$M$51*$I$56)*($A$2*(Users!BS47 + Users!BS59)*AW$22 + $A$3*Users!BS71*AW$23)/60</f>
        <v>230924.13126585374</v>
      </c>
      <c r="AX30" s="12">
        <f>($M$49*$I$54+$M$50*$I$55+$M$51*$I$56)*($A$2*(Users!BT47 + Users!BT59)*AX$22 + $A$3*Users!BT71*AX$23)/60</f>
        <v>235823.85597399072</v>
      </c>
      <c r="AY30" s="12">
        <f>($M$49*$I$54+$M$50*$I$55+$M$51*$I$56)*($A$2*(Users!BU47 + Users!BU59)*AY$22 + $A$3*Users!BU71*AY$23)/60</f>
        <v>240827.54254217239</v>
      </c>
      <c r="AZ30" s="12">
        <f>($M$49*$I$54+$M$50*$I$55+$M$51*$I$56)*($A$2*(Users!BV47 + Users!BV59)*AZ$22 + $A$3*Users!BV71*AZ$23)/60</f>
        <v>245937.39682256043</v>
      </c>
      <c r="BA30" s="12">
        <f>($M$49*$I$54+$M$50*$I$55+$M$51*$I$56)*($A$2*(Users!BW47 + Users!BW59)*BA$22 + $A$3*Users!BW71*BA$23)/60</f>
        <v>251155.67147086511</v>
      </c>
      <c r="BB30" s="12">
        <f>($M$49*$I$54+$M$50*$I$55+$M$51*$I$56)*($A$2*(Users!BX47 + Users!BX59)*BB$22 + $A$3*Users!BX71*BB$23)/60</f>
        <v>256484.66693941483</v>
      </c>
      <c r="BC30" s="12">
        <f>($M$49*$I$54+$M$50*$I$55+$M$51*$I$56)*($A$2*(Users!BY47 + Users!BY59)*BC$22 + $A$3*Users!BY71*BC$23)/60</f>
        <v>262000.26927188941</v>
      </c>
      <c r="BD30" s="12">
        <f>($M$49*$I$54+$M$50*$I$55+$M$51*$I$56)*($A$2*(Users!BZ47 + Users!BZ59)*BD$22 + $A$3*Users!BZ71*BD$23)/60</f>
        <v>267634.48247281503</v>
      </c>
      <c r="BE30" s="12">
        <f>($M$49*$I$54+$M$50*$I$55+$M$51*$I$56)*($A$2*(Users!CA47 + Users!CA59)*BE$22 + $A$3*Users!CA71*BE$23)/60</f>
        <v>273389.85722247331</v>
      </c>
      <c r="BF30" s="12">
        <f>($M$49*$I$54+$M$50*$I$55+$M$51*$I$56)*($A$2*(Users!CB47 + Users!CB59)*BF$22 + $A$3*Users!CB71*BF$23)/60</f>
        <v>279268.99905252794</v>
      </c>
      <c r="BG30" s="12">
        <f>($M$49*$I$54+$M$50*$I$55+$M$51*$I$56)*($A$2*(Users!CC47 + Users!CC59)*BG$22 + $A$3*Users!CC71*BG$23)/60</f>
        <v>285274.56952558021</v>
      </c>
      <c r="BH30" s="12">
        <f>($M$49*$I$54+$M$50*$I$55+$M$51*$I$56)*($A$2*(Users!CD47 + Users!CD59)*BH$22 + $A$3*Users!CD71*BH$23)/60</f>
        <v>291511.10977273231</v>
      </c>
      <c r="BI30" s="12">
        <f>($M$49*$I$54+$M$50*$I$55+$M$51*$I$56)*($A$2*(Users!CE47 + Users!CE59)*BI$22 + $A$3*Users!CE71*BI$23)/60</f>
        <v>297883.99036847922</v>
      </c>
      <c r="BJ30" s="12">
        <f>($M$49*$I$54+$M$50*$I$55+$M$51*$I$56)*($A$2*(Users!CF47 + Users!CF59)*BJ$22 + $A$3*Users!CF71*BJ$23)/60</f>
        <v>304396.19192224857</v>
      </c>
      <c r="BK30" s="12">
        <f>($M$49*$I$54+$M$50*$I$55+$M$51*$I$56)*($A$2*(Users!CG47 + Users!CG59)*BK$22 + $A$3*Users!CG71*BK$23)/60</f>
        <v>311050.76020416769</v>
      </c>
      <c r="BL30" s="12">
        <f>($M$49*$I$54+$M$50*$I$55+$M$51*$I$56)*($A$2*(Users!CH47 + Users!CH59)*BL$22 + $A$3*Users!CH71*BL$23)/60</f>
        <v>317850.80756957631</v>
      </c>
      <c r="BM30" s="12">
        <f>($M$49*$I$54+$M$50*$I$55+$M$51*$I$56)*($A$2*(Users!CI47 + Users!CI59)*BM$22 + $A$3*Users!CI71*BM$23)/60</f>
        <v>324882.59273717139</v>
      </c>
      <c r="BN30" s="12">
        <f>($M$49*$I$54+$M$50*$I$55+$M$51*$I$56)*($A$2*(Users!CJ47 + Users!CJ59)*BN$22 + $A$3*Users!CJ71*BN$23)/60</f>
        <v>332069.94146309502</v>
      </c>
      <c r="BO30" s="12">
        <f>($M$49*$I$54+$M$50*$I$55+$M$51*$I$56)*($A$2*(Users!CK47 + Users!CK59)*BO$22 + $A$3*Users!CK71*BO$23)/60</f>
        <v>339416.29526612279</v>
      </c>
      <c r="BP30" s="12">
        <f>($M$49*$I$54+$M$50*$I$55+$M$51*$I$56)*($A$2*(Users!CL47 + Users!CL59)*BP$22 + $A$3*Users!CL71*BP$23)/60</f>
        <v>346925.1718014449</v>
      </c>
      <c r="BQ30" s="12">
        <f>($M$49*$I$54+$M$50*$I$55+$M$51*$I$56)*($A$2*(Users!CM47 + Users!CM59)*BQ$22 + $A$3*Users!CM71*BQ$23)/60</f>
        <v>354600.16654502356</v>
      </c>
      <c r="BR30" s="12">
        <f>($M$49*$I$54+$M$50*$I$55+$M$51*$I$56)*($A$2*(Users!CN47 + Users!CN59)*BR$22 + $A$3*Users!CN71*BR$23)/60</f>
        <v>362465.65500448277</v>
      </c>
      <c r="BS30" s="12">
        <f>($M$49*$I$54+$M$50*$I$55+$M$51*$I$56)*($A$2*(Users!CO47 + Users!CO59)*BS$22 + $A$3*Users!CO71*BS$23)/60</f>
        <v>370490.9652507467</v>
      </c>
      <c r="BT30" s="12">
        <f>($M$49*$I$54+$M$50*$I$55+$M$51*$I$56)*($A$2*(Users!CP47 + Users!CP59)*BT$22 + $A$3*Users!CP71*BT$23)/60</f>
        <v>378693.96296521451</v>
      </c>
      <c r="BU30" s="12">
        <f>($M$49*$I$54+$M$50*$I$55+$M$51*$I$56)*($A$2*(Users!CQ47 + Users!CQ59)*BU$22 + $A$3*Users!CQ71*BU$23)/60</f>
        <v>387078.58230561926</v>
      </c>
      <c r="BV30" s="12">
        <f>($M$49*$I$54+$M$50*$I$55+$M$51*$I$56)*($A$2*(Users!CR47 + Users!CR59)*BV$22 + $A$3*Users!CR71*BV$23)/60</f>
        <v>395648.84453542408</v>
      </c>
      <c r="BW30" s="12">
        <f>($M$49*$I$54+$M$50*$I$55+$M$51*$I$56)*($A$2*(Users!CS47 + Users!CS59)*BW$22 + $A$3*Users!CS71*BW$23)/60</f>
        <v>404337.88980613591</v>
      </c>
      <c r="BX30" s="12">
        <f>($M$49*$I$54+$M$50*$I$55+$M$51*$I$56)*($A$2*(Users!CT47 + Users!CT59)*BX$22 + $A$3*Users!CT71*BX$23)/60</f>
        <v>413217.75961421127</v>
      </c>
      <c r="BY30" s="12">
        <f>($M$49*$I$54+$M$50*$I$55+$M$51*$I$56)*($A$2*(Users!CU47 + Users!CU59)*BY$22 + $A$3*Users!CU71*BY$23)/60</f>
        <v>422292.64475425321</v>
      </c>
      <c r="BZ30" s="12">
        <f>($M$49*$I$54+$M$50*$I$55+$M$51*$I$56)*($A$2*(Users!CV47 + Users!CV59)*BZ$22 + $A$3*Users!CV71*BZ$23)/60</f>
        <v>431566.8280570432</v>
      </c>
    </row>
    <row r="31" spans="1:81" s="12" customFormat="1">
      <c r="F31" s="17"/>
      <c r="G31" s="17"/>
      <c r="H31" s="17"/>
      <c r="I31" s="17"/>
      <c r="J31" s="17"/>
      <c r="K31" s="17"/>
      <c r="P31" s="12" t="s">
        <v>233</v>
      </c>
      <c r="R31" s="12">
        <f>($M$49*$I$54+$M$50*$I$55+$M$51*$I$56)*($A$2*(Users!AN48 + Users!AN60)*R$22 + $A$3*Users!AN72*R$23)/60</f>
        <v>320578.2301113081</v>
      </c>
      <c r="S31" s="12">
        <f>($M$49*$I$54+$M$50*$I$55+$M$51*$I$56)*($A$2*(Users!AO48 + Users!AO60)*S$22 + $A$3*Users!AO72*S$23)/60</f>
        <v>330455.60191602481</v>
      </c>
      <c r="T31" s="12">
        <f>($M$49*$I$54+$M$50*$I$55+$M$51*$I$56)*($A$2*(Users!AP48 + Users!AP60)*T$22 + $A$3*Users!AP72*T$23)/60</f>
        <v>334006.37267293886</v>
      </c>
      <c r="U31" s="12">
        <f>($M$49*$I$54+$M$50*$I$55+$M$51*$I$56)*($A$2*(Users!AQ48 + Users!AQ60)*U$22 + $A$3*Users!AQ72*U$23)/60</f>
        <v>343479.96765534073</v>
      </c>
      <c r="V31" s="12">
        <f>($M$49*$I$54+$M$50*$I$55+$M$51*$I$56)*($A$2*(Users!AR48 + Users!AR60)*V$22 + $A$3*Users!AR72*V$23)/60</f>
        <v>358236.39051655662</v>
      </c>
      <c r="W31" s="12">
        <f>($M$49*$I$54+$M$50*$I$55+$M$51*$I$56)*($A$2*(Users!AS48 + Users!AS60)*W$22 + $A$3*Users!AS72*W$23)/60</f>
        <v>370038.5191673676</v>
      </c>
      <c r="X31" s="12">
        <f>($M$49*$I$54+$M$50*$I$55+$M$51*$I$56)*($A$2*(Users!AT48 + Users!AT60)*X$22 + $A$3*Users!AT72*X$23)/60</f>
        <v>384426.20876276627</v>
      </c>
      <c r="Y31" s="12">
        <f>($M$49*$I$54+$M$50*$I$55+$M$51*$I$56)*($A$2*(Users!AU48 + Users!AU60)*Y$22 + $A$3*Users!AU72*Y$23)/60</f>
        <v>399512.7541418394</v>
      </c>
      <c r="Z31" s="12">
        <f>($M$49*$I$54+$M$50*$I$55+$M$51*$I$56)*($A$2*(Users!AV48 + Users!AV60)*Z$22 + $A$3*Users!AV72*Z$23)/60</f>
        <v>415250.6288890682</v>
      </c>
      <c r="AA31" s="12">
        <f>($M$49*$I$54+$M$50*$I$55+$M$51*$I$56)*($A$2*(Users!AW48 + Users!AW60)*AA$22 + $A$3*Users!AW72*AA$23)/60</f>
        <v>431863.28560793679</v>
      </c>
      <c r="AB31" s="12">
        <f>($M$49*$I$54+$M$50*$I$55+$M$51*$I$56)*($A$2*(Users!AX48 + Users!AX60)*AB$22 + $A$3*Users!AX72*AB$23)/60</f>
        <v>449295.88444838795</v>
      </c>
      <c r="AC31" s="12">
        <f>($M$49*$I$54+$M$50*$I$55+$M$51*$I$56)*($A$2*(Users!AY48 + Users!AY60)*AC$22 + $A$3*Users!AY72*AC$23)/60</f>
        <v>467601.78443322144</v>
      </c>
      <c r="AD31" s="12">
        <f>($M$49*$I$54+$M$50*$I$55+$M$51*$I$56)*($A$2*(Users!AZ48 + Users!AZ60)*AD$22 + $A$3*Users!AZ72*AD$23)/60</f>
        <v>486835.98528146191</v>
      </c>
      <c r="AE31" s="12">
        <f>($M$49*$I$54+$M$50*$I$55+$M$51*$I$56)*($A$2*(Users!BA48 + Users!BA60)*AE$22 + $A$3*Users!BA72*AE$23)/60</f>
        <v>506932.91866883665</v>
      </c>
      <c r="AF31" s="12">
        <f>($M$49*$I$54+$M$50*$I$55+$M$51*$I$56)*($A$2*(Users!BB48 + Users!BB60)*AF$22 + $A$3*Users!BB72*AF$23)/60</f>
        <v>527939.87936370564</v>
      </c>
      <c r="AG31" s="12">
        <f>($M$49*$I$54+$M$50*$I$55+$M$51*$I$56)*($A$2*(Users!BC48 + Users!BC60)*AG$22 + $A$3*Users!BC72*AG$23)/60</f>
        <v>549905.94674577075</v>
      </c>
      <c r="AH31" s="12">
        <f>($M$49*$I$54+$M$50*$I$55+$M$51*$I$56)*($A$2*(Users!BD48 + Users!BD60)*AH$22 + $A$3*Users!BD72*AH$23)/60</f>
        <v>572882.66873928427</v>
      </c>
      <c r="AI31" s="12">
        <f>($M$49*$I$54+$M$50*$I$55+$M$51*$I$56)*($A$2*(Users!BE48 + Users!BE60)*AI$22 + $A$3*Users!BE72*AI$23)/60</f>
        <v>596922.45224710414</v>
      </c>
      <c r="AJ31" s="12">
        <f>($M$49*$I$54+$M$50*$I$55+$M$51*$I$56)*($A$2*(Users!BF48 + Users!BF60)*AJ$22 + $A$3*Users!BF72*AJ$23)/60</f>
        <v>622077.66896580602</v>
      </c>
      <c r="AK31" s="12">
        <f>($M$49*$I$54+$M$50*$I$55+$M$51*$I$56)*($A$2*(Users!BG48 + Users!BG60)*AK$22 + $A$3*Users!BG72*AK$23)/60</f>
        <v>648403.43144935544</v>
      </c>
      <c r="AL31" s="12">
        <f>($M$49*$I$54+$M$50*$I$55+$M$51*$I$56)*($A$2*(Users!BH48 + Users!BH60)*AL$22 + $A$3*Users!BH72*AL$23)/60</f>
        <v>661403.94957097515</v>
      </c>
      <c r="AM31" s="12">
        <f>($M$49*$I$54+$M$50*$I$55+$M$51*$I$56)*($A$2*(Users!BI48 + Users!BI60)*AM$22 + $A$3*Users!BI72*AM$23)/60</f>
        <v>674772.15472652728</v>
      </c>
      <c r="AN31" s="12">
        <f>($M$49*$I$54+$M$50*$I$55+$M$51*$I$56)*($A$2*(Users!BJ48 + Users!BJ60)*AN$22 + $A$3*Users!BJ72*AN$23)/60</f>
        <v>688513.61662753089</v>
      </c>
      <c r="AO31" s="12">
        <f>($M$49*$I$54+$M$50*$I$55+$M$51*$I$56)*($A$2*(Users!BK48 + Users!BK60)*AO$22 + $A$3*Users!BK72*AO$23)/60</f>
        <v>702631.92271659698</v>
      </c>
      <c r="AP31" s="12">
        <f>($M$49*$I$54+$M$50*$I$55+$M$51*$I$56)*($A$2*(Users!BL48 + Users!BL60)*AP$22 + $A$3*Users!BL72*AP$23)/60</f>
        <v>717127.53742390615</v>
      </c>
      <c r="AQ31" s="12">
        <f>($M$49*$I$54+$M$50*$I$55+$M$51*$I$56)*($A$2*(Users!BM48 + Users!BM60)*AQ$22 + $A$3*Users!BM72*AQ$23)/60</f>
        <v>732000.07295886392</v>
      </c>
      <c r="AR31" s="12">
        <f>($M$49*$I$54+$M$50*$I$55+$M$51*$I$56)*($A$2*(Users!BN48 + Users!BN60)*AR$22 + $A$3*Users!BN72*AR$23)/60</f>
        <v>747248.63160801574</v>
      </c>
      <c r="AS31" s="12">
        <f>($M$49*$I$54+$M$50*$I$55+$M$51*$I$56)*($A$2*(Users!BO48 + Users!BO60)*AS$22 + $A$3*Users!BO72*AS$23)/60</f>
        <v>762871.70072529279</v>
      </c>
      <c r="AT31" s="12">
        <f>($M$49*$I$54+$M$50*$I$55+$M$51*$I$56)*($A$2*(Users!BP48 + Users!BP60)*AT$22 + $A$3*Users!BP72*AT$23)/60</f>
        <v>778920.36401480401</v>
      </c>
      <c r="AU31" s="12">
        <f>($M$49*$I$54+$M$50*$I$55+$M$51*$I$56)*($A$2*(Users!BQ48 + Users!BQ60)*AU$22 + $A$3*Users!BQ72*AU$23)/60</f>
        <v>795306.64579656359</v>
      </c>
      <c r="AV31" s="12">
        <f>($M$49*$I$54+$M$50*$I$55+$M$51*$I$56)*($A$2*(Users!BR48 + Users!BR60)*AV$22 + $A$3*Users!BR72*AV$23)/60</f>
        <v>812037.64860891632</v>
      </c>
      <c r="AW31" s="12">
        <f>($M$49*$I$54+$M$50*$I$55+$M$51*$I$56)*($A$2*(Users!BS48 + Users!BS60)*AW$22 + $A$3*Users!BS72*AW$23)/60</f>
        <v>829120.62440752005</v>
      </c>
      <c r="AX31" s="12">
        <f>($M$49*$I$54+$M$50*$I$55+$M$51*$I$56)*($A$2*(Users!BT48 + Users!BT60)*AX$22 + $A$3*Users!BT72*AX$23)/60</f>
        <v>846712.82140818157</v>
      </c>
      <c r="AY31" s="12">
        <f>($M$49*$I$54+$M$50*$I$55+$M$51*$I$56)*($A$2*(Users!BU48 + Users!BU60)*AY$22 + $A$3*Users!BU72*AY$23)/60</f>
        <v>864678.28785384342</v>
      </c>
      <c r="AZ31" s="12">
        <f>($M$49*$I$54+$M$50*$I$55+$M$51*$I$56)*($A$2*(Users!BV48 + Users!BV60)*AZ$22 + $A$3*Users!BV72*AZ$23)/60</f>
        <v>883024.94373758568</v>
      </c>
      <c r="BA31" s="12">
        <f>($M$49*$I$54+$M$50*$I$55+$M$51*$I$56)*($A$2*(Users!BW48 + Users!BW60)*BA$22 + $A$3*Users!BW72*BA$23)/60</f>
        <v>901760.87709810282</v>
      </c>
      <c r="BB31" s="12">
        <f>($M$49*$I$54+$M$50*$I$55+$M$51*$I$56)*($A$2*(Users!BX48 + Users!BX60)*BB$22 + $A$3*Users!BX72*BB$23)/60</f>
        <v>920894.34758526494</v>
      </c>
      <c r="BC31" s="12">
        <f>($M$49*$I$54+$M$50*$I$55+$M$51*$I$56)*($A$2*(Users!BY48 + Users!BY60)*BC$22 + $A$3*Users!BY72*BC$23)/60</f>
        <v>940697.81994138774</v>
      </c>
      <c r="BD31" s="12">
        <f>($M$49*$I$54+$M$50*$I$55+$M$51*$I$56)*($A$2*(Users!BZ48 + Users!BZ60)*BD$22 + $A$3*Users!BZ72*BD$23)/60</f>
        <v>960927.15821621066</v>
      </c>
      <c r="BE31" s="12">
        <f>($M$49*$I$54+$M$50*$I$55+$M$51*$I$56)*($A$2*(Users!CA48 + Users!CA60)*BE$22 + $A$3*Users!CA72*BE$23)/60</f>
        <v>981591.52048955881</v>
      </c>
      <c r="BF31" s="12">
        <f>($M$49*$I$54+$M$50*$I$55+$M$51*$I$56)*($A$2*(Users!CB48 + Users!CB60)*BF$22 + $A$3*Users!CB72*BF$23)/60</f>
        <v>1002700.2617821851</v>
      </c>
      <c r="BG31" s="12">
        <f>($M$49*$I$54+$M$50*$I$55+$M$51*$I$56)*($A$2*(Users!CC48 + Users!CC60)*BG$22 + $A$3*Users!CC72*BG$23)/60</f>
        <v>1024262.9382908951</v>
      </c>
      <c r="BH31" s="12">
        <f>($M$49*$I$54+$M$50*$I$55+$M$51*$I$56)*($A$2*(Users!CD48 + Users!CD60)*BH$22 + $A$3*Users!CD72*BH$23)/60</f>
        <v>1046654.899302143</v>
      </c>
      <c r="BI31" s="12">
        <f>($M$49*$I$54+$M$50*$I$55+$M$51*$I$56)*($A$2*(Users!CE48 + Users!CE60)*BI$22 + $A$3*Users!CE72*BI$23)/60</f>
        <v>1069536.3829732328</v>
      </c>
      <c r="BJ31" s="12">
        <f>($M$49*$I$54+$M$50*$I$55+$M$51*$I$56)*($A$2*(Users!CF48 + Users!CF60)*BJ$22 + $A$3*Users!CF72*BJ$23)/60</f>
        <v>1092918.0910213746</v>
      </c>
      <c r="BK31" s="12">
        <f>($M$49*$I$54+$M$50*$I$55+$M$51*$I$56)*($A$2*(Users!CG48 + Users!CG60)*BK$22 + $A$3*Users!CG72*BK$23)/60</f>
        <v>1116810.9591197511</v>
      </c>
      <c r="BL31" s="12">
        <f>($M$49*$I$54+$M$50*$I$55+$M$51*$I$56)*($A$2*(Users!CH48 + Users!CH60)*BL$22 + $A$3*Users!CH72*BL$23)/60</f>
        <v>1141226.1620121559</v>
      </c>
      <c r="BM31" s="12">
        <f>($M$49*$I$54+$M$50*$I$55+$M$51*$I$56)*($A$2*(Users!CI48 + Users!CI60)*BM$22 + $A$3*Users!CI72*BM$23)/60</f>
        <v>1166473.4069704751</v>
      </c>
      <c r="BN31" s="12">
        <f>($M$49*$I$54+$M$50*$I$55+$M$51*$I$56)*($A$2*(Users!CJ48 + Users!CJ60)*BN$22 + $A$3*Users!CJ72*BN$23)/60</f>
        <v>1192279.1944852145</v>
      </c>
      <c r="BO31" s="12">
        <f>($M$49*$I$54+$M$50*$I$55+$M$51*$I$56)*($A$2*(Users!CK48 + Users!CK60)*BO$22 + $A$3*Users!CK72*BO$23)/60</f>
        <v>1218655.8811437108</v>
      </c>
      <c r="BP31" s="12">
        <f>($M$49*$I$54+$M$50*$I$55+$M$51*$I$56)*($A$2*(Users!CL48 + Users!CL60)*BP$22 + $A$3*Users!CL72*BP$23)/60</f>
        <v>1245616.0968969865</v>
      </c>
      <c r="BQ31" s="12">
        <f>($M$49*$I$54+$M$50*$I$55+$M$51*$I$56)*($A$2*(Users!CM48 + Users!CM60)*BQ$22 + $A$3*Users!CM72*BQ$23)/60</f>
        <v>1273172.7511073456</v>
      </c>
      <c r="BR31" s="12">
        <f>($M$49*$I$54+$M$50*$I$55+$M$51*$I$56)*($A$2*(Users!CN48 + Users!CN60)*BR$22 + $A$3*Users!CN72*BR$23)/60</f>
        <v>1301413.3627187363</v>
      </c>
      <c r="BS31" s="12">
        <f>($M$49*$I$54+$M$50*$I$55+$M$51*$I$56)*($A$2*(Users!CO48 + Users!CO60)*BS$22 + $A$3*Users!CO72*BS$23)/60</f>
        <v>1330227.8058259662</v>
      </c>
      <c r="BT31" s="12">
        <f>($M$49*$I$54+$M$50*$I$55+$M$51*$I$56)*($A$2*(Users!CP48 + Users!CP60)*BT$22 + $A$3*Users!CP72*BT$23)/60</f>
        <v>1359680.2261934294</v>
      </c>
      <c r="BU31" s="12">
        <f>($M$49*$I$54+$M$50*$I$55+$M$51*$I$56)*($A$2*(Users!CQ48 + Users!CQ60)*BU$22 + $A$3*Users!CQ72*BU$23)/60</f>
        <v>1389784.749202037</v>
      </c>
      <c r="BV31" s="12">
        <f>($M$49*$I$54+$M$50*$I$55+$M$51*$I$56)*($A$2*(Users!CR48 + Users!CR60)*BV$22 + $A$3*Users!CR72*BV$23)/60</f>
        <v>1420555.8129811245</v>
      </c>
      <c r="BW31" s="12">
        <f>($M$49*$I$54+$M$50*$I$55+$M$51*$I$56)*($A$2*(Users!CS48 + Users!CS60)*BW$22 + $A$3*Users!CS72*BW$23)/60</f>
        <v>1451753.3608548187</v>
      </c>
      <c r="BX31" s="12">
        <f>($M$49*$I$54+$M$50*$I$55+$M$51*$I$56)*($A$2*(Users!CT48 + Users!CT60)*BX$22 + $A$3*Users!CT72*BX$23)/60</f>
        <v>1483636.053926219</v>
      </c>
      <c r="BY31" s="12">
        <f>($M$49*$I$54+$M$50*$I$55+$M$51*$I$56)*($A$2*(Users!CU48 + Users!CU60)*BY$22 + $A$3*Users!CU72*BY$23)/60</f>
        <v>1516218.9390170625</v>
      </c>
      <c r="BZ31" s="12">
        <f>($M$49*$I$54+$M$50*$I$55+$M$51*$I$56)*($A$2*(Users!CV48 + Users!CV60)*BZ$22 + $A$3*Users!CV72*BZ$23)/60</f>
        <v>1549517.3934000148</v>
      </c>
    </row>
    <row r="32" spans="1:81">
      <c r="N32" s="12"/>
      <c r="O32" s="12"/>
      <c r="P32" s="12" t="s">
        <v>234</v>
      </c>
      <c r="R32" s="12">
        <f>($M$49*$J$54+$M$50*$J$55+$M$51*$J$56)*($A$2*(Users!AN49 +Users!AN61)*R$22 + $A$3*Users!AN73*R$23)/60</f>
        <v>544831.01215789036</v>
      </c>
      <c r="S32" s="12">
        <f>($M$49*$J$54+$M$50*$J$55+$M$51*$J$56)*($A$2*(Users!AO49 +Users!AO61)*S$22 + $A$3*Users!AO73*S$23)/60</f>
        <v>561617.86158292822</v>
      </c>
      <c r="T32" s="12">
        <f>($M$49*$J$54+$M$50*$J$55+$M$51*$J$56)*($A$2*(Users!AP49 +Users!AP61)*T$22 + $A$3*Users!AP73*T$23)/60</f>
        <v>567652.48852799076</v>
      </c>
      <c r="U32" s="12">
        <f>($M$49*$J$54+$M$50*$J$55+$M$51*$J$56)*($A$2*(Users!AQ49 +Users!AQ61)*U$22 + $A$3*Users!AQ73*U$23)/60</f>
        <v>583753.10877673258</v>
      </c>
      <c r="V32" s="12">
        <f>($M$49*$J$54+$M$50*$J$55+$M$51*$J$56)*($A$2*(Users!AR49 +Users!AR61)*V$22 + $A$3*Users!AR73*V$23)/60</f>
        <v>608832.03194788657</v>
      </c>
      <c r="W32" s="12">
        <f>($M$49*$J$54+$M$50*$J$55+$M$51*$J$56)*($A$2*(Users!AS49 +Users!AS61)*W$22 + $A$3*Users!AS73*W$23)/60</f>
        <v>628890.05552673747</v>
      </c>
      <c r="X32" s="12">
        <f>($M$49*$J$54+$M$50*$J$55+$M$51*$J$56)*($A$2*(Users!AT49 +Users!AT61)*X$22 + $A$3*Users!AT73*X$23)/60</f>
        <v>653342.3069542686</v>
      </c>
      <c r="Y32" s="12">
        <f>($M$49*$J$54+$M$50*$J$55+$M$51*$J$56)*($A$2*(Users!AU49 +Users!AU61)*Y$22 + $A$3*Users!AU73*Y$23)/60</f>
        <v>678982.28190201358</v>
      </c>
      <c r="Z32" s="12">
        <f>($M$49*$J$54+$M$50*$J$55+$M$51*$J$56)*($A$2*(Users!AV49 +Users!AV61)*Z$22 + $A$3*Users!AV73*Z$23)/60</f>
        <v>705729.20799481019</v>
      </c>
      <c r="AA32" s="12">
        <f>($M$49*$J$54+$M$50*$J$55+$M$51*$J$56)*($A$2*(Users!AW49 +Users!AW61)*AA$22 + $A$3*Users!AW73*AA$23)/60</f>
        <v>733962.84872465685</v>
      </c>
      <c r="AB32" s="12">
        <f>($M$49*$J$54+$M$50*$J$55+$M$51*$J$56)*($A$2*(Users!AX49 +Users!AX61)*AB$22 + $A$3*Users!AX73*AB$23)/60</f>
        <v>763590.00234481297</v>
      </c>
      <c r="AC32" s="12">
        <f>($M$49*$J$54+$M$50*$J$55+$M$51*$J$56)*($A$2*(Users!AY49 +Users!AY61)*AC$22 + $A$3*Users!AY73*AC$23)/60</f>
        <v>794701.35389770858</v>
      </c>
      <c r="AD32" s="12">
        <f>($M$49*$J$54+$M$50*$J$55+$M$51*$J$56)*($A$2*(Users!AZ49 +Users!AZ61)*AD$22 + $A$3*Users!AZ73*AD$23)/60</f>
        <v>827390.37683153851</v>
      </c>
      <c r="AE32" s="12">
        <f>($M$49*$J$54+$M$50*$J$55+$M$51*$J$56)*($A$2*(Users!BA49 +Users!BA61)*AE$22 + $A$3*Users!BA73*AE$23)/60</f>
        <v>861545.63607952697</v>
      </c>
      <c r="AF32" s="12">
        <f>($M$49*$J$54+$M$50*$J$55+$M$51*$J$56)*($A$2*(Users!BB49 +Users!BB61)*AF$22 + $A$3*Users!BB73*AF$23)/60</f>
        <v>897247.51032648538</v>
      </c>
      <c r="AG32" s="12">
        <f>($M$49*$J$54+$M$50*$J$55+$M$51*$J$56)*($A$2*(Users!BC49 +Users!BC61)*AG$22 + $A$3*Users!BC73*AG$23)/60</f>
        <v>934579.41125046159</v>
      </c>
      <c r="AH32" s="12">
        <f>($M$49*$J$54+$M$50*$J$55+$M$51*$J$56)*($A$2*(Users!BD49 +Users!BD61)*AH$22 + $A$3*Users!BD73*AH$23)/60</f>
        <v>973628.9458849557</v>
      </c>
      <c r="AI32" s="12">
        <f>($M$49*$J$54+$M$50*$J$55+$M$51*$J$56)*($A$2*(Users!BE49 +Users!BE61)*AI$22 + $A$3*Users!BE73*AI$23)/60</f>
        <v>1014485.1811198767</v>
      </c>
      <c r="AJ32" s="12">
        <f>($M$49*$J$54+$M$50*$J$55+$M$51*$J$56)*($A$2*(Users!BF49 +Users!BF61)*AJ$22 + $A$3*Users!BF73*AJ$23)/60</f>
        <v>1057237.1240111412</v>
      </c>
      <c r="AK32" s="12">
        <f>($M$49*$J$54+$M$50*$J$55+$M$51*$J$56)*($A$2*(Users!BG49 +Users!BG61)*AK$22 + $A$3*Users!BG73*AK$23)/60</f>
        <v>1101978.4397728522</v>
      </c>
      <c r="AL32" s="12">
        <f>($M$49*$J$54+$M$50*$J$55+$M$51*$J$56)*($A$2*(Users!BH49 +Users!BH61)*AL$22 + $A$3*Users!BH73*AL$23)/60</f>
        <v>1124073.1573221995</v>
      </c>
      <c r="AM32" s="12">
        <f>($M$49*$J$54+$M$50*$J$55+$M$51*$J$56)*($A$2*(Users!BI49 +Users!BI61)*AM$22 + $A$3*Users!BI73*AM$23)/60</f>
        <v>1146792.7685169613</v>
      </c>
      <c r="AN32" s="12">
        <f>($M$49*$J$54+$M$50*$J$55+$M$51*$J$56)*($A$2*(Users!BJ49 +Users!BJ61)*AN$22 + $A$3*Users!BJ73*AN$23)/60</f>
        <v>1170146.7392262432</v>
      </c>
      <c r="AO32" s="12">
        <f>($M$49*$J$54+$M$50*$J$55+$M$51*$J$56)*($A$2*(Users!BK49 +Users!BK61)*AO$22 + $A$3*Users!BK73*AO$23)/60</f>
        <v>1194141.1664017562</v>
      </c>
      <c r="AP32" s="12">
        <f>($M$49*$J$54+$M$50*$J$55+$M$51*$J$56)*($A$2*(Users!BL49 +Users!BL61)*AP$22 + $A$3*Users!BL73*AP$23)/60</f>
        <v>1218776.8393546329</v>
      </c>
      <c r="AQ32" s="12">
        <f>($M$49*$J$54+$M$50*$J$55+$M$51*$J$56)*($A$2*(Users!BM49 +Users!BM61)*AQ$22 + $A$3*Users!BM73*AQ$23)/60</f>
        <v>1244053.0990247042</v>
      </c>
      <c r="AR32" s="12">
        <f>($M$49*$J$54+$M$50*$J$55+$M$51*$J$56)*($A$2*(Users!BN49 +Users!BN61)*AR$22 + $A$3*Users!BN73*AR$23)/60</f>
        <v>1269968.4197246837</v>
      </c>
      <c r="AS32" s="12">
        <f>($M$49*$J$54+$M$50*$J$55+$M$51*$J$56)*($A$2*(Users!BO49 +Users!BO61)*AS$22 + $A$3*Users!BO73*AS$23)/60</f>
        <v>1296520.230673366</v>
      </c>
      <c r="AT32" s="12">
        <f>($M$49*$J$54+$M$50*$J$55+$M$51*$J$56)*($A$2*(Users!BP49 +Users!BP61)*AT$22 + $A$3*Users!BP73*AT$23)/60</f>
        <v>1323795.3499500849</v>
      </c>
      <c r="AU32" s="12">
        <f>($M$49*$J$54+$M$50*$J$55+$M$51*$J$56)*($A$2*(Users!BQ49 +Users!BQ61)*AU$22 + $A$3*Users!BQ73*AU$23)/60</f>
        <v>1351644.2606061869</v>
      </c>
      <c r="AV32" s="12">
        <f>($M$49*$J$54+$M$50*$J$55+$M$51*$J$56)*($A$2*(Users!BR49 +Users!BR61)*AV$22 + $A$3*Users!BR73*AV$23)/60</f>
        <v>1380079.033589697</v>
      </c>
      <c r="AW32" s="12">
        <f>($M$49*$J$54+$M$50*$J$55+$M$51*$J$56)*($A$2*(Users!BS49 +Users!BS61)*AW$22 + $A$3*Users!BS73*AW$23)/60</f>
        <v>1409111.9937872447</v>
      </c>
      <c r="AX32" s="12">
        <f>($M$49*$J$54+$M$50*$J$55+$M$51*$J$56)*($A$2*(Users!BT49 +Users!BT61)*AX$22 + $A$3*Users!BT73*AX$23)/60</f>
        <v>1439010.3886178092</v>
      </c>
      <c r="AY32" s="12">
        <f>($M$49*$J$54+$M$50*$J$55+$M$51*$J$56)*($A$2*(Users!BU49 +Users!BU61)*AY$22 + $A$3*Users!BU73*AY$23)/60</f>
        <v>1469543.1645461058</v>
      </c>
      <c r="AZ32" s="12">
        <f>($M$49*$J$54+$M$50*$J$55+$M$51*$J$56)*($A$2*(Users!BV49 +Users!BV61)*AZ$22 + $A$3*Users!BV73*AZ$23)/60</f>
        <v>1500723.7818056783</v>
      </c>
      <c r="BA32" s="12">
        <f>($M$49*$J$54+$M$50*$J$55+$M$51*$J$56)*($A$2*(Users!BW49 +Users!BW61)*BA$22 + $A$3*Users!BW73*BA$23)/60</f>
        <v>1532565.9862279466</v>
      </c>
      <c r="BB32" s="12">
        <f>($M$49*$J$54+$M$50*$J$55+$M$51*$J$56)*($A$2*(Users!BX49 +Users!BX61)*BB$22 + $A$3*Users!BX73*BB$23)/60</f>
        <v>1565083.8153019738</v>
      </c>
      <c r="BC32" s="12">
        <f>($M$49*$J$54+$M$50*$J$55+$M$51*$J$56)*($A$2*(Users!BY49 +Users!BY61)*BC$22 + $A$3*Users!BY73*BC$23)/60</f>
        <v>1598740.329920202</v>
      </c>
      <c r="BD32" s="12">
        <f>($M$49*$J$54+$M$50*$J$55+$M$51*$J$56)*($A$2*(Users!BZ49 +Users!BZ61)*BD$22 + $A$3*Users!BZ73*BD$23)/60</f>
        <v>1633120.6147066308</v>
      </c>
      <c r="BE32" s="12">
        <f>($M$49*$J$54+$M$50*$J$55+$M$51*$J$56)*($A$2*(Users!CA49 +Users!CA61)*BE$22 + $A$3*Users!CA73*BE$23)/60</f>
        <v>1668240.234055321</v>
      </c>
      <c r="BF32" s="12">
        <f>($M$49*$J$54+$M$50*$J$55+$M$51*$J$56)*($A$2*(Users!CB49 +Users!CB61)*BF$22 + $A$3*Users!CB73*BF$23)/60</f>
        <v>1704115.0870665417</v>
      </c>
      <c r="BG32" s="12">
        <f>($M$49*$J$54+$M$50*$J$55+$M$51*$J$56)*($A$2*(Users!CC49 +Users!CC61)*BG$22 + $A$3*Users!CC73*BG$23)/60</f>
        <v>1740761.4147444828</v>
      </c>
      <c r="BH32" s="12">
        <f>($M$49*$J$54+$M$50*$J$55+$M$51*$J$56)*($A$2*(Users!CD49 +Users!CD61)*BH$22 + $A$3*Users!CD73*BH$23)/60</f>
        <v>1778817.132931343</v>
      </c>
      <c r="BI32" s="12">
        <f>($M$49*$J$54+$M$50*$J$55+$M$51*$J$56)*($A$2*(Users!CE49 +Users!CE61)*BI$22 + $A$3*Users!CE73*BI$23)/60</f>
        <v>1817704.8075680952</v>
      </c>
      <c r="BJ32" s="12">
        <f>($M$49*$J$54+$M$50*$J$55+$M$51*$J$56)*($A$2*(Users!CF49 +Users!CF61)*BJ$22 + $A$3*Users!CF73*BJ$23)/60</f>
        <v>1857442.6265005472</v>
      </c>
      <c r="BK32" s="12">
        <f>($M$49*$J$54+$M$50*$J$55+$M$51*$J$56)*($A$2*(Users!CG49 +Users!CG61)*BK$22 + $A$3*Users!CG73*BK$23)/60</f>
        <v>1898049.1751887524</v>
      </c>
      <c r="BL32" s="12">
        <f>($M$49*$J$54+$M$50*$J$55+$M$51*$J$56)*($A$2*(Users!CH49 +Users!CH61)*BL$22 + $A$3*Users!CH73*BL$23)/60</f>
        <v>1939543.4453994611</v>
      </c>
      <c r="BM32" s="12">
        <f>($M$49*$J$54+$M$50*$J$55+$M$51*$J$56)*($A$2*(Users!CI49 +Users!CI61)*BM$22 + $A$3*Users!CI73*BM$23)/60</f>
        <v>1982451.792669527</v>
      </c>
      <c r="BN32" s="12">
        <f>($M$49*$J$54+$M$50*$J$55+$M$51*$J$56)*($A$2*(Users!CJ49 +Users!CJ61)*BN$22 + $A$3*Users!CJ73*BN$23)/60</f>
        <v>2026309.3974928658</v>
      </c>
      <c r="BO32" s="12">
        <f>($M$49*$J$54+$M$50*$J$55+$M$51*$J$56)*($A$2*(Users!CK49 +Users!CK61)*BO$22 + $A$3*Users!CK73*BO$23)/60</f>
        <v>2071137.2602099641</v>
      </c>
      <c r="BP32" s="12">
        <f>($M$49*$J$54+$M$50*$J$55+$M$51*$J$56)*($A$2*(Users!CL49 +Users!CL61)*BP$22 + $A$3*Users!CL73*BP$23)/60</f>
        <v>2116956.8457499812</v>
      </c>
      <c r="BQ32" s="12">
        <f>($M$49*$J$54+$M$50*$J$55+$M$51*$J$56)*($A$2*(Users!CM49 +Users!CM61)*BQ$22 + $A$3*Users!CM73*BQ$23)/60</f>
        <v>2163790.0939087891</v>
      </c>
      <c r="BR32" s="12">
        <f>($M$49*$J$54+$M$50*$J$55+$M$51*$J$56)*($A$2*(Users!CN49 +Users!CN61)*BR$22 + $A$3*Users!CN73*BR$23)/60</f>
        <v>2211785.7454003138</v>
      </c>
      <c r="BS32" s="12">
        <f>($M$49*$J$54+$M$50*$J$55+$M$51*$J$56)*($A$2*(Users!CO49 +Users!CO61)*BS$22 + $A$3*Users!CO73*BS$23)/60</f>
        <v>2260756.6383939749</v>
      </c>
      <c r="BT32" s="12">
        <f>($M$49*$J$54+$M$50*$J$55+$M$51*$J$56)*($A$2*(Users!CP49 +Users!CP61)*BT$22 + $A$3*Users!CP73*BT$23)/60</f>
        <v>2310811.7902791565</v>
      </c>
      <c r="BU32" s="12">
        <f>($M$49*$J$54+$M$50*$J$55+$M$51*$J$56)*($A$2*(Users!CQ49 +Users!CQ61)*BU$22 + $A$3*Users!CQ73*BU$23)/60</f>
        <v>2361975.2075068811</v>
      </c>
      <c r="BV32" s="12">
        <f>($M$49*$J$54+$M$50*$J$55+$M$51*$J$56)*($A$2*(Users!CR49 +Users!CR61)*BV$22 + $A$3*Users!CR73*BV$23)/60</f>
        <v>2414271.4280522196</v>
      </c>
      <c r="BW32" s="12">
        <f>($M$49*$J$54+$M$50*$J$55+$M$51*$J$56)*($A$2*(Users!CS49 +Users!CS61)*BW$22 + $A$3*Users!CS73*BW$23)/60</f>
        <v>2467292.469371737</v>
      </c>
      <c r="BX32" s="12">
        <f>($M$49*$J$54+$M$50*$J$55+$M$51*$J$56)*($A$2*(Users!CT49 +Users!CT61)*BX$22 + $A$3*Users!CT73*BX$23)/60</f>
        <v>2521477.932715205</v>
      </c>
      <c r="BY32" s="12">
        <f>($M$49*$J$54+$M$50*$J$55+$M$51*$J$56)*($A$2*(Users!CU49 +Users!CU61)*BY$22 + $A$3*Users!CU73*BY$23)/60</f>
        <v>2576853.3905462152</v>
      </c>
      <c r="BZ32" s="12">
        <f>($M$49*$J$54+$M$50*$J$55+$M$51*$J$56)*($A$2*(Users!CV49 +Users!CV61)*BZ$22 + $A$3*Users!CV73*BZ$23)/60</f>
        <v>2633444.9769382747</v>
      </c>
      <c r="CA32" s="12"/>
      <c r="CB32" s="12"/>
      <c r="CC32" s="12"/>
    </row>
    <row r="33" spans="1:81">
      <c r="N33" s="12" t="s">
        <v>265</v>
      </c>
      <c r="O33" s="12"/>
      <c r="P33" s="12" t="s">
        <v>231</v>
      </c>
      <c r="R33" s="12">
        <f>($M$49*$J$54+$M$50*$J$55+$M$51*$J$56)*($A$2*(Users!AN50 + Users!AN62)*R$22 + $A$3*Users!AN74*R$23)/60</f>
        <v>402850.86040992697</v>
      </c>
      <c r="S33" s="12">
        <f>($M$49*$J$54+$M$50*$J$55+$M$51*$J$56)*($A$2*(Users!AO50 + Users!AO62)*S$22 + $A$3*Users!AO74*S$23)/60</f>
        <v>415263.14345465309</v>
      </c>
      <c r="T33" s="12">
        <f>($M$49*$J$54+$M$50*$J$55+$M$51*$J$56)*($A$2*(Users!AP50 + Users!AP62)*T$22 + $A$3*Users!AP74*T$23)/60</f>
        <v>419725.17774202372</v>
      </c>
      <c r="U33" s="12">
        <f>($M$49*$J$54+$M$50*$J$55+$M$51*$J$56)*($A$2*(Users!AQ50 + Users!AQ62)*U$22 + $A$3*Users!AQ74*U$23)/60</f>
        <v>431630.05939450098</v>
      </c>
      <c r="V33" s="12">
        <f>($M$49*$J$54+$M$50*$J$55+$M$51*$J$56)*($A$2*(Users!AR50 + Users!AR62)*V$22 + $A$3*Users!AR74*V$23)/60</f>
        <v>450173.54453430424</v>
      </c>
      <c r="W33" s="12">
        <f>($M$49*$J$54+$M$50*$J$55+$M$51*$J$56)*($A$2*(Users!AS50 + Users!AS62)*W$22 + $A$3*Users!AS74*W$23)/60</f>
        <v>465004.55061976757</v>
      </c>
      <c r="X33" s="12">
        <f>($M$49*$J$54+$M$50*$J$55+$M$51*$J$56)*($A$2*(Users!AT50 + Users!AT62)*X$22 + $A$3*Users!AT74*X$23)/60</f>
        <v>483084.67144021392</v>
      </c>
      <c r="Y33" s="12">
        <f>($M$49*$J$54+$M$50*$J$55+$M$51*$J$56)*($A$2*(Users!AU50 + Users!AU62)*Y$22 + $A$3*Users!AU74*Y$23)/60</f>
        <v>502043.00115730928</v>
      </c>
      <c r="Z33" s="12">
        <f>($M$49*$J$54+$M$50*$J$55+$M$51*$J$56)*($A$2*(Users!AV50 + Users!AV62)*Z$22 + $A$3*Users!AV74*Z$23)/60</f>
        <v>521819.81626026687</v>
      </c>
      <c r="AA33" s="12">
        <f>($M$49*$J$54+$M$50*$J$55+$M$51*$J$56)*($A$2*(Users!AW50 + Users!AW62)*AA$22 + $A$3*Users!AW74*AA$23)/60</f>
        <v>542695.91583373852</v>
      </c>
      <c r="AB33" s="12">
        <f>($M$49*$J$54+$M$50*$J$55+$M$51*$J$56)*($A$2*(Users!AX50 + Users!AX62)*AB$22 + $A$3*Users!AX74*AB$23)/60</f>
        <v>564602.38602548686</v>
      </c>
      <c r="AC33" s="12">
        <f>($M$49*$J$54+$M$50*$J$55+$M$51*$J$56)*($A$2*(Users!AY50 + Users!AY62)*AC$22 + $A$3*Users!AY74*AC$23)/60</f>
        <v>587606.27982360194</v>
      </c>
      <c r="AD33" s="12">
        <f>($M$49*$J$54+$M$50*$J$55+$M$51*$J$56)*($A$2*(Users!AZ50 + Users!AZ62)*AD$22 + $A$3*Users!AZ74*AD$23)/60</f>
        <v>611776.71197777789</v>
      </c>
      <c r="AE33" s="12">
        <f>($M$49*$J$54+$M$50*$J$55+$M$51*$J$56)*($A$2*(Users!BA50 + Users!BA62)*AE$22 + $A$3*Users!BA74*AE$23)/60</f>
        <v>637031.28682490275</v>
      </c>
      <c r="AF33" s="12">
        <f>($M$49*$J$54+$M$50*$J$55+$M$51*$J$56)*($A$2*(Users!BB50 + Users!BB62)*AF$22 + $A$3*Users!BB74*AF$23)/60</f>
        <v>663429.43677908741</v>
      </c>
      <c r="AG33" s="12">
        <f>($M$49*$J$54+$M$50*$J$55+$M$51*$J$56)*($A$2*(Users!BC50 + Users!BC62)*AG$22 + $A$3*Users!BC74*AG$23)/60</f>
        <v>691032.83686528436</v>
      </c>
      <c r="AH33" s="12">
        <f>($M$49*$J$54+$M$50*$J$55+$M$51*$J$56)*($A$2*(Users!BD50 + Users!BD62)*AH$22 + $A$3*Users!BD74*AH$23)/60</f>
        <v>719906.2641759062</v>
      </c>
      <c r="AI33" s="12">
        <f>($M$49*$J$54+$M$50*$J$55+$M$51*$J$56)*($A$2*(Users!BE50 + Users!BE62)*AI$22 + $A$3*Users!BE74*AI$23)/60</f>
        <v>750115.57522872207</v>
      </c>
      <c r="AJ33" s="12">
        <f>($M$49*$J$54+$M$50*$J$55+$M$51*$J$56)*($A$2*(Users!BF50 + Users!BF62)*AJ$22 + $A$3*Users!BF74*AJ$23)/60</f>
        <v>781726.5822999404</v>
      </c>
      <c r="AK33" s="12">
        <f>($M$49*$J$54+$M$50*$J$55+$M$51*$J$56)*($A$2*(Users!BG50 + Users!BG62)*AK$22 + $A$3*Users!BG74*AK$23)/60</f>
        <v>814808.54193195561</v>
      </c>
      <c r="AL33" s="12">
        <f>($M$49*$J$54+$M$50*$J$55+$M$51*$J$56)*($A$2*(Users!BH50 + Users!BH62)*AL$22 + $A$3*Users!BH74*AL$23)/60</f>
        <v>831145.49004365655</v>
      </c>
      <c r="AM33" s="12">
        <f>($M$49*$J$54+$M$50*$J$55+$M$51*$J$56)*($A$2*(Users!BI50 + Users!BI62)*AM$22 + $A$3*Users!BI74*AM$23)/60</f>
        <v>847944.48773972807</v>
      </c>
      <c r="AN33" s="12">
        <f>($M$49*$J$54+$M$50*$J$55+$M$51*$J$56)*($A$2*(Users!BJ50 + Users!BJ62)*AN$22 + $A$3*Users!BJ74*AN$23)/60</f>
        <v>865212.53413260856</v>
      </c>
      <c r="AO33" s="12">
        <f>($M$49*$J$54+$M$50*$J$55+$M$51*$J$56)*($A$2*(Users!BK50 + Users!BK62)*AO$22 + $A$3*Users!BK74*AO$23)/60</f>
        <v>882954.13733983855</v>
      </c>
      <c r="AP33" s="12">
        <f>($M$49*$J$54+$M$50*$J$55+$M$51*$J$56)*($A$2*(Users!BL50 + Users!BL62)*AP$22 + $A$3*Users!BL74*AP$23)/60</f>
        <v>901169.8809821402</v>
      </c>
      <c r="AQ33" s="12">
        <f>($M$49*$J$54+$M$50*$J$55+$M$51*$J$56)*($A$2*(Users!BM50 + Users!BM62)*AQ$22 + $A$3*Users!BM74*AQ$23)/60</f>
        <v>919859.2777470256</v>
      </c>
      <c r="AR33" s="12">
        <f>($M$49*$J$54+$M$50*$J$55+$M$51*$J$56)*($A$2*(Users!BN50 + Users!BN62)*AR$22 + $A$3*Users!BN74*AR$23)/60</f>
        <v>939021.19953344634</v>
      </c>
      <c r="AS33" s="12">
        <f>($M$49*$J$54+$M$50*$J$55+$M$51*$J$56)*($A$2*(Users!BO50 + Users!BO62)*AS$22 + $A$3*Users!BO74*AS$23)/60</f>
        <v>958653.74549252016</v>
      </c>
      <c r="AT33" s="12">
        <f>($M$49*$J$54+$M$50*$J$55+$M$51*$J$56)*($A$2*(Users!BP50 + Users!BP62)*AT$22 + $A$3*Users!BP74*AT$23)/60</f>
        <v>978821.10935987893</v>
      </c>
      <c r="AU33" s="12">
        <f>($M$49*$J$54+$M$50*$J$55+$M$51*$J$56)*($A$2*(Users!BQ50 + Users!BQ62)*AU$22 + $A$3*Users!BQ74*AU$23)/60</f>
        <v>999412.73753253976</v>
      </c>
      <c r="AV33" s="12">
        <f>($M$49*$J$54+$M$50*$J$55+$M$51*$J$56)*($A$2*(Users!BR50 + Users!BR62)*AV$22 + $A$3*Users!BR74*AV$23)/60</f>
        <v>1020437.5553317299</v>
      </c>
      <c r="AW33" s="12">
        <f>($M$49*$J$54+$M$50*$J$55+$M$51*$J$56)*($A$2*(Users!BS50 + Users!BS62)*AW$22 + $A$3*Users!BS74*AW$23)/60</f>
        <v>1041904.67584219</v>
      </c>
      <c r="AX33" s="12">
        <f>($M$49*$J$54+$M$50*$J$55+$M$51*$J$56)*($A$2*(Users!BT50 + Users!BT62)*AX$22 + $A$3*Users!BT74*AX$23)/60</f>
        <v>1064011.703183868</v>
      </c>
      <c r="AY33" s="12">
        <f>($M$49*$J$54+$M$50*$J$55+$M$51*$J$56)*($A$2*(Users!BU50 + Users!BU62)*AY$22 + $A$3*Users!BU74*AY$23)/60</f>
        <v>1086587.795181093</v>
      </c>
      <c r="AZ33" s="12">
        <f>($M$49*$J$54+$M$50*$J$55+$M$51*$J$56)*($A$2*(Users!BV50 + Users!BV62)*AZ$22 + $A$3*Users!BV74*AZ$23)/60</f>
        <v>1109642.9043999698</v>
      </c>
      <c r="BA33" s="12">
        <f>($M$49*$J$54+$M$50*$J$55+$M$51*$J$56)*($A$2*(Users!BW50 + Users!BW62)*BA$22 + $A$3*Users!BW74*BA$23)/60</f>
        <v>1133187.1945791459</v>
      </c>
      <c r="BB33" s="12">
        <f>($M$49*$J$54+$M$50*$J$55+$M$51*$J$56)*($A$2*(Users!BX50 + Users!BX62)*BB$22 + $A$3*Users!BX74*BB$23)/60</f>
        <v>1157231.0451104343</v>
      </c>
      <c r="BC33" s="12">
        <f>($M$49*$J$54+$M$50*$J$55+$M$51*$J$56)*($A$2*(Users!BY50 + Users!BY62)*BC$22 + $A$3*Users!BY74*BC$23)/60</f>
        <v>1182116.845605989</v>
      </c>
      <c r="BD33" s="12">
        <f>($M$49*$J$54+$M$50*$J$55+$M$51*$J$56)*($A$2*(Users!BZ50 + Users!BZ62)*BD$22 + $A$3*Users!BZ74*BD$23)/60</f>
        <v>1207537.8054968289</v>
      </c>
      <c r="BE33" s="12">
        <f>($M$49*$J$54+$M$50*$J$55+$M$51*$J$56)*($A$2*(Users!CA50 + Users!CA62)*BE$22 + $A$3*Users!CA74*BE$23)/60</f>
        <v>1233505.4331761959</v>
      </c>
      <c r="BF33" s="12">
        <f>($M$49*$J$54+$M$50*$J$55+$M$51*$J$56)*($A$2*(Users!CB50 + Users!CB62)*BF$22 + $A$3*Users!CB74*BF$23)/60</f>
        <v>1260031.4845208311</v>
      </c>
      <c r="BG33" s="12">
        <f>($M$49*$J$54+$M$50*$J$55+$M$51*$J$56)*($A$2*(Users!CC50 + Users!CC62)*BG$22 + $A$3*Users!CC74*BG$23)/60</f>
        <v>1287127.968212998</v>
      </c>
      <c r="BH33" s="12">
        <f>($M$49*$J$54+$M$50*$J$55+$M$51*$J$56)*($A$2*(Users!CD50 + Users!CD62)*BH$22 + $A$3*Users!CD74*BH$23)/60</f>
        <v>1315266.5625165307</v>
      </c>
      <c r="BI33" s="12">
        <f>($M$49*$J$54+$M$50*$J$55+$M$51*$J$56)*($A$2*(Users!CE50 + Users!CE62)*BI$22 + $A$3*Users!CE74*BI$23)/60</f>
        <v>1344020.3097100132</v>
      </c>
      <c r="BJ33" s="12">
        <f>($M$49*$J$54+$M$50*$J$55+$M$51*$J$56)*($A$2*(Users!CF50 + Users!CF62)*BJ$22 + $A$3*Users!CF74*BJ$23)/60</f>
        <v>1373402.6579804395</v>
      </c>
      <c r="BK33" s="12">
        <f>($M$49*$J$54+$M$50*$J$55+$M$51*$J$56)*($A$2*(Users!CG50 + Users!CG62)*BK$22 + $A$3*Users!CG74*BK$23)/60</f>
        <v>1403427.3495128304</v>
      </c>
      <c r="BL33" s="12">
        <f>($M$49*$J$54+$M$50*$J$55+$M$51*$J$56)*($A$2*(Users!CH50 + Users!CH62)*BL$22 + $A$3*Users!CH74*BL$23)/60</f>
        <v>1434108.4269174733</v>
      </c>
      <c r="BM33" s="12">
        <f>($M$49*$J$54+$M$50*$J$55+$M$51*$J$56)*($A$2*(Users!CI50 + Users!CI62)*BM$22 + $A$3*Users!CI74*BM$23)/60</f>
        <v>1465835.0801930486</v>
      </c>
      <c r="BN33" s="12">
        <f>($M$49*$J$54+$M$50*$J$55+$M$51*$J$56)*($A$2*(Users!CJ50 + Users!CJ62)*BN$22 + $A$3*Users!CJ74*BN$23)/60</f>
        <v>1498263.6193994037</v>
      </c>
      <c r="BO33" s="12">
        <f>($M$49*$J$54+$M$50*$J$55+$M$51*$J$56)*($A$2*(Users!CK50 + Users!CK62)*BO$22 + $A$3*Users!CK74*BO$23)/60</f>
        <v>1531409.5722966078</v>
      </c>
      <c r="BP33" s="12">
        <f>($M$49*$J$54+$M$50*$J$55+$M$51*$J$56)*($A$2*(Users!CL50 + Users!CL62)*BP$22 + $A$3*Users!CL74*BP$23)/60</f>
        <v>1565288.8101639866</v>
      </c>
      <c r="BQ33" s="12">
        <f>($M$49*$J$54+$M$50*$J$55+$M$51*$J$56)*($A$2*(Users!CM50 + Users!CM62)*BQ$22 + $A$3*Users!CM74*BQ$23)/60</f>
        <v>1599917.5553997657</v>
      </c>
      <c r="BR33" s="12">
        <f>($M$49*$J$54+$M$50*$J$55+$M$51*$J$56)*($A$2*(Users!CN50 + Users!CN62)*BR$22 + $A$3*Users!CN74*BR$23)/60</f>
        <v>1635405.7876549675</v>
      </c>
      <c r="BS33" s="12">
        <f>($M$49*$J$54+$M$50*$J$55+$M$51*$J$56)*($A$2*(Users!CO50 + Users!CO62)*BS$22 + $A$3*Users!CO74*BS$23)/60</f>
        <v>1671615.1185067541</v>
      </c>
      <c r="BT33" s="12">
        <f>($M$49*$J$54+$M$50*$J$55+$M$51*$J$56)*($A$2*(Users!CP50 + Users!CP62)*BT$22 + $A$3*Users!CP74*BT$23)/60</f>
        <v>1708626.1559751043</v>
      </c>
      <c r="BU33" s="12">
        <f>($M$49*$J$54+$M$50*$J$55+$M$51*$J$56)*($A$2*(Users!CQ50 + Users!CQ62)*BU$22 + $A$3*Users!CQ74*BU$23)/60</f>
        <v>1746456.6505537208</v>
      </c>
      <c r="BV33" s="12">
        <f>($M$49*$J$54+$M$50*$J$55+$M$51*$J$56)*($A$2*(Users!CR50 + Users!CR62)*BV$22 + $A$3*Users!CR74*BV$23)/60</f>
        <v>1785124.7457479266</v>
      </c>
      <c r="BW33" s="12">
        <f>($M$49*$J$54+$M$50*$J$55+$M$51*$J$56)*($A$2*(Users!CS50 + Users!CS62)*BW$22 + $A$3*Users!CS74*BW$23)/60</f>
        <v>1824328.7771608958</v>
      </c>
      <c r="BX33" s="12">
        <f>($M$49*$J$54+$M$50*$J$55+$M$51*$J$56)*($A$2*(Users!CT50 + Users!CT62)*BX$22 + $A$3*Users!CT74*BX$23)/60</f>
        <v>1864393.7882239975</v>
      </c>
      <c r="BY33" s="12">
        <f>($M$49*$J$54+$M$50*$J$55+$M$51*$J$56)*($A$2*(Users!CU50 + Users!CU62)*BY$22 + $A$3*Users!CU74*BY$23)/60</f>
        <v>1905338.6873487027</v>
      </c>
      <c r="BZ33" s="12">
        <f>($M$49*$J$54+$M$50*$J$55+$M$51*$J$56)*($A$2*(Users!CV50 + Users!CV62)*BZ$22 + $A$3*Users!CV74*BZ$23)/60</f>
        <v>1947182.7982037524</v>
      </c>
      <c r="CA33" s="12"/>
      <c r="CB33" s="12"/>
      <c r="CC33" s="12"/>
    </row>
    <row r="34" spans="1:8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N34" s="12"/>
      <c r="O34" s="12"/>
      <c r="P34" s="12" t="s">
        <v>232</v>
      </c>
      <c r="R34" s="12">
        <f>($M$49*$J$54+$M$50*$J$55+$M$51*$J$56)*($A$2*(Users!AN51 + Users!AN63)*R$22 + $A$3*Users!AN75*R$23)/60</f>
        <v>173320.78424906498</v>
      </c>
      <c r="S34" s="12">
        <f>($M$49*$J$54+$M$50*$J$55+$M$51*$J$56)*($A$2*(Users!AO51 + Users!AO63)*S$22 + $A$3*Users!AO75*S$23)/60</f>
        <v>178660.9903726021</v>
      </c>
      <c r="T34" s="12">
        <f>($M$49*$J$54+$M$50*$J$55+$M$51*$J$56)*($A$2*(Users!AP51 + Users!AP63)*T$22 + $A$3*Users!AP75*T$23)/60</f>
        <v>180580.71640035929</v>
      </c>
      <c r="U34" s="12">
        <f>($M$49*$J$54+$M$50*$J$55+$M$51*$J$56)*($A$2*(Users!AQ51 + Users!AQ63)*U$22 + $A$3*Users!AQ75*U$23)/60</f>
        <v>185702.62037817398</v>
      </c>
      <c r="V34" s="12">
        <f>($M$49*$J$54+$M$50*$J$55+$M$51*$J$56)*($A$2*(Users!AR51 + Users!AR63)*V$22 + $A$3*Users!AR75*V$23)/60</f>
        <v>193680.68795353218</v>
      </c>
      <c r="W34" s="12">
        <f>($M$49*$J$54+$M$50*$J$55+$M$51*$J$56)*($A$2*(Users!AS51 + Users!AS63)*W$22 + $A$3*Users!AS75*W$23)/60</f>
        <v>200061.51485140563</v>
      </c>
      <c r="X34" s="12">
        <f>($M$49*$J$54+$M$50*$J$55+$M$51*$J$56)*($A$2*(Users!AT51 + Users!AT63)*X$22 + $A$3*Users!AT75*X$23)/60</f>
        <v>207840.22659780455</v>
      </c>
      <c r="Y34" s="12">
        <f>($M$49*$J$54+$M$50*$J$55+$M$51*$J$56)*($A$2*(Users!AU51 + Users!AU63)*Y$22 + $A$3*Users!AU75*Y$23)/60</f>
        <v>215996.77508146854</v>
      </c>
      <c r="Z34" s="12">
        <f>($M$49*$J$54+$M$50*$J$55+$M$51*$J$56)*($A$2*(Users!AV51 + Users!AV63)*Z$22 + $A$3*Users!AV75*Z$23)/60</f>
        <v>224505.46512151315</v>
      </c>
      <c r="AA34" s="12">
        <f>($M$49*$J$54+$M$50*$J$55+$M$51*$J$56)*($A$2*(Users!AW51 + Users!AW63)*AA$22 + $A$3*Users!AW75*AA$23)/60</f>
        <v>233487.10648242244</v>
      </c>
      <c r="AB34" s="12">
        <f>($M$49*$J$54+$M$50*$J$55+$M$51*$J$56)*($A$2*(Users!AX51 + Users!AX63)*AB$22 + $A$3*Users!AX75*AB$23)/60</f>
        <v>242912.04997118417</v>
      </c>
      <c r="AC34" s="12">
        <f>($M$49*$J$54+$M$50*$J$55+$M$51*$J$56)*($A$2*(Users!AY51 + Users!AY63)*AC$22 + $A$3*Users!AY75*AC$23)/60</f>
        <v>252809.14417079551</v>
      </c>
      <c r="AD34" s="12">
        <f>($M$49*$J$54+$M$50*$J$55+$M$51*$J$56)*($A$2*(Users!AZ51 + Users!AZ63)*AD$22 + $A$3*Users!AZ75*AD$23)/60</f>
        <v>263208.12470750767</v>
      </c>
      <c r="AE34" s="12">
        <f>($M$49*$J$54+$M$50*$J$55+$M$51*$J$56)*($A$2*(Users!BA51 + Users!BA63)*AE$22 + $A$3*Users!BA75*AE$23)/60</f>
        <v>274073.54203323054</v>
      </c>
      <c r="AF34" s="12">
        <f>($M$49*$J$54+$M$50*$J$55+$M$51*$J$56)*($A$2*(Users!BB51 + Users!BB63)*AF$22 + $A$3*Users!BB75*AF$23)/60</f>
        <v>285430.96608869371</v>
      </c>
      <c r="AG34" s="12">
        <f>($M$49*$J$54+$M$50*$J$55+$M$51*$J$56)*($A$2*(Users!BC51 + Users!BC63)*AG$22 + $A$3*Users!BC75*AG$23)/60</f>
        <v>297306.93166566204</v>
      </c>
      <c r="AH34" s="12">
        <f>($M$49*$J$54+$M$50*$J$55+$M$51*$J$56)*($A$2*(Users!BD51 + Users!BD63)*AH$22 + $A$3*Users!BD75*AH$23)/60</f>
        <v>309729.30817577551</v>
      </c>
      <c r="AI34" s="12">
        <f>($M$49*$J$54+$M$50*$J$55+$M$51*$J$56)*($A$2*(Users!BE51 + Users!BE63)*AI$22 + $A$3*Users!BE75*AI$23)/60</f>
        <v>322726.42943789752</v>
      </c>
      <c r="AJ34" s="12">
        <f>($M$49*$J$54+$M$50*$J$55+$M$51*$J$56)*($A$2*(Users!BF51 + Users!BF63)*AJ$22 + $A$3*Users!BF75*AJ$23)/60</f>
        <v>336326.61023659614</v>
      </c>
      <c r="AK34" s="12">
        <f>($M$49*$J$54+$M$50*$J$55+$M$51*$J$56)*($A$2*(Users!BG51 + Users!BG63)*AK$22 + $A$3*Users!BG75*AK$23)/60</f>
        <v>350559.64720239112</v>
      </c>
      <c r="AL34" s="12">
        <f>($M$49*$J$54+$M$50*$J$55+$M$51*$J$56)*($A$2*(Users!BH51 + Users!BH63)*AL$22 + $A$3*Users!BH75*AL$23)/60</f>
        <v>357588.38398124522</v>
      </c>
      <c r="AM34" s="12">
        <f>($M$49*$J$54+$M$50*$J$55+$M$51*$J$56)*($A$2*(Users!BI51 + Users!BI63)*AM$22 + $A$3*Users!BI75*AM$23)/60</f>
        <v>364815.91094325442</v>
      </c>
      <c r="AN34" s="12">
        <f>($M$49*$J$54+$M$50*$J$55+$M$51*$J$56)*($A$2*(Users!BJ51 + Users!BJ63)*AN$22 + $A$3*Users!BJ75*AN$23)/60</f>
        <v>372245.23935580347</v>
      </c>
      <c r="AO34" s="12">
        <f>($M$49*$J$54+$M$50*$J$55+$M$51*$J$56)*($A$2*(Users!BK51 + Users!BK63)*AO$22 + $A$3*Users!BK75*AO$23)/60</f>
        <v>379878.30877157644</v>
      </c>
      <c r="AP34" s="12">
        <f>($M$49*$J$54+$M$50*$J$55+$M$51*$J$56)*($A$2*(Users!BL51 + Users!BL63)*AP$22 + $A$3*Users!BL75*AP$23)/60</f>
        <v>387715.3702849886</v>
      </c>
      <c r="AQ34" s="12">
        <f>($M$49*$J$54+$M$50*$J$55+$M$51*$J$56)*($A$2*(Users!BM51 + Users!BM63)*AQ$22 + $A$3*Users!BM75*AQ$23)/60</f>
        <v>395756.21423685632</v>
      </c>
      <c r="AR34" s="12">
        <f>($M$49*$J$54+$M$50*$J$55+$M$51*$J$56)*($A$2*(Users!BN51 + Users!BN63)*AR$22 + $A$3*Users!BN75*AR$23)/60</f>
        <v>404000.35527794081</v>
      </c>
      <c r="AS34" s="12">
        <f>($M$49*$J$54+$M$50*$J$55+$M$51*$J$56)*($A$2*(Users!BO51 + Users!BO63)*AS$22 + $A$3*Users!BO75*AS$23)/60</f>
        <v>412446.97559537052</v>
      </c>
      <c r="AT34" s="12">
        <f>($M$49*$J$54+$M$50*$J$55+$M$51*$J$56)*($A$2*(Users!BP51 + Users!BP63)*AT$22 + $A$3*Users!BP75*AT$23)/60</f>
        <v>421123.69361992687</v>
      </c>
      <c r="AU34" s="12">
        <f>($M$49*$J$54+$M$50*$J$55+$M$51*$J$56)*($A$2*(Users!BQ51 + Users!BQ63)*AU$22 + $A$3*Users!BQ75*AU$23)/60</f>
        <v>429982.94525518233</v>
      </c>
      <c r="AV34" s="12">
        <f>($M$49*$J$54+$M$50*$J$55+$M$51*$J$56)*($A$2*(Users!BR51 + Users!BR63)*AV$22 + $A$3*Users!BR75*AV$23)/60</f>
        <v>439028.57049212803</v>
      </c>
      <c r="AW34" s="12">
        <f>($M$49*$J$54+$M$50*$J$55+$M$51*$J$56)*($A$2*(Users!BS51 + Users!BS63)*AW$22 + $A$3*Users!BS75*AW$23)/60</f>
        <v>448264.49010430439</v>
      </c>
      <c r="AX34" s="12">
        <f>($M$49*$J$54+$M$50*$J$55+$M$51*$J$56)*($A$2*(Users!BT51 + Users!BT63)*AX$22 + $A$3*Users!BT75*AX$23)/60</f>
        <v>457775.72042009968</v>
      </c>
      <c r="AY34" s="12">
        <f>($M$49*$J$54+$M$50*$J$55+$M$51*$J$56)*($A$2*(Users!BU51 + Users!BU63)*AY$22 + $A$3*Users!BU75*AY$23)/60</f>
        <v>467488.75905245228</v>
      </c>
      <c r="AZ34" s="12">
        <f>($M$49*$J$54+$M$50*$J$55+$M$51*$J$56)*($A$2*(Users!BV51 + Users!BV63)*AZ$22 + $A$3*Users!BV75*AZ$23)/60</f>
        <v>477407.88794967608</v>
      </c>
      <c r="BA34" s="12">
        <f>($M$49*$J$54+$M$50*$J$55+$M$51*$J$56)*($A$2*(Users!BW51 + Users!BW63)*BA$22 + $A$3*Users!BW75*BA$23)/60</f>
        <v>487537.47991403221</v>
      </c>
      <c r="BB34" s="12">
        <f>($M$49*$J$54+$M$50*$J$55+$M$51*$J$56)*($A$2*(Users!BX51 + Users!BX63)*BB$22 + $A$3*Users!BX75*BB$23)/60</f>
        <v>497882.00052945229</v>
      </c>
      <c r="BC34" s="12">
        <f>($M$49*$J$54+$M$50*$J$55+$M$51*$J$56)*($A$2*(Users!BY51 + Users!BY63)*BC$22 + $A$3*Users!BY75*BC$23)/60</f>
        <v>508588.75799837359</v>
      </c>
      <c r="BD34" s="12">
        <f>($M$49*$J$54+$M$50*$J$55+$M$51*$J$56)*($A$2*(Users!BZ51 + Users!BZ63)*BD$22 + $A$3*Users!BZ75*BD$23)/60</f>
        <v>519525.76009428804</v>
      </c>
      <c r="BE34" s="12">
        <f>($M$49*$J$54+$M$50*$J$55+$M$51*$J$56)*($A$2*(Users!CA51 + Users!CA63)*BE$22 + $A$3*Users!CA75*BE$23)/60</f>
        <v>530697.95813774236</v>
      </c>
      <c r="BF34" s="12">
        <f>($M$49*$J$54+$M$50*$J$55+$M$51*$J$56)*($A$2*(Users!CB51 + Users!CB63)*BF$22 + $A$3*Users!CB75*BF$23)/60</f>
        <v>542110.40992549551</v>
      </c>
      <c r="BG34" s="12">
        <f>($M$49*$J$54+$M$50*$J$55+$M$51*$J$56)*($A$2*(Users!CC51 + Users!CC63)*BG$22 + $A$3*Users!CC75*BG$23)/60</f>
        <v>553768.28202024405</v>
      </c>
      <c r="BH34" s="12">
        <f>($M$49*$J$54+$M$50*$J$55+$M$51*$J$56)*($A$2*(Users!CD51 + Users!CD63)*BH$22 + $A$3*Users!CD75*BH$23)/60</f>
        <v>565874.50720589201</v>
      </c>
      <c r="BI34" s="12">
        <f>($M$49*$J$54+$M$50*$J$55+$M$51*$J$56)*($A$2*(Users!CE51 + Users!CE63)*BI$22 + $A$3*Users!CE75*BI$23)/60</f>
        <v>578245.39306822442</v>
      </c>
      <c r="BJ34" s="12">
        <f>($M$49*$J$54+$M$50*$J$55+$M$51*$J$56)*($A$2*(Users!CF51 + Users!CF63)*BJ$22 + $A$3*Users!CF75*BJ$23)/60</f>
        <v>590886.72549612971</v>
      </c>
      <c r="BK34" s="12">
        <f>($M$49*$J$54+$M$50*$J$55+$M$51*$J$56)*($A$2*(Users!CG51 + Users!CG63)*BK$22 + $A$3*Users!CG75*BK$23)/60</f>
        <v>603804.41686691367</v>
      </c>
      <c r="BL34" s="12">
        <f>($M$49*$J$54+$M$50*$J$55+$M$51*$J$56)*($A$2*(Users!CH51 + Users!CH63)*BL$22 + $A$3*Users!CH75*BL$23)/60</f>
        <v>617004.50881153031</v>
      </c>
      <c r="BM34" s="12">
        <f>($M$49*$J$54+$M$50*$J$55+$M$51*$J$56)*($A$2*(Users!CI51 + Users!CI63)*BM$22 + $A$3*Users!CI75*BM$23)/60</f>
        <v>630654.44472509751</v>
      </c>
      <c r="BN34" s="12">
        <f>($M$49*$J$54+$M$50*$J$55+$M$51*$J$56)*($A$2*(Users!CJ51 + Users!CJ63)*BN$22 + $A$3*Users!CJ75*BN$23)/60</f>
        <v>644606.35695777286</v>
      </c>
      <c r="BO34" s="12">
        <f>($M$49*$J$54+$M$50*$J$55+$M$51*$J$56)*($A$2*(Users!CK51 + Users!CK63)*BO$22 + $A$3*Users!CK75*BO$23)/60</f>
        <v>658866.92610482674</v>
      </c>
      <c r="BP34" s="12">
        <f>($M$49*$J$54+$M$50*$J$55+$M$51*$J$56)*($A$2*(Users!CL51 + Users!CL63)*BP$22 + $A$3*Users!CL75*BP$23)/60</f>
        <v>673442.98055574601</v>
      </c>
      <c r="BQ34" s="12">
        <f>($M$49*$J$54+$M$50*$J$55+$M$51*$J$56)*($A$2*(Users!CM51 + Users!CM63)*BQ$22 + $A$3*Users!CM75*BQ$23)/60</f>
        <v>688341.49976386933</v>
      </c>
      <c r="BR34" s="12">
        <f>($M$49*$J$54+$M$50*$J$55+$M$51*$J$56)*($A$2*(Users!CN51 + Users!CN63)*BR$22 + $A$3*Users!CN75*BR$23)/60</f>
        <v>703609.80089105468</v>
      </c>
      <c r="BS34" s="12">
        <f>($M$49*$J$54+$M$50*$J$55+$M$51*$J$56)*($A$2*(Users!CO51 + Users!CO63)*BS$22 + $A$3*Users!CO75*BS$23)/60</f>
        <v>719188.34431027283</v>
      </c>
      <c r="BT34" s="12">
        <f>($M$49*$J$54+$M$50*$J$55+$M$51*$J$56)*($A$2*(Users!CP51 + Users!CP63)*BT$22 + $A$3*Users!CP75*BT$23)/60</f>
        <v>735111.81046188704</v>
      </c>
      <c r="BU34" s="12">
        <f>($M$49*$J$54+$M$50*$J$55+$M$51*$J$56)*($A$2*(Users!CQ51 + Users!CQ63)*BU$22 + $A$3*Users!CQ75*BU$23)/60</f>
        <v>751387.83624031965</v>
      </c>
      <c r="BV34" s="12">
        <f>($M$49*$J$54+$M$50*$J$55+$M$51*$J$56)*($A$2*(Users!CR51 + Users!CR63)*BV$22 + $A$3*Users!CR75*BV$23)/60</f>
        <v>768024.22762758785</v>
      </c>
      <c r="BW34" s="12">
        <f>($M$49*$J$54+$M$50*$J$55+$M$51*$J$56)*($A$2*(Users!CS51 + Users!CS63)*BW$22 + $A$3*Users!CS75*BW$23)/60</f>
        <v>784891.1978589698</v>
      </c>
      <c r="BX34" s="12">
        <f>($M$49*$J$54+$M$50*$J$55+$M$51*$J$56)*($A$2*(Users!CT51 + Users!CT63)*BX$22 + $A$3*Users!CT75*BX$23)/60</f>
        <v>802128.59219229245</v>
      </c>
      <c r="BY34" s="12">
        <f>($M$49*$J$54+$M$50*$J$55+$M$51*$J$56)*($A$2*(Users!CU51 + Users!CU63)*BY$22 + $A$3*Users!CU75*BY$23)/60</f>
        <v>819744.54569943273</v>
      </c>
      <c r="BZ34" s="12">
        <f>($M$49*$J$54+$M$50*$J$55+$M$51*$J$56)*($A$2*(Users!CV51 + Users!CV63)*BZ$22 + $A$3*Users!CV75*BZ$23)/60</f>
        <v>837747.37211073108</v>
      </c>
      <c r="CA34" s="12"/>
      <c r="CB34" s="12"/>
      <c r="CC34" s="12"/>
    </row>
    <row r="35" spans="1:8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N35" s="12"/>
      <c r="O35" s="12"/>
      <c r="P35" s="12" t="s">
        <v>233</v>
      </c>
      <c r="Q35" s="12"/>
      <c r="R35" s="12">
        <f>($M$49*$I$54+$M$50*$I$55+$M$51*$I$56)*($A$2*(Users!AN52 + Users!AN64)*R$22 + $A$3*Users!AN76*R$23)/60</f>
        <v>219825.07207632551</v>
      </c>
      <c r="S35" s="12">
        <f>($M$49*$I$54+$M$50*$I$55+$M$51*$I$56)*($A$2*(Users!AO52 + Users!AO64)*S$22 + $A$3*Users!AO76*S$23)/60</f>
        <v>226598.1270281313</v>
      </c>
      <c r="T35" s="12">
        <f>($M$49*$I$54+$M$50*$I$55+$M$51*$I$56)*($A$2*(Users!AP52 + Users!AP64)*T$22 + $A$3*Users!AP76*T$23)/60</f>
        <v>229032.94126144383</v>
      </c>
      <c r="U35" s="12">
        <f>($M$49*$I$54+$M$50*$I$55+$M$51*$I$56)*($A$2*(Users!AQ52 + Users!AQ64)*U$22 + $A$3*Users!AQ76*U$23)/60</f>
        <v>235529.12067794791</v>
      </c>
      <c r="V35" s="12">
        <f>($M$49*$I$54+$M$50*$I$55+$M$51*$I$56)*($A$2*(Users!AR52 + Users!AR64)*V$22 + $A$3*Users!AR76*V$23)/60</f>
        <v>245647.81063992443</v>
      </c>
      <c r="W35" s="12">
        <f>($M$49*$I$54+$M$50*$I$55+$M$51*$I$56)*($A$2*(Users!AS52 + Users!AS64)*W$22 + $A$3*Users!AS76*W$23)/60</f>
        <v>253740.69885762344</v>
      </c>
      <c r="X35" s="12">
        <f>($M$49*$I$54+$M$50*$I$55+$M$51*$I$56)*($A$2*(Users!AT52 + Users!AT64)*X$22 + $A$3*Users!AT76*X$23)/60</f>
        <v>263606.54315161111</v>
      </c>
      <c r="Y35" s="12">
        <f>($M$49*$I$54+$M$50*$I$55+$M$51*$I$56)*($A$2*(Users!AU52 + Users!AU64)*Y$22 + $A$3*Users!AU76*Y$23)/60</f>
        <v>273951.6028401184</v>
      </c>
      <c r="Z35" s="12">
        <f>($M$49*$I$54+$M$50*$I$55+$M$51*$I$56)*($A$2*(Users!AV52 + Users!AV64)*Z$22 + $A$3*Users!AV76*Z$23)/60</f>
        <v>284743.28838107531</v>
      </c>
      <c r="AA35" s="12">
        <f>($M$49*$I$54+$M$50*$I$55+$M$51*$I$56)*($A$2*(Users!AW52 + Users!AW64)*AA$22 + $A$3*Users!AW76*AA$23)/60</f>
        <v>296134.82441687083</v>
      </c>
      <c r="AB35" s="12">
        <f>($M$49*$I$54+$M$50*$I$55+$M$51*$I$56)*($A$2*(Users!AX52 + Users!AX64)*AB$22 + $A$3*Users!AX76*AB$23)/60</f>
        <v>308088.60647889448</v>
      </c>
      <c r="AC35" s="12">
        <f>($M$49*$I$54+$M$50*$I$55+$M$51*$I$56)*($A$2*(Users!AY52 + Users!AY64)*AC$22 + $A$3*Users!AY76*AC$23)/60</f>
        <v>320641.2236113518</v>
      </c>
      <c r="AD35" s="12">
        <f>($M$49*$I$54+$M$50*$I$55+$M$51*$I$56)*($A$2*(Users!AZ52 + Users!AZ64)*AD$22 + $A$3*Users!AZ76*AD$23)/60</f>
        <v>333830.38990728825</v>
      </c>
      <c r="AE35" s="12">
        <f>($M$49*$I$54+$M$50*$I$55+$M$51*$I$56)*($A$2*(Users!BA52 + Users!BA64)*AE$22 + $A$3*Users!BA76*AE$23)/60</f>
        <v>347611.14423005935</v>
      </c>
      <c r="AF35" s="12">
        <f>($M$49*$I$54+$M$50*$I$55+$M$51*$I$56)*($A$2*(Users!BB52 + Users!BB64)*AF$22 + $A$3*Users!BB76*AF$23)/60</f>
        <v>362015.91727796954</v>
      </c>
      <c r="AG35" s="12">
        <f>($M$49*$I$54+$M$50*$I$55+$M$51*$I$56)*($A$2*(Users!BC52 + Users!BC64)*AG$22 + $A$3*Users!BC76*AG$23)/60</f>
        <v>377078.36348281411</v>
      </c>
      <c r="AH35" s="12">
        <f>($M$49*$I$54+$M$50*$I$55+$M$51*$I$56)*($A$2*(Users!BD52 + Users!BD64)*AH$22 + $A$3*Users!BD76*AH$23)/60</f>
        <v>392833.82999265206</v>
      </c>
      <c r="AI35" s="12">
        <f>($M$49*$I$54+$M$50*$I$55+$M$51*$I$56)*($A$2*(Users!BE52 + Users!BE64)*AI$22 + $A$3*Users!BE76*AI$23)/60</f>
        <v>409318.25296944287</v>
      </c>
      <c r="AJ35" s="12">
        <f>($M$49*$I$54+$M$50*$I$55+$M$51*$I$56)*($A$2*(Users!BF52 + Users!BF64)*AJ$22 + $A$3*Users!BF76*AJ$23)/60</f>
        <v>426567.54443369556</v>
      </c>
      <c r="AK35" s="12">
        <f>($M$49*$I$54+$M$50*$I$55+$M$51*$I$56)*($A$2*(Users!BG52 + Users!BG64)*AK$22 + $A$3*Users!BG76*AK$23)/60</f>
        <v>444619.49585098657</v>
      </c>
      <c r="AL35" s="12">
        <f>($M$49*$I$54+$M$50*$I$55+$M$51*$I$56)*($A$2*(Users!BH52 + Users!BH64)*AL$22 + $A$3*Users!BH76*AL$23)/60</f>
        <v>453534.13684866868</v>
      </c>
      <c r="AM35" s="12">
        <f>($M$49*$I$54+$M$50*$I$55+$M$51*$I$56)*($A$2*(Users!BI52 + Users!BI64)*AM$22 + $A$3*Users!BI76*AM$23)/60</f>
        <v>462700.90609819005</v>
      </c>
      <c r="AN35" s="12">
        <f>($M$49*$I$54+$M$50*$I$55+$M$51*$I$56)*($A$2*(Users!BJ52 + Users!BJ64)*AN$22 + $A$3*Users!BJ76*AN$23)/60</f>
        <v>472123.62283030682</v>
      </c>
      <c r="AO35" s="12">
        <f>($M$49*$I$54+$M$50*$I$55+$M$51*$I$56)*($A$2*(Users!BK52 + Users!BK64)*AO$22 + $A$3*Users!BK76*AO$23)/60</f>
        <v>481804.74700566637</v>
      </c>
      <c r="AP35" s="12">
        <f>($M$49*$I$54+$M$50*$I$55+$M$51*$I$56)*($A$2*(Users!BL52 + Users!BL64)*AP$22 + $A$3*Users!BL76*AP$23)/60</f>
        <v>491744.59709067841</v>
      </c>
      <c r="AQ35" s="12">
        <f>($M$49*$I$54+$M$50*$I$55+$M$51*$I$56)*($A$2*(Users!BM52 + Users!BM64)*AQ$22 + $A$3*Users!BM76*AQ$23)/60</f>
        <v>501942.90717179235</v>
      </c>
      <c r="AR35" s="12">
        <f>($M$49*$I$54+$M$50*$I$55+$M$51*$I$56)*($A$2*(Users!BN52 + Users!BN64)*AR$22 + $A$3*Users!BN76*AR$23)/60</f>
        <v>512399.06167406798</v>
      </c>
      <c r="AS35" s="12">
        <f>($M$49*$I$54+$M$50*$I$55+$M$51*$I$56)*($A$2*(Users!BO52 + Users!BO64)*AS$22 + $A$3*Users!BO76*AS$23)/60</f>
        <v>523112.0233544865</v>
      </c>
      <c r="AT35" s="12">
        <f>($M$49*$I$54+$M$50*$I$55+$M$51*$I$56)*($A$2*(Users!BP52 + Users!BP64)*AT$22 + $A$3*Users!BP76*AT$23)/60</f>
        <v>534116.82103872264</v>
      </c>
      <c r="AU35" s="12">
        <f>($M$49*$I$54+$M$50*$I$55+$M$51*$I$56)*($A$2*(Users!BQ52 + Users!BQ64)*AU$22 + $A$3*Users!BQ76*AU$23)/60</f>
        <v>545353.12854621501</v>
      </c>
      <c r="AV35" s="12">
        <f>($M$49*$I$54+$M$50*$I$55+$M$51*$I$56)*($A$2*(Users!BR52 + Users!BR64)*AV$22 + $A$3*Users!BR76*AV$23)/60</f>
        <v>556825.81618897116</v>
      </c>
      <c r="AW35" s="12">
        <f>($M$49*$I$54+$M$50*$I$55+$M$51*$I$56)*($A$2*(Users!BS52 + Users!BS64)*AW$22 + $A$3*Users!BS76*AW$23)/60</f>
        <v>568539.85673658515</v>
      </c>
      <c r="AX35" s="12">
        <f>($M$49*$I$54+$M$50*$I$55+$M$51*$I$56)*($A$2*(Users!BT52 + Users!BT64)*AX$22 + $A$3*Users!BT76*AX$23)/60</f>
        <v>580603.0775370386</v>
      </c>
      <c r="AY35" s="12">
        <f>($M$49*$I$54+$M$50*$I$55+$M$51*$I$56)*($A$2*(Users!BU52 + Users!BU64)*AY$22 + $A$3*Users!BU76*AY$23)/60</f>
        <v>592922.25452834973</v>
      </c>
      <c r="AZ35" s="12">
        <f>($M$49*$I$54+$M$50*$I$55+$M$51*$I$56)*($A$2*(Users!BV52 + Users!BV64)*AZ$22 + $A$3*Users!BV76*AZ$23)/60</f>
        <v>605502.81856291578</v>
      </c>
      <c r="BA35" s="12">
        <f>($M$49*$I$54+$M$50*$I$55+$M$51*$I$56)*($A$2*(Users!BW52 + Users!BW64)*BA$22 + $A$3*Users!BW76*BA$23)/60</f>
        <v>618350.31572441338</v>
      </c>
      <c r="BB35" s="12">
        <f>($M$49*$I$54+$M$50*$I$55+$M$51*$I$56)*($A$2*(Users!BX52 + Users!BX64)*BB$22 + $A$3*Users!BX76*BB$23)/60</f>
        <v>631470.40977275313</v>
      </c>
      <c r="BC35" s="12">
        <f>($M$49*$I$54+$M$50*$I$55+$M$51*$I$56)*($A$2*(Users!BY52 + Users!BY64)*BC$22 + $A$3*Users!BY76*BC$23)/60</f>
        <v>645049.93367409438</v>
      </c>
      <c r="BD35" s="12">
        <f>($M$49*$I$54+$M$50*$I$55+$M$51*$I$56)*($A$2*(Users!BZ52 + Users!BZ64)*BD$22 + $A$3*Users!BZ76*BD$23)/60</f>
        <v>658921.47991968726</v>
      </c>
      <c r="BE35" s="12">
        <f>($M$49*$I$54+$M$50*$I$55+$M$51*$I$56)*($A$2*(Users!CA52 + Users!CA64)*BE$22 + $A$3*Users!CA76*BE$23)/60</f>
        <v>673091.32833569741</v>
      </c>
      <c r="BF35" s="12">
        <f>($M$49*$I$54+$M$50*$I$55+$M$51*$I$56)*($A$2*(Users!CB52 + Users!CB64)*BF$22 + $A$3*Users!CB76*BF$23)/60</f>
        <v>687565.8937934984</v>
      </c>
      <c r="BG35" s="12">
        <f>($M$49*$I$54+$M$50*$I$55+$M$51*$I$56)*($A$2*(Users!CC52 + Users!CC64)*BG$22 + $A$3*Users!CC76*BG$23)/60</f>
        <v>702351.72911375633</v>
      </c>
      <c r="BH35" s="12">
        <f>($M$49*$I$54+$M$50*$I$55+$M$51*$I$56)*($A$2*(Users!CD52 + Users!CD64)*BH$22 + $A$3*Users!CD76*BH$23)/60</f>
        <v>717706.21666432661</v>
      </c>
      <c r="BI35" s="12">
        <f>($M$49*$I$54+$M$50*$I$55+$M$51*$I$56)*($A$2*(Users!CE52 + Users!CE64)*BI$22 + $A$3*Users!CE76*BI$23)/60</f>
        <v>733396.37689593097</v>
      </c>
      <c r="BJ35" s="12">
        <f>($M$49*$I$54+$M$50*$I$55+$M$51*$I$56)*($A$2*(Users!CF52 + Users!CF64)*BJ$22 + $A$3*Users!CF76*BJ$23)/60</f>
        <v>749429.54812894226</v>
      </c>
      <c r="BK35" s="12">
        <f>($M$49*$I$54+$M$50*$I$55+$M$51*$I$56)*($A$2*(Users!CG52 + Users!CG64)*BK$22 + $A$3*Users!CG76*BK$23)/60</f>
        <v>765813.22911068634</v>
      </c>
      <c r="BL35" s="12">
        <f>($M$49*$I$54+$M$50*$I$55+$M$51*$I$56)*($A$2*(Users!CH52 + Users!CH64)*BL$22 + $A$3*Users!CH76*BL$23)/60</f>
        <v>782555.08252262126</v>
      </c>
      <c r="BM35" s="12">
        <f>($M$49*$I$54+$M$50*$I$55+$M$51*$I$56)*($A$2*(Users!CI52 + Users!CI64)*BM$22 + $A$3*Users!CI76*BM$23)/60</f>
        <v>799867.47906546853</v>
      </c>
      <c r="BN35" s="12">
        <f>($M$49*$I$54+$M$50*$I$55+$M$51*$I$56)*($A$2*(Users!CJ52 + Users!CJ64)*BN$22 + $A$3*Users!CJ76*BN$23)/60</f>
        <v>817562.87621843291</v>
      </c>
      <c r="BO35" s="12">
        <f>($M$49*$I$54+$M$50*$I$55+$M$51*$I$56)*($A$2*(Users!CK52 + Users!CK64)*BO$22 + $A$3*Users!CK76*BO$23)/60</f>
        <v>835649.74706997315</v>
      </c>
      <c r="BP35" s="12">
        <f>($M$49*$I$54+$M$50*$I$55+$M$51*$I$56)*($A$2*(Users!CL52 + Users!CL64)*BP$22 + $A$3*Users!CL76*BP$23)/60</f>
        <v>854136.75215793366</v>
      </c>
      <c r="BQ35" s="12">
        <f>($M$49*$I$54+$M$50*$I$55+$M$51*$I$56)*($A$2*(Users!CM52 + Users!CM64)*BQ$22 + $A$3*Users!CM76*BQ$23)/60</f>
        <v>873032.74361646548</v>
      </c>
      <c r="BR35" s="12">
        <f>($M$49*$I$54+$M$50*$I$55+$M$51*$I$56)*($A$2*(Users!CN52 + Users!CN64)*BR$22 + $A$3*Users!CN76*BR$23)/60</f>
        <v>892397.73443570489</v>
      </c>
      <c r="BS35" s="12">
        <f>($M$49*$I$54+$M$50*$I$55+$M$51*$I$56)*($A$2*(Users!CO52 + Users!CO64)*BS$22 + $A$3*Users!CO76*BS$23)/60</f>
        <v>912156.20970923384</v>
      </c>
      <c r="BT35" s="12">
        <f>($M$49*$I$54+$M$50*$I$55+$M$51*$I$56)*($A$2*(Users!CP52 + Users!CP64)*BT$22 + $A$3*Users!CP76*BT$23)/60</f>
        <v>932352.15510406566</v>
      </c>
      <c r="BU35" s="12">
        <f>($M$49*$I$54+$M$50*$I$55+$M$51*$I$56)*($A$2*(Users!CQ52 + Users!CQ64)*BU$22 + $A$3*Users!CQ76*BU$23)/60</f>
        <v>952995.25659568259</v>
      </c>
      <c r="BV35" s="12">
        <f>($M$49*$I$54+$M$50*$I$55+$M$51*$I$56)*($A$2*(Users!CR52 + Users!CR64)*BV$22 + $A$3*Users!CR76*BV$23)/60</f>
        <v>974095.41461562808</v>
      </c>
      <c r="BW35" s="12">
        <f>($M$49*$I$54+$M$50*$I$55+$M$51*$I$56)*($A$2*(Users!CS52 + Users!CS64)*BW$22 + $A$3*Users!CS76*BW$23)/60</f>
        <v>995488.01887187571</v>
      </c>
      <c r="BX35" s="12">
        <f>($M$49*$I$54+$M$50*$I$55+$M$51*$I$56)*($A$2*(Users!CT52 + Users!CT64)*BX$22 + $A$3*Users!CT76*BX$23)/60</f>
        <v>1017350.4369779787</v>
      </c>
      <c r="BY35" s="12">
        <f>($M$49*$I$54+$M$50*$I$55+$M$51*$I$56)*($A$2*(Users!CU52 + Users!CU64)*BY$22 + $A$3*Users!CU76*BY$23)/60</f>
        <v>1039692.9867545572</v>
      </c>
      <c r="BZ35" s="12">
        <f>($M$49*$I$54+$M$50*$I$55+$M$51*$I$56)*($A$2*(Users!CV52 + Users!CV64)*BZ$22 + $A$3*Users!CV76*BZ$23)/60</f>
        <v>1062526.2126171531</v>
      </c>
      <c r="CA35" s="12"/>
      <c r="CB35" s="12"/>
      <c r="CC35" s="12"/>
    </row>
    <row r="36" spans="1:8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N36" s="12"/>
      <c r="O36" s="12"/>
      <c r="P36" s="12" t="s">
        <v>234</v>
      </c>
      <c r="R36">
        <f>($M$49*$I$54+$M$50*$I$55+$M$51*$I$56)*($A$2*(Users!AN53 +Users!AN65)*R$22 + $A$3*Users!AN77*R$23)/60</f>
        <v>49596.397358415743</v>
      </c>
      <c r="S36" s="12">
        <f>($M$49*$I$54+$M$50*$I$55+$M$51*$I$56)*($A$2*(Users!AO53 +Users!AO65)*S$22 + $A$3*Users!AO77*S$23)/60</f>
        <v>51124.517520266571</v>
      </c>
      <c r="T36" s="12">
        <f>($M$49*$I$54+$M$50*$I$55+$M$51*$I$56)*($A$2*(Users!AP53 +Users!AP65)*T$22 + $A$3*Users!AP77*T$23)/60</f>
        <v>51673.854377380689</v>
      </c>
      <c r="U36" s="12">
        <f>($M$49*$I$54+$M$50*$I$55+$M$51*$I$56)*($A$2*(Users!AQ53 +Users!AQ65)*U$22 + $A$3*Users!AQ77*U$23)/60</f>
        <v>53139.506555311666</v>
      </c>
      <c r="V36" s="12">
        <f>($M$49*$I$54+$M$50*$I$55+$M$51*$I$56)*($A$2*(Users!AR53 +Users!AR65)*V$22 + $A$3*Users!AR77*V$23)/60</f>
        <v>55422.460739566646</v>
      </c>
      <c r="W36" s="12">
        <f>($M$49*$I$54+$M$50*$I$55+$M$51*$I$56)*($A$2*(Users!AS53 +Users!AS65)*W$22 + $A$3*Users!AS77*W$23)/60</f>
        <v>57248.358468297418</v>
      </c>
      <c r="X36" s="12">
        <f>($M$49*$I$54+$M$50*$I$55+$M$51*$I$56)*($A$2*(Users!AT53 +Users!AT65)*X$22 + $A$3*Users!AT77*X$23)/60</f>
        <v>59474.266228768785</v>
      </c>
      <c r="Y36" s="12">
        <f>($M$49*$I$54+$M$50*$I$55+$M$51*$I$56)*($A$2*(Users!AU53 +Users!AU65)*Y$22 + $A$3*Users!AU77*Y$23)/60</f>
        <v>61808.29339938012</v>
      </c>
      <c r="Z36" s="12">
        <f>($M$49*$I$54+$M$50*$I$55+$M$51*$I$56)*($A$2*(Users!AV53 +Users!AV65)*Z$22 + $A$3*Users!AV77*Z$23)/60</f>
        <v>64243.087207024248</v>
      </c>
      <c r="AA36" s="12">
        <f>($M$49*$I$54+$M$50*$I$55+$M$51*$I$56)*($A$2*(Users!AW53 +Users!AW65)*AA$22 + $A$3*Users!AW77*AA$23)/60</f>
        <v>66813.217822324877</v>
      </c>
      <c r="AB36" s="12">
        <f>($M$49*$I$54+$M$50*$I$55+$M$51*$I$56)*($A$2*(Users!AX53 +Users!AX65)*AB$22 + $A$3*Users!AX77*AB$23)/60</f>
        <v>69510.20101666305</v>
      </c>
      <c r="AC36" s="12">
        <f>($M$49*$I$54+$M$50*$I$55+$M$51*$I$56)*($A$2*(Users!AY53 +Users!AY65)*AC$22 + $A$3*Users!AY77*AC$23)/60</f>
        <v>72342.291921076569</v>
      </c>
      <c r="AD36" s="12">
        <f>($M$49*$I$54+$M$50*$I$55+$M$51*$I$56)*($A$2*(Users!AZ53 +Users!AZ65)*AD$22 + $A$3*Users!AZ77*AD$23)/60</f>
        <v>75317.999497382378</v>
      </c>
      <c r="AE36" s="12">
        <f>($M$49*$I$54+$M$50*$I$55+$M$51*$I$56)*($A$2*(Users!BA53 +Users!BA65)*AE$22 + $A$3*Users!BA77*AE$23)/60</f>
        <v>78427.179723437555</v>
      </c>
      <c r="AF36" s="12">
        <f>($M$49*$I$54+$M$50*$I$55+$M$51*$I$56)*($A$2*(Users!BB53 +Users!BB65)*AF$22 + $A$3*Users!BB77*AF$23)/60</f>
        <v>81677.14953440566</v>
      </c>
      <c r="AG36" s="12">
        <f>($M$49*$I$54+$M$50*$I$55+$M$51*$I$56)*($A$2*(Users!BC53 +Users!BC65)*AG$22 + $A$3*Users!BC77*AG$23)/60</f>
        <v>85075.501961220085</v>
      </c>
      <c r="AH36" s="12">
        <f>($M$49*$I$54+$M$50*$I$55+$M$51*$I$56)*($A$2*(Users!BD53 +Users!BD65)*AH$22 + $A$3*Users!BD77*AH$23)/60</f>
        <v>88630.211941334681</v>
      </c>
      <c r="AI36" s="12">
        <f>($M$49*$I$54+$M$50*$I$55+$M$51*$I$56)*($A$2*(Users!BE53 +Users!BE65)*AI$22 + $A$3*Users!BE77*AI$23)/60</f>
        <v>92349.387304085161</v>
      </c>
      <c r="AJ36" s="12">
        <f>($M$49*$I$54+$M$50*$I$55+$M$51*$I$56)*($A$2*(Users!BF53 +Users!BF65)*AJ$22 + $A$3*Users!BF77*AJ$23)/60</f>
        <v>96241.130432071819</v>
      </c>
      <c r="AK36" s="12">
        <f>($M$49*$I$54+$M$50*$I$55+$M$51*$I$56)*($A$2*(Users!BG53 +Users!BG65)*AK$22 + $A$3*Users!BG77*AK$23)/60</f>
        <v>100313.96774371348</v>
      </c>
      <c r="AL36" s="12">
        <f>($M$49*$I$54+$M$50*$I$55+$M$51*$I$56)*($A$2*(Users!BH53 +Users!BH65)*AL$22 + $A$3*Users!BH77*AL$23)/60</f>
        <v>102325.26733321231</v>
      </c>
      <c r="AM36" s="12">
        <f>($M$49*$I$54+$M$50*$I$55+$M$51*$I$56)*($A$2*(Users!BI53 +Users!BI65)*AM$22 + $A$3*Users!BI77*AM$23)/60</f>
        <v>104393.4514848104</v>
      </c>
      <c r="AN36" s="12">
        <f>($M$49*$I$54+$M$50*$I$55+$M$51*$I$56)*($A$2*(Users!BJ53 +Users!BJ65)*AN$22 + $A$3*Users!BJ77*AN$23)/60</f>
        <v>106519.38188404893</v>
      </c>
      <c r="AO36" s="12">
        <f>($M$49*$I$54+$M$50*$I$55+$M$51*$I$56)*($A$2*(Users!BK53 +Users!BK65)*AO$22 + $A$3*Users!BK77*AO$23)/60</f>
        <v>108703.61354125763</v>
      </c>
      <c r="AP36" s="12">
        <f>($M$49*$I$54+$M$50*$I$55+$M$51*$I$56)*($A$2*(Users!BL53 +Users!BL65)*AP$22 + $A$3*Users!BL77*AP$23)/60</f>
        <v>110946.21830805227</v>
      </c>
      <c r="AQ36" s="12">
        <f>($M$49*$I$54+$M$50*$I$55+$M$51*$I$56)*($A$2*(Users!BM53 +Users!BM65)*AQ$22 + $A$3*Users!BM77*AQ$23)/60</f>
        <v>113247.13618966518</v>
      </c>
      <c r="AR36" s="12">
        <f>($M$49*$I$54+$M$50*$I$55+$M$51*$I$56)*($A$2*(Users!BN53 +Users!BN65)*AR$22 + $A$3*Users!BN77*AR$23)/60</f>
        <v>115606.22830157765</v>
      </c>
      <c r="AS36" s="12">
        <f>($M$49*$I$54+$M$50*$I$55+$M$51*$I$56)*($A$2*(Users!BO53 +Users!BO65)*AS$22 + $A$3*Users!BO77*AS$23)/60</f>
        <v>118023.26062354608</v>
      </c>
      <c r="AT36" s="12">
        <f>($M$49*$I$54+$M$50*$I$55+$M$51*$I$56)*($A$2*(Users!BP53 +Users!BP65)*AT$22 + $A$3*Users!BP77*AT$23)/60</f>
        <v>120506.13627390331</v>
      </c>
      <c r="AU36" s="12">
        <f>($M$49*$I$54+$M$50*$I$55+$M$51*$I$56)*($A$2*(Users!BQ53 +Users!BQ65)*AU$22 + $A$3*Users!BQ77*AU$23)/60</f>
        <v>123041.24460672116</v>
      </c>
      <c r="AV36" s="12">
        <f>($M$49*$I$54+$M$50*$I$55+$M$51*$I$56)*($A$2*(Users!BR53 +Users!BR65)*AV$22 + $A$3*Users!BR77*AV$23)/60</f>
        <v>125629.68444993226</v>
      </c>
      <c r="AW36" s="12">
        <f>($M$49*$I$54+$M$50*$I$55+$M$51*$I$56)*($A$2*(Users!BS53 +Users!BS65)*AW$22 + $A$3*Users!BS77*AW$23)/60</f>
        <v>128272.57774770104</v>
      </c>
      <c r="AX36" s="12">
        <f>($M$49*$I$54+$M$50*$I$55+$M$51*$I$56)*($A$2*(Users!BT53 +Users!BT65)*AX$22 + $A$3*Users!BT77*AX$23)/60</f>
        <v>130994.25224365601</v>
      </c>
      <c r="AY36" s="12">
        <f>($M$49*$I$54+$M$50*$I$55+$M$51*$I$56)*($A$2*(Users!BU53 +Users!BU65)*AY$22 + $A$3*Users!BU77*AY$23)/60</f>
        <v>133773.67495198821</v>
      </c>
      <c r="AZ36" s="12">
        <f>($M$49*$I$54+$M$50*$I$55+$M$51*$I$56)*($A$2*(Users!BV53 +Users!BV65)*AZ$22 + $A$3*Users!BV77*AZ$23)/60</f>
        <v>136612.07116838839</v>
      </c>
      <c r="BA36" s="12">
        <f>($M$49*$I$54+$M$50*$I$55+$M$51*$I$56)*($A$2*(Users!BW53 +Users!BW65)*BA$22 + $A$3*Users!BW77*BA$23)/60</f>
        <v>139510.6921867475</v>
      </c>
      <c r="BB36" s="12">
        <f>($M$49*$I$54+$M$50*$I$55+$M$51*$I$56)*($A$2*(Users!BX53 +Users!BX65)*BB$22 + $A$3*Users!BX77*BB$23)/60</f>
        <v>142470.81585078212</v>
      </c>
      <c r="BC36" s="12">
        <f>($M$49*$I$54+$M$50*$I$55+$M$51*$I$56)*($A$2*(Users!BY53 +Users!BY65)*BC$22 + $A$3*Users!BY77*BC$23)/60</f>
        <v>145534.59495926872</v>
      </c>
      <c r="BD36" s="12">
        <f>($M$49*$I$54+$M$50*$I$55+$M$51*$I$56)*($A$2*(Users!BZ53 +Users!BZ65)*BD$22 + $A$3*Users!BZ77*BD$23)/60</f>
        <v>148664.25943781916</v>
      </c>
      <c r="BE36" s="12">
        <f>($M$49*$I$54+$M$50*$I$55+$M$51*$I$56)*($A$2*(Users!CA53 +Users!CA65)*BE$22 + $A$3*Users!CA77*BE$23)/60</f>
        <v>151861.22612551786</v>
      </c>
      <c r="BF36" s="12">
        <f>($M$49*$I$54+$M$50*$I$55+$M$51*$I$56)*($A$2*(Users!CB53 +Users!CB65)*BF$22 + $A$3*Users!CB77*BF$23)/60</f>
        <v>155126.94233001984</v>
      </c>
      <c r="BG36" s="12">
        <f>($M$49*$I$54+$M$50*$I$55+$M$51*$I$56)*($A$2*(Users!CC53 +Users!CC65)*BG$22 + $A$3*Users!CC77*BG$23)/60</f>
        <v>158462.88648276418</v>
      </c>
      <c r="BH36" s="12">
        <f>($M$49*$I$54+$M$50*$I$55+$M$51*$I$56)*($A$2*(Users!CD53 +Users!CD65)*BH$22 + $A$3*Users!CD77*BH$23)/60</f>
        <v>161927.12856670862</v>
      </c>
      <c r="BI36" s="12">
        <f>($M$49*$I$54+$M$50*$I$55+$M$51*$I$56)*($A$2*(Users!CE53 +Users!CE65)*BI$22 + $A$3*Users!CE77*BI$23)/60</f>
        <v>165467.10430338752</v>
      </c>
      <c r="BJ36" s="12">
        <f>($M$49*$I$54+$M$50*$I$55+$M$51*$I$56)*($A$2*(Users!CF53 +Users!CF65)*BJ$22 + $A$3*Users!CF77*BJ$23)/60</f>
        <v>169084.46934677006</v>
      </c>
      <c r="BK36" s="12">
        <f>($M$49*$I$54+$M$50*$I$55+$M$51*$I$56)*($A$2*(Users!CG53 +Users!CG65)*BK$22 + $A$3*Users!CG77*BK$23)/60</f>
        <v>172780.91554596409</v>
      </c>
      <c r="BL36" s="12">
        <f>($M$49*$I$54+$M$50*$I$55+$M$51*$I$56)*($A$2*(Users!CH53 +Users!CH65)*BL$22 + $A$3*Users!CH77*BL$23)/60</f>
        <v>176558.17173649714</v>
      </c>
      <c r="BM36" s="12">
        <f>($M$49*$I$54+$M$50*$I$55+$M$51*$I$56)*($A$2*(Users!CI53 +Users!CI65)*BM$22 + $A$3*Users!CI77*BM$23)/60</f>
        <v>180464.15247861829</v>
      </c>
      <c r="BN36" s="12">
        <f>($M$49*$I$54+$M$50*$I$55+$M$51*$I$56)*($A$2*(Users!CJ53 +Users!CJ65)*BN$22 + $A$3*Users!CJ77*BN$23)/60</f>
        <v>184456.54488556212</v>
      </c>
      <c r="BO36" s="12">
        <f>($M$49*$I$54+$M$50*$I$55+$M$51*$I$56)*($A$2*(Users!CK53 +Users!CK65)*BO$22 + $A$3*Users!CK77*BO$23)/60</f>
        <v>188537.26063490979</v>
      </c>
      <c r="BP36" s="12">
        <f>($M$49*$I$54+$M$50*$I$55+$M$51*$I$56)*($A$2*(Users!CL53 +Users!CL65)*BP$22 + $A$3*Users!CL77*BP$23)/60</f>
        <v>192708.25369611615</v>
      </c>
      <c r="BQ36" s="12">
        <f>($M$49*$I$54+$M$50*$I$55+$M$51*$I$56)*($A$2*(Users!CM53 +Users!CM65)*BQ$22 + $A$3*Users!CM77*BQ$23)/60</f>
        <v>196971.52126612808</v>
      </c>
      <c r="BR36" s="12">
        <f>($M$49*$I$54+$M$50*$I$55+$M$51*$I$56)*($A$2*(Users!CN53 +Users!CN65)*BR$22 + $A$3*Users!CN77*BR$23)/60</f>
        <v>201340.60332961363</v>
      </c>
      <c r="BS36" s="12">
        <f>($M$49*$I$54+$M$50*$I$55+$M$51*$I$56)*($A$2*(Users!CO53 +Users!CO65)*BS$22 + $A$3*Users!CO77*BS$23)/60</f>
        <v>205798.4623973096</v>
      </c>
      <c r="BT36" s="12">
        <f>($M$49*$I$54+$M$50*$I$55+$M$51*$I$56)*($A$2*(Users!CP53 +Users!CP65)*BT$22 + $A$3*Users!CP77*BT$23)/60</f>
        <v>210355.02240827668</v>
      </c>
      <c r="BU36" s="12">
        <f>($M$49*$I$54+$M$50*$I$55+$M$51*$I$56)*($A$2*(Users!CQ53 +Users!CQ65)*BU$22 + $A$3*Users!CQ77*BU$23)/60</f>
        <v>215012.46868871211</v>
      </c>
      <c r="BV36" s="12">
        <f>($M$49*$I$54+$M$50*$I$55+$M$51*$I$56)*($A$2*(Users!CR53 +Users!CR65)*BV$22 + $A$3*Users!CR77*BV$23)/60</f>
        <v>219773.03494986743</v>
      </c>
      <c r="BW36" s="12">
        <f>($M$49*$I$54+$M$50*$I$55+$M$51*$I$56)*($A$2*(Users!CS53 +Users!CS65)*BW$22 + $A$3*Users!CS77*BW$23)/60</f>
        <v>224599.58221857852</v>
      </c>
      <c r="BX36" s="12">
        <f>($M$49*$I$54+$M$50*$I$55+$M$51*$I$56)*($A$2*(Users!CT53 +Users!CT65)*BX$22 + $A$3*Users!CT77*BX$23)/60</f>
        <v>229532.12774382057</v>
      </c>
      <c r="BY36" s="12">
        <f>($M$49*$I$54+$M$50*$I$55+$M$51*$I$56)*($A$2*(Users!CU53 +Users!CU65)*BY$22 + $A$3*Users!CU77*BY$23)/60</f>
        <v>234572.99940715212</v>
      </c>
      <c r="BZ36" s="12">
        <f>($M$49*$I$54+$M$50*$I$55+$M$51*$I$56)*($A$2*(Users!CV53 +Users!CV65)*BZ$22 + $A$3*Users!CV77*BZ$23)/60</f>
        <v>239724.57621392593</v>
      </c>
    </row>
    <row r="37" spans="1:8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O37" s="12" t="s">
        <v>161</v>
      </c>
      <c r="R37">
        <f>SUM(R28:R36)</f>
        <v>4080630.6121814004</v>
      </c>
      <c r="S37" s="12">
        <f t="shared" ref="S37:BY37" si="2">SUM(S28:S36)</f>
        <v>4206359.3796657985</v>
      </c>
      <c r="T37" s="12">
        <f t="shared" si="2"/>
        <v>4251557.033425604</v>
      </c>
      <c r="U37" s="12">
        <f t="shared" si="2"/>
        <v>4372146.137929596</v>
      </c>
      <c r="V37" s="12">
        <f t="shared" si="2"/>
        <v>4559980.1990037467</v>
      </c>
      <c r="W37" s="12">
        <f t="shared" si="2"/>
        <v>4710209.1382697746</v>
      </c>
      <c r="X37" s="12">
        <f t="shared" si="2"/>
        <v>4893349.6047361437</v>
      </c>
      <c r="Y37" s="12">
        <f t="shared" si="2"/>
        <v>5085385.785373033</v>
      </c>
      <c r="Z37" s="12">
        <f t="shared" si="2"/>
        <v>5285712.7178722238</v>
      </c>
      <c r="AA37" s="12">
        <f t="shared" si="2"/>
        <v>5497174.7236769823</v>
      </c>
      <c r="AB37" s="12">
        <f t="shared" si="2"/>
        <v>5719073.7479916494</v>
      </c>
      <c r="AC37" s="12">
        <f t="shared" si="2"/>
        <v>5952088.9962064354</v>
      </c>
      <c r="AD37" s="12">
        <f t="shared" si="2"/>
        <v>6196920.5580842476</v>
      </c>
      <c r="AE37" s="12">
        <f t="shared" si="2"/>
        <v>6452733.816405057</v>
      </c>
      <c r="AF37" s="12">
        <f t="shared" si="2"/>
        <v>6720130.7848473918</v>
      </c>
      <c r="AG37" s="12">
        <f t="shared" si="2"/>
        <v>6999736.1933536781</v>
      </c>
      <c r="AH37" s="12">
        <f t="shared" si="2"/>
        <v>7292206.1938953819</v>
      </c>
      <c r="AI37" s="12">
        <f t="shared" si="2"/>
        <v>7598207.8723567156</v>
      </c>
      <c r="AJ37" s="12">
        <f t="shared" si="2"/>
        <v>7918407.8664821777</v>
      </c>
      <c r="AK37" s="12">
        <f t="shared" si="2"/>
        <v>8253507.7023072401</v>
      </c>
      <c r="AL37" s="12">
        <f t="shared" si="2"/>
        <v>8418990.9049653895</v>
      </c>
      <c r="AM37" s="12">
        <f t="shared" si="2"/>
        <v>8589154.3847772498</v>
      </c>
      <c r="AN37" s="12">
        <f t="shared" si="2"/>
        <v>8764069.0384325851</v>
      </c>
      <c r="AO37" s="12">
        <f t="shared" si="2"/>
        <v>8943780.5303800777</v>
      </c>
      <c r="AP37" s="12">
        <f t="shared" si="2"/>
        <v>9128294.7723374777</v>
      </c>
      <c r="AQ37" s="12">
        <f t="shared" si="2"/>
        <v>9317606.8281300142</v>
      </c>
      <c r="AR37" s="12">
        <f t="shared" si="2"/>
        <v>9511705.2707902268</v>
      </c>
      <c r="AS37" s="12">
        <f t="shared" si="2"/>
        <v>9710570.8458919767</v>
      </c>
      <c r="AT37" s="12">
        <f t="shared" si="2"/>
        <v>9914853.7963625453</v>
      </c>
      <c r="AU37" s="12">
        <f t="shared" si="2"/>
        <v>10123434.282427566</v>
      </c>
      <c r="AV37" s="12">
        <f t="shared" si="2"/>
        <v>10336402.71208317</v>
      </c>
      <c r="AW37" s="12">
        <f t="shared" si="2"/>
        <v>10553851.395253992</v>
      </c>
      <c r="AX37" s="12">
        <f t="shared" si="2"/>
        <v>10777781.939731391</v>
      </c>
      <c r="AY37" s="12">
        <f t="shared" si="2"/>
        <v>11006463.819704432</v>
      </c>
      <c r="AZ37" s="12">
        <f t="shared" si="2"/>
        <v>11239997.848525926</v>
      </c>
      <c r="BA37" s="12">
        <f t="shared" si="2"/>
        <v>11478486.978596207</v>
      </c>
      <c r="BB37" s="12">
        <f t="shared" si="2"/>
        <v>11722036.346749105</v>
      </c>
      <c r="BC37" s="12">
        <f t="shared" si="2"/>
        <v>11974114.148463286</v>
      </c>
      <c r="BD37" s="12">
        <f t="shared" si="2"/>
        <v>12231612.784598853</v>
      </c>
      <c r="BE37" s="12">
        <f t="shared" si="2"/>
        <v>12494648.828077395</v>
      </c>
      <c r="BF37" s="12">
        <f t="shared" si="2"/>
        <v>12763341.35867562</v>
      </c>
      <c r="BG37" s="12">
        <f t="shared" si="2"/>
        <v>13037812.016934153</v>
      </c>
      <c r="BH37" s="12">
        <f t="shared" si="2"/>
        <v>13322838.612587716</v>
      </c>
      <c r="BI37" s="12">
        <f t="shared" si="2"/>
        <v>13614096.32739873</v>
      </c>
      <c r="BJ37" s="12">
        <f t="shared" si="2"/>
        <v>13911721.383202445</v>
      </c>
      <c r="BK37" s="12">
        <f t="shared" si="2"/>
        <v>14215852.979852648</v>
      </c>
      <c r="BL37" s="12">
        <f t="shared" si="2"/>
        <v>14526633.360325692</v>
      </c>
      <c r="BM37" s="12">
        <f t="shared" si="2"/>
        <v>14848004.779134726</v>
      </c>
      <c r="BN37" s="12">
        <f t="shared" si="2"/>
        <v>15176485.869280903</v>
      </c>
      <c r="BO37" s="12">
        <f t="shared" si="2"/>
        <v>15512233.917391365</v>
      </c>
      <c r="BP37" s="12">
        <f t="shared" si="2"/>
        <v>15855409.689731343</v>
      </c>
      <c r="BQ37" s="12">
        <f t="shared" si="2"/>
        <v>16206177.509183845</v>
      </c>
      <c r="BR37" s="12">
        <f t="shared" si="2"/>
        <v>16565651.401744036</v>
      </c>
      <c r="BS37" s="12">
        <f t="shared" si="2"/>
        <v>16932429.578089617</v>
      </c>
      <c r="BT37" s="12">
        <f t="shared" si="2"/>
        <v>17307328.54771889</v>
      </c>
      <c r="BU37" s="12">
        <f t="shared" si="2"/>
        <v>17690528.112178992</v>
      </c>
      <c r="BV37" s="12">
        <f t="shared" si="2"/>
        <v>18082212.053982317</v>
      </c>
      <c r="BW37" s="12">
        <f t="shared" si="2"/>
        <v>18479324.698949482</v>
      </c>
      <c r="BX37" s="12">
        <f t="shared" si="2"/>
        <v>18885158.536452316</v>
      </c>
      <c r="BY37" s="12">
        <f t="shared" si="2"/>
        <v>19299905.097030435</v>
      </c>
      <c r="BZ37" s="12">
        <f>SUM(BZ28:BZ36)</f>
        <v>19723760.11752332</v>
      </c>
    </row>
    <row r="38" spans="1:8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AU38" s="22"/>
    </row>
    <row r="39" spans="1:81" s="12" customFormat="1">
      <c r="AU39" s="22"/>
    </row>
    <row r="40" spans="1:81" s="12" customFormat="1">
      <c r="O40" s="12" t="s">
        <v>173</v>
      </c>
      <c r="P40"/>
      <c r="Q40"/>
      <c r="R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22"/>
      <c r="AV40"/>
      <c r="AW40"/>
      <c r="AX40"/>
      <c r="AY40"/>
      <c r="AZ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Z40"/>
    </row>
    <row r="41" spans="1:81" s="12" customFormat="1">
      <c r="O41"/>
      <c r="P41"/>
      <c r="Q41"/>
      <c r="R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22"/>
      <c r="AV41"/>
      <c r="AW41"/>
      <c r="AX41"/>
      <c r="AY41"/>
      <c r="AZ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Z41"/>
    </row>
    <row r="42" spans="1:8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N42" s="12"/>
      <c r="O42" s="12"/>
      <c r="P42" s="12" t="s">
        <v>230</v>
      </c>
      <c r="R42">
        <f>($M$49*$I$54+$M$50*$I$55+$M$51*$I$56)*($A$2*(Users!AN45*R$24 + Users!AN57*R$22) + $A$3*Users!AN69*R$23)/60</f>
        <v>1320907.2342448623</v>
      </c>
      <c r="S42" s="12">
        <f>($M$49*$I$54+$M$50*$I$55+$M$51*$I$56)*($A$2*(Users!AO45*S$24 + Users!AO57*S$22) + $A$3*Users!AO69*S$23)/60</f>
        <v>1361605.8551950322</v>
      </c>
      <c r="T42" s="12">
        <f>($M$49*$I$54+$M$50*$I$55+$M$51*$I$56)*($A$2*(Users!AP45*T$24 + Users!AP57*T$22) + $A$3*Users!AP69*T$23)/60</f>
        <v>1376236.4144139923</v>
      </c>
      <c r="U42" s="12">
        <f>($M$49*$I$54+$M$50*$I$55+$M$51*$I$56)*($A$2*(Users!AQ45*U$24 + Users!AQ57*U$22) + $A$3*Users!AQ69*U$23)/60</f>
        <v>1415271.3175083646</v>
      </c>
      <c r="V42" s="12">
        <f>($M$49*$I$54+$M$50*$I$55+$M$51*$I$56)*($A$2*(Users!AR45*V$24 + Users!AR57*V$22) + $A$3*Users!AR69*V$23)/60</f>
        <v>1476073.5301295659</v>
      </c>
      <c r="W42" s="12">
        <f>($M$49*$I$54+$M$50*$I$55+$M$51*$I$56)*($A$2*(Users!AS45*W$24 + Users!AS57*W$22) + $A$3*Users!AS69*W$23)/60</f>
        <v>1524702.8993444755</v>
      </c>
      <c r="X42" s="12">
        <f>($M$49*$I$54+$M$50*$I$55+$M$51*$I$56)*($A$2*(Users!AT45*X$24 + Users!AT57*X$22) + $A$3*Users!AT69*X$23)/60</f>
        <v>1583985.7872187798</v>
      </c>
      <c r="Y42" s="12">
        <f>($M$49*$I$54+$M$50*$I$55+$M$51*$I$56)*($A$2*(Users!AU45*Y$24 + Users!AU57*Y$22) + $A$3*Users!AU69*Y$23)/60</f>
        <v>1646148.2332590548</v>
      </c>
      <c r="Z42" s="12">
        <f>($M$49*$I$54+$M$50*$I$55+$M$51*$I$56)*($A$2*(Users!AV45*Z$24 + Users!AV57*Z$22) + $A$3*Users!AV69*Z$23)/60</f>
        <v>1710994.4101127868</v>
      </c>
      <c r="AA42" s="12">
        <f>($M$49*$I$54+$M$50*$I$55+$M$51*$I$56)*($A$2*(Users!AW45*AA$24 + Users!AW57*AA$22) + $A$3*Users!AW69*AA$23)/60</f>
        <v>1779445.0295836122</v>
      </c>
      <c r="AB42" s="12">
        <f>($M$49*$I$54+$M$50*$I$55+$M$51*$I$56)*($A$2*(Users!AX45*AB$24 + Users!AX57*AB$22) + $A$3*Users!AX69*AB$23)/60</f>
        <v>1851274.1301187472</v>
      </c>
      <c r="AC42" s="12">
        <f>($M$49*$I$54+$M$50*$I$55+$M$51*$I$56)*($A$2*(Users!AY45*AC$24 + Users!AY57*AC$22) + $A$3*Users!AY69*AC$23)/60</f>
        <v>1926701.5716856106</v>
      </c>
      <c r="AD42" s="12">
        <f>($M$49*$I$54+$M$50*$I$55+$M$51*$I$56)*($A$2*(Users!AZ45*AD$24 + Users!AZ57*AD$22) + $A$3*Users!AZ69*AD$23)/60</f>
        <v>2005953.974559437</v>
      </c>
      <c r="AE42" s="12">
        <f>($M$49*$I$54+$M$50*$I$55+$M$51*$I$56)*($A$2*(Users!BA45*AE$24 + Users!BA57*AE$22) + $A$3*Users!BA69*AE$23)/60</f>
        <v>2088761.1716928896</v>
      </c>
      <c r="AF42" s="12">
        <f>($M$49*$I$54+$M$50*$I$55+$M$51*$I$56)*($A$2*(Users!BB45*AF$24 + Users!BB57*AF$22) + $A$3*Users!BB69*AF$23)/60</f>
        <v>2175318.0359619176</v>
      </c>
      <c r="AG42" s="12">
        <f>($M$49*$I$54+$M$50*$I$55+$M$51*$I$56)*($A$2*(Users!BC45*AG$24 + Users!BC57*AG$22) + $A$3*Users!BC69*AG$23)/60</f>
        <v>2265826.7935366463</v>
      </c>
      <c r="AH42" s="12">
        <f>($M$49*$I$54+$M$50*$I$55+$M$51*$I$56)*($A$2*(Users!BD45*AH$24 + Users!BD57*AH$22) + $A$3*Users!BD69*AH$23)/60</f>
        <v>2360499.8419527141</v>
      </c>
      <c r="AI42" s="12">
        <f>($M$49*$I$54+$M$50*$I$55+$M$51*$I$56)*($A$2*(Users!BE45*AI$24 + Users!BE57*AI$22) + $A$3*Users!BE69*AI$23)/60</f>
        <v>2459553.1180723491</v>
      </c>
      <c r="AJ42" s="12">
        <f>($M$49*$I$54+$M$50*$I$55+$M$51*$I$56)*($A$2*(Users!BF45*AJ$24 + Users!BF57*AJ$22) + $A$3*Users!BF69*AJ$23)/60</f>
        <v>2563202.413694181</v>
      </c>
      <c r="AK42" s="12">
        <f>($M$49*$I$54+$M$50*$I$55+$M$51*$I$56)*($A$2*(Users!BG45*AK$24 + Users!BG57*AK$22) + $A$3*Users!BG69*AK$23)/60</f>
        <v>2671674.814017368</v>
      </c>
      <c r="AL42" s="12">
        <f>($M$49*$I$54+$M$50*$I$55+$M$51*$I$56)*($A$2*(Users!BH45*AL$24 + Users!BH57*AL$22) + $A$3*Users!BH69*AL$23)/60</f>
        <v>2725242.0148526109</v>
      </c>
      <c r="AM42" s="12">
        <f>($M$49*$I$54+$M$50*$I$55+$M$51*$I$56)*($A$2*(Users!BI45*AM$24 + Users!BI57*AM$22) + $A$3*Users!BI69*AM$23)/60</f>
        <v>2780324.2295516795</v>
      </c>
      <c r="AN42" s="12">
        <f>($M$49*$I$54+$M$50*$I$55+$M$51*$I$56)*($A$2*(Users!BJ45*AN$24 + Users!BJ57*AN$22) + $A$3*Users!BJ69*AN$23)/60</f>
        <v>2836944.4074964928</v>
      </c>
      <c r="AO42" s="12">
        <f>($M$49*$I$54+$M$50*$I$55+$M$51*$I$56)*($A$2*(Users!BK45*AO$24 + Users!BK57*AO$22) + $A$3*Users!BK69*AO$23)/60</f>
        <v>2895117.3303486002</v>
      </c>
      <c r="AP42" s="12">
        <f>($M$49*$I$54+$M$50*$I$55+$M$51*$I$56)*($A$2*(Users!BL45*AP$24 + Users!BL57*AP$22) + $A$3*Users!BL69*AP$23)/60</f>
        <v>2954844.9117413303</v>
      </c>
      <c r="AQ42" s="12">
        <f>($M$49*$I$54+$M$50*$I$55+$M$51*$I$56)*($A$2*(Users!BM45*AQ$24 + Users!BM57*AQ$22) + $A$3*Users!BM69*AQ$23)/60</f>
        <v>3016125.5538263214</v>
      </c>
      <c r="AR42" s="12">
        <f>($M$49*$I$54+$M$50*$I$55+$M$51*$I$56)*($A$2*(Users!BN45*AR$24 + Users!BN57*AR$22) + $A$3*Users!BN69*AR$23)/60</f>
        <v>3078955.5576742985</v>
      </c>
      <c r="AS42" s="12">
        <f>($M$49*$I$54+$M$50*$I$55+$M$51*$I$56)*($A$2*(Users!BO45*AS$24 + Users!BO57*AS$22) + $A$3*Users!BO69*AS$23)/60</f>
        <v>3143328.6905939993</v>
      </c>
      <c r="AT42" s="12">
        <f>($M$49*$I$54+$M$50*$I$55+$M$51*$I$56)*($A$2*(Users!BP45*AT$24 + Users!BP57*AT$22) + $A$3*Users!BP69*AT$23)/60</f>
        <v>3209455.4373531765</v>
      </c>
      <c r="AU42" s="12">
        <f>($M$49*$I$54+$M$50*$I$55+$M$51*$I$56)*($A$2*(Users!BQ45*AU$24 + Users!BQ57*AU$22) + $A$3*Users!BQ69*AU$23)/60</f>
        <v>3276973.3038670267</v>
      </c>
      <c r="AV42" s="12">
        <f>($M$49*$I$54+$M$50*$I$55+$M$51*$I$56)*($A$2*(Users!BR45*AV$24 + Users!BR57*AV$22) + $A$3*Users!BR69*AV$23)/60</f>
        <v>3345911.5553613156</v>
      </c>
      <c r="AW42" s="12">
        <f>($M$49*$I$54+$M$50*$I$55+$M$51*$I$56)*($A$2*(Users!BS45*AW$24 + Users!BS57*AW$22) + $A$3*Users!BS69*AW$23)/60</f>
        <v>3416300.0727193756</v>
      </c>
      <c r="AX42" s="12">
        <f>($M$49*$I$54+$M$50*$I$55+$M$51*$I$56)*($A$2*(Users!BT45*AX$24 + Users!BT57*AX$22) + $A$3*Users!BT69*AX$23)/60</f>
        <v>3488786.779868409</v>
      </c>
      <c r="AY42" s="12">
        <f>($M$49*$I$54+$M$50*$I$55+$M$51*$I$56)*($A$2*(Users!BU45*AY$24 + Users!BU57*AY$22) + $A$3*Users!BU69*AY$23)/60</f>
        <v>3562811.5025902824</v>
      </c>
      <c r="AZ42" s="12">
        <f>($M$49*$I$54+$M$50*$I$55+$M$51*$I$56)*($A$2*(Users!BV45*AZ$24 + Users!BV57*AZ$22) + $A$3*Users!BV69*AZ$23)/60</f>
        <v>3638406.8743428234</v>
      </c>
      <c r="BA42" s="12">
        <f>($M$49*$I$54+$M$50*$I$55+$M$51*$I$56)*($A$2*(Users!BW45*BA$24 + Users!BW57*BA$22) + $A$3*Users!BW69*BA$23)/60</f>
        <v>3715606.2209972856</v>
      </c>
      <c r="BB42" s="12">
        <f>($M$49*$I$54+$M$50*$I$55+$M$51*$I$56)*($A$2*(Users!BX45*BB$24 + Users!BX57*BB$22) + $A$3*Users!BX69*BB$23)/60</f>
        <v>3794443.5755298394</v>
      </c>
      <c r="BC42" s="12">
        <f>($M$49*$I$54+$M$50*$I$55+$M$51*$I$56)*($A$2*(Users!BY45*BC$24 + Users!BY57*BC$22) + $A$3*Users!BY69*BC$23)/60</f>
        <v>3876041.5988556547</v>
      </c>
      <c r="BD42" s="12">
        <f>($M$49*$I$54+$M$50*$I$55+$M$51*$I$56)*($A$2*(Users!BZ45*BD$24 + Users!BZ57*BD$22) + $A$3*Users!BZ69*BD$23)/60</f>
        <v>3959394.355722277</v>
      </c>
      <c r="BE42" s="12">
        <f>($M$49*$I$54+$M$50*$I$55+$M$51*$I$56)*($A$2*(Users!CA45*BE$24 + Users!CA57*BE$22) + $A$3*Users!CA69*BE$23)/60</f>
        <v>4044539.5809873994</v>
      </c>
      <c r="BF42" s="12">
        <f>($M$49*$I$54+$M$50*$I$55+$M$51*$I$56)*($A$2*(Users!CB45*BF$24 + Users!CB57*BF$22) + $A$3*Users!CB69*BF$23)/60</f>
        <v>4131515.8209820865</v>
      </c>
      <c r="BG42" s="12">
        <f>($M$49*$I$54+$M$50*$I$55+$M$51*$I$56)*($A$2*(Users!CC45*BG$24 + Users!CC57*BG$22) + $A$3*Users!CC69*BG$23)/60</f>
        <v>4220362.4509611316</v>
      </c>
      <c r="BH42" s="12">
        <f>($M$49*$I$54+$M$50*$I$55+$M$51*$I$56)*($A$2*(Users!CD45*BH$24 + Users!CD57*BH$22) + $A$3*Users!CD69*BH$23)/60</f>
        <v>4312626.0562546542</v>
      </c>
      <c r="BI42" s="12">
        <f>($M$49*$I$54+$M$50*$I$55+$M$51*$I$56)*($A$2*(Users!CE45*BI$24 + Users!CE57*BI$22) + $A$3*Users!CE69*BI$23)/60</f>
        <v>4406906.6856688978</v>
      </c>
      <c r="BJ42" s="12">
        <f>($M$49*$I$54+$M$50*$I$55+$M$51*$I$56)*($A$2*(Users!CF45*BJ$24 + Users!CF57*BJ$22) + $A$3*Users!CF69*BJ$23)/60</f>
        <v>4503248.4344491214</v>
      </c>
      <c r="BK42" s="12">
        <f>($M$49*$I$54+$M$50*$I$55+$M$51*$I$56)*($A$2*(Users!CG45*BK$24 + Users!CG57*BK$22) + $A$3*Users!CG69*BK$23)/60</f>
        <v>4601696.3618303603</v>
      </c>
      <c r="BL42" s="12">
        <f>($M$49*$I$54+$M$50*$I$55+$M$51*$I$56)*($A$2*(Users!CH45*BL$24 + Users!CH57*BL$22) + $A$3*Users!CH69*BL$23)/60</f>
        <v>4702296.5121117327</v>
      </c>
      <c r="BM42" s="12">
        <f>($M$49*$I$54+$M$50*$I$55+$M$51*$I$56)*($A$2*(Users!CI45*BM$24 + Users!CI57*BM$22) + $A$3*Users!CI69*BM$23)/60</f>
        <v>4806324.9999432871</v>
      </c>
      <c r="BN42" s="12">
        <f>($M$49*$I$54+$M$50*$I$55+$M$51*$I$56)*($A$2*(Users!CJ45*BN$24 + Users!CJ57*BN$22) + $A$3*Users!CJ69*BN$23)/60</f>
        <v>4912654.9007658428</v>
      </c>
      <c r="BO42" s="12">
        <f>($M$49*$I$54+$M$50*$I$55+$M$51*$I$56)*($A$2*(Users!CK45*BO$24 + Users!CK57*BO$22) + $A$3*Users!CK69*BO$23)/60</f>
        <v>5021337.1285344558</v>
      </c>
      <c r="BP42" s="12">
        <f>($M$49*$I$54+$M$50*$I$55+$M$51*$I$56)*($A$2*(Users!CL45*BP$24 + Users!CL57*BP$22) + $A$3*Users!CL69*BP$23)/60</f>
        <v>5132423.7235691184</v>
      </c>
      <c r="BQ42" s="12">
        <f>($M$49*$I$54+$M$50*$I$55+$M$51*$I$56)*($A$2*(Users!CM45*BQ$24 + Users!CM57*BQ$22) + $A$3*Users!CM69*BQ$23)/60</f>
        <v>5245967.8774731727</v>
      </c>
      <c r="BR42" s="12">
        <f>($M$49*$I$54+$M$50*$I$55+$M$51*$I$56)*($A$2*(Users!CN45*BR$24 + Users!CN57*BR$22) + $A$3*Users!CN69*BR$23)/60</f>
        <v>5362330.2024009572</v>
      </c>
      <c r="BS42" s="12">
        <f>($M$49*$I$54+$M$50*$I$55+$M$51*$I$56)*($A$2*(Users!CO45*BS$24 + Users!CO57*BS$22) + $A$3*Users!CO69*BS$23)/60</f>
        <v>5481056.9367080899</v>
      </c>
      <c r="BT42" s="12">
        <f>($M$49*$I$54+$M$50*$I$55+$M$51*$I$56)*($A$2*(Users!CP45*BT$24 + Users!CP57*BT$22) + $A$3*Users!CP69*BT$23)/60</f>
        <v>5602412.3859408628</v>
      </c>
      <c r="BU42" s="12">
        <f>($M$49*$I$54+$M$50*$I$55+$M$51*$I$56)*($A$2*(Users!CQ45*BU$24 + Users!CQ57*BU$22) + $A$3*Users!CQ69*BU$23)/60</f>
        <v>5726454.7521731313</v>
      </c>
      <c r="BV42" s="12">
        <f>($M$49*$I$54+$M$50*$I$55+$M$51*$I$56)*($A$2*(Users!CR45*BV$24 + Users!CR57*BV$22) + $A$3*Users!CR69*BV$23)/60</f>
        <v>5853243.5261241738</v>
      </c>
      <c r="BW42" s="12">
        <f>($M$49*$I$54+$M$50*$I$55+$M$51*$I$56)*($A$2*(Users!CS45*BW$24 + Users!CS57*BW$22) + $A$3*Users!CS69*BW$23)/60</f>
        <v>5981789.5807416495</v>
      </c>
      <c r="BX42" s="12">
        <f>($M$49*$I$54+$M$50*$I$55+$M$51*$I$56)*($A$2*(Users!CT45*BX$24 + Users!CT57*BX$22) + $A$3*Users!CT69*BX$23)/60</f>
        <v>6113158.7005680269</v>
      </c>
      <c r="BY42" s="12">
        <f>($M$49*$I$54+$M$50*$I$55+$M$51*$I$56)*($A$2*(Users!CU45*BY$24 + Users!CU57*BY$22) + $A$3*Users!CU69*BY$23)/60</f>
        <v>6247412.8843724681</v>
      </c>
      <c r="BZ42" s="12">
        <f>($M$49*$I$54+$M$50*$I$55+$M$51*$I$56)*($A$2*(Users!CV45*BZ$24 + Users!CV57*BZ$22) + $A$3*Users!CV69*BZ$23)/60</f>
        <v>6384615.4925107108</v>
      </c>
    </row>
    <row r="43" spans="1:81">
      <c r="A43" s="12"/>
      <c r="B43" s="12"/>
      <c r="C43" s="12"/>
      <c r="D43" s="12"/>
      <c r="N43" s="12"/>
      <c r="O43" s="12"/>
      <c r="P43" s="12" t="s">
        <v>231</v>
      </c>
      <c r="R43" s="12">
        <f>($M$49*$I$54+$M$50*$I$55+$M$51*$I$56)*($A$2*(Users!AN46*R$24 + Users!AN58*R$22) + $A$3*Users!AN70*R$23)/60</f>
        <v>0</v>
      </c>
      <c r="S43" s="12">
        <f>($M$49*$I$54+$M$50*$I$55+$M$51*$I$56)*($A$2*(Users!AO46*S$24 + Users!AO58*S$22) + $A$3*Users!AO70*S$23)/60</f>
        <v>0</v>
      </c>
      <c r="T43" s="12">
        <f>($M$49*$I$54+$M$50*$I$55+$M$51*$I$56)*($A$2*(Users!AP46*T$24 + Users!AP58*T$22) + $A$3*Users!AP70*T$23)/60</f>
        <v>0</v>
      </c>
      <c r="U43" s="12">
        <f>($M$49*$I$54+$M$50*$I$55+$M$51*$I$56)*($A$2*(Users!AQ46*U$24 + Users!AQ58*U$22) + $A$3*Users!AQ70*U$23)/60</f>
        <v>0</v>
      </c>
      <c r="V43" s="12">
        <f>($M$49*$I$54+$M$50*$I$55+$M$51*$I$56)*($A$2*(Users!AR46*V$24 + Users!AR58*V$22) + $A$3*Users!AR70*V$23)/60</f>
        <v>0</v>
      </c>
      <c r="W43" s="12">
        <f>($M$49*$I$54+$M$50*$I$55+$M$51*$I$56)*($A$2*(Users!AS46*W$24 + Users!AS58*W$22) + $A$3*Users!AS70*W$23)/60</f>
        <v>0</v>
      </c>
      <c r="X43" s="12">
        <f>($M$49*$I$54+$M$50*$I$55+$M$51*$I$56)*($A$2*(Users!AT46*X$24 + Users!AT58*X$22) + $A$3*Users!AT70*X$23)/60</f>
        <v>0</v>
      </c>
      <c r="Y43" s="12">
        <f>($M$49*$I$54+$M$50*$I$55+$M$51*$I$56)*($A$2*(Users!AU46*Y$24 + Users!AU58*Y$22) + $A$3*Users!AU70*Y$23)/60</f>
        <v>0</v>
      </c>
      <c r="Z43" s="12">
        <f>($M$49*$I$54+$M$50*$I$55+$M$51*$I$56)*($A$2*(Users!AV46*Z$24 + Users!AV58*Z$22) + $A$3*Users!AV70*Z$23)/60</f>
        <v>0</v>
      </c>
      <c r="AA43" s="12">
        <f>($M$49*$I$54+$M$50*$I$55+$M$51*$I$56)*($A$2*(Users!AW46*AA$24 + Users!AW58*AA$22) + $A$3*Users!AW70*AA$23)/60</f>
        <v>0</v>
      </c>
      <c r="AB43" s="12">
        <f>($M$49*$I$54+$M$50*$I$55+$M$51*$I$56)*($A$2*(Users!AX46*AB$24 + Users!AX58*AB$22) + $A$3*Users!AX70*AB$23)/60</f>
        <v>0</v>
      </c>
      <c r="AC43" s="12">
        <f>($M$49*$I$54+$M$50*$I$55+$M$51*$I$56)*($A$2*(Users!AY46*AC$24 + Users!AY58*AC$22) + $A$3*Users!AY70*AC$23)/60</f>
        <v>0</v>
      </c>
      <c r="AD43" s="12">
        <f>($M$49*$I$54+$M$50*$I$55+$M$51*$I$56)*($A$2*(Users!AZ46*AD$24 + Users!AZ58*AD$22) + $A$3*Users!AZ70*AD$23)/60</f>
        <v>0</v>
      </c>
      <c r="AE43" s="12">
        <f>($M$49*$I$54+$M$50*$I$55+$M$51*$I$56)*($A$2*(Users!BA46*AE$24 + Users!BA58*AE$22) + $A$3*Users!BA70*AE$23)/60</f>
        <v>0</v>
      </c>
      <c r="AF43" s="12">
        <f>($M$49*$I$54+$M$50*$I$55+$M$51*$I$56)*($A$2*(Users!BB46*AF$24 + Users!BB58*AF$22) + $A$3*Users!BB70*AF$23)/60</f>
        <v>0</v>
      </c>
      <c r="AG43" s="12">
        <f>($M$49*$I$54+$M$50*$I$55+$M$51*$I$56)*($A$2*(Users!BC46*AG$24 + Users!BC58*AG$22) + $A$3*Users!BC70*AG$23)/60</f>
        <v>0</v>
      </c>
      <c r="AH43" s="12">
        <f>($M$49*$I$54+$M$50*$I$55+$M$51*$I$56)*($A$2*(Users!BD46*AH$24 + Users!BD58*AH$22) + $A$3*Users!BD70*AH$23)/60</f>
        <v>0</v>
      </c>
      <c r="AI43" s="12">
        <f>($M$49*$I$54+$M$50*$I$55+$M$51*$I$56)*($A$2*(Users!BE46*AI$24 + Users!BE58*AI$22) + $A$3*Users!BE70*AI$23)/60</f>
        <v>0</v>
      </c>
      <c r="AJ43" s="12">
        <f>($M$49*$I$54+$M$50*$I$55+$M$51*$I$56)*($A$2*(Users!BF46*AJ$24 + Users!BF58*AJ$22) + $A$3*Users!BF70*AJ$23)/60</f>
        <v>0</v>
      </c>
      <c r="AK43" s="12">
        <f>($M$49*$I$54+$M$50*$I$55+$M$51*$I$56)*($A$2*(Users!BG46*AK$24 + Users!BG58*AK$22) + $A$3*Users!BG70*AK$23)/60</f>
        <v>0</v>
      </c>
      <c r="AL43" s="12">
        <f>($M$49*$I$54+$M$50*$I$55+$M$51*$I$56)*($A$2*(Users!BH46*AL$24 + Users!BH58*AL$22) + $A$3*Users!BH70*AL$23)/60</f>
        <v>0</v>
      </c>
      <c r="AM43" s="12">
        <f>($M$49*$I$54+$M$50*$I$55+$M$51*$I$56)*($A$2*(Users!BI46*AM$24 + Users!BI58*AM$22) + $A$3*Users!BI70*AM$23)/60</f>
        <v>0</v>
      </c>
      <c r="AN43" s="12">
        <f>($M$49*$I$54+$M$50*$I$55+$M$51*$I$56)*($A$2*(Users!BJ46*AN$24 + Users!BJ58*AN$22) + $A$3*Users!BJ70*AN$23)/60</f>
        <v>0</v>
      </c>
      <c r="AO43" s="12">
        <f>($M$49*$I$54+$M$50*$I$55+$M$51*$I$56)*($A$2*(Users!BK46*AO$24 + Users!BK58*AO$22) + $A$3*Users!BK70*AO$23)/60</f>
        <v>0</v>
      </c>
      <c r="AP43" s="12">
        <f>($M$49*$I$54+$M$50*$I$55+$M$51*$I$56)*($A$2*(Users!BL46*AP$24 + Users!BL58*AP$22) + $A$3*Users!BL70*AP$23)/60</f>
        <v>0</v>
      </c>
      <c r="AQ43" s="12">
        <f>($M$49*$I$54+$M$50*$I$55+$M$51*$I$56)*($A$2*(Users!BM46*AQ$24 + Users!BM58*AQ$22) + $A$3*Users!BM70*AQ$23)/60</f>
        <v>0</v>
      </c>
      <c r="AR43" s="12">
        <f>($M$49*$I$54+$M$50*$I$55+$M$51*$I$56)*($A$2*(Users!BN46*AR$24 + Users!BN58*AR$22) + $A$3*Users!BN70*AR$23)/60</f>
        <v>0</v>
      </c>
      <c r="AS43" s="12">
        <f>($M$49*$I$54+$M$50*$I$55+$M$51*$I$56)*($A$2*(Users!BO46*AS$24 + Users!BO58*AS$22) + $A$3*Users!BO70*AS$23)/60</f>
        <v>0</v>
      </c>
      <c r="AT43" s="12">
        <f>($M$49*$I$54+$M$50*$I$55+$M$51*$I$56)*($A$2*(Users!BP46*AT$24 + Users!BP58*AT$22) + $A$3*Users!BP70*AT$23)/60</f>
        <v>0</v>
      </c>
      <c r="AU43" s="12">
        <f>($M$49*$I$54+$M$50*$I$55+$M$51*$I$56)*($A$2*(Users!BQ46*AU$24 + Users!BQ58*AU$22) + $A$3*Users!BQ70*AU$23)/60</f>
        <v>0</v>
      </c>
      <c r="AV43" s="12">
        <f>($M$49*$I$54+$M$50*$I$55+$M$51*$I$56)*($A$2*(Users!BR46*AV$24 + Users!BR58*AV$22) + $A$3*Users!BR70*AV$23)/60</f>
        <v>0</v>
      </c>
      <c r="AW43" s="12">
        <f>($M$49*$I$54+$M$50*$I$55+$M$51*$I$56)*($A$2*(Users!BS46*AW$24 + Users!BS58*AW$22) + $A$3*Users!BS70*AW$23)/60</f>
        <v>0</v>
      </c>
      <c r="AX43" s="12">
        <f>($M$49*$I$54+$M$50*$I$55+$M$51*$I$56)*($A$2*(Users!BT46*AX$24 + Users!BT58*AX$22) + $A$3*Users!BT70*AX$23)/60</f>
        <v>0</v>
      </c>
      <c r="AY43" s="12">
        <f>($M$49*$I$54+$M$50*$I$55+$M$51*$I$56)*($A$2*(Users!BU46*AY$24 + Users!BU58*AY$22) + $A$3*Users!BU70*AY$23)/60</f>
        <v>0</v>
      </c>
      <c r="AZ43" s="12">
        <f>($M$49*$I$54+$M$50*$I$55+$M$51*$I$56)*($A$2*(Users!BV46*AZ$24 + Users!BV58*AZ$22) + $A$3*Users!BV70*AZ$23)/60</f>
        <v>0</v>
      </c>
      <c r="BA43" s="12">
        <f>($M$49*$I$54+$M$50*$I$55+$M$51*$I$56)*($A$2*(Users!BW46*BA$24 + Users!BW58*BA$22) + $A$3*Users!BW70*BA$23)/60</f>
        <v>0</v>
      </c>
      <c r="BB43" s="12">
        <f>($M$49*$I$54+$M$50*$I$55+$M$51*$I$56)*($A$2*(Users!BX46*BB$24 + Users!BX58*BB$22) + $A$3*Users!BX70*BB$23)/60</f>
        <v>0</v>
      </c>
      <c r="BC43" s="12">
        <f>($M$49*$I$54+$M$50*$I$55+$M$51*$I$56)*($A$2*(Users!BY46*BC$24 + Users!BY58*BC$22) + $A$3*Users!BY70*BC$23)/60</f>
        <v>0</v>
      </c>
      <c r="BD43" s="12">
        <f>($M$49*$I$54+$M$50*$I$55+$M$51*$I$56)*($A$2*(Users!BZ46*BD$24 + Users!BZ58*BD$22) + $A$3*Users!BZ70*BD$23)/60</f>
        <v>0</v>
      </c>
      <c r="BE43" s="12">
        <f>($M$49*$I$54+$M$50*$I$55+$M$51*$I$56)*($A$2*(Users!CA46*BE$24 + Users!CA58*BE$22) + $A$3*Users!CA70*BE$23)/60</f>
        <v>0</v>
      </c>
      <c r="BF43" s="12">
        <f>($M$49*$I$54+$M$50*$I$55+$M$51*$I$56)*($A$2*(Users!CB46*BF$24 + Users!CB58*BF$22) + $A$3*Users!CB70*BF$23)/60</f>
        <v>0</v>
      </c>
      <c r="BG43" s="12">
        <f>($M$49*$I$54+$M$50*$I$55+$M$51*$I$56)*($A$2*(Users!CC46*BG$24 + Users!CC58*BG$22) + $A$3*Users!CC70*BG$23)/60</f>
        <v>0</v>
      </c>
      <c r="BH43" s="12">
        <f>($M$49*$I$54+$M$50*$I$55+$M$51*$I$56)*($A$2*(Users!CD46*BH$24 + Users!CD58*BH$22) + $A$3*Users!CD70*BH$23)/60</f>
        <v>0</v>
      </c>
      <c r="BI43" s="12">
        <f>($M$49*$I$54+$M$50*$I$55+$M$51*$I$56)*($A$2*(Users!CE46*BI$24 + Users!CE58*BI$22) + $A$3*Users!CE70*BI$23)/60</f>
        <v>0</v>
      </c>
      <c r="BJ43" s="12">
        <f>($M$49*$I$54+$M$50*$I$55+$M$51*$I$56)*($A$2*(Users!CF46*BJ$24 + Users!CF58*BJ$22) + $A$3*Users!CF70*BJ$23)/60</f>
        <v>0</v>
      </c>
      <c r="BK43" s="12">
        <f>($M$49*$I$54+$M$50*$I$55+$M$51*$I$56)*($A$2*(Users!CG46*BK$24 + Users!CG58*BK$22) + $A$3*Users!CG70*BK$23)/60</f>
        <v>0</v>
      </c>
      <c r="BL43" s="12">
        <f>($M$49*$I$54+$M$50*$I$55+$M$51*$I$56)*($A$2*(Users!CH46*BL$24 + Users!CH58*BL$22) + $A$3*Users!CH70*BL$23)/60</f>
        <v>0</v>
      </c>
      <c r="BM43" s="12">
        <f>($M$49*$I$54+$M$50*$I$55+$M$51*$I$56)*($A$2*(Users!CI46*BM$24 + Users!CI58*BM$22) + $A$3*Users!CI70*BM$23)/60</f>
        <v>0</v>
      </c>
      <c r="BN43" s="12">
        <f>($M$49*$I$54+$M$50*$I$55+$M$51*$I$56)*($A$2*(Users!CJ46*BN$24 + Users!CJ58*BN$22) + $A$3*Users!CJ70*BN$23)/60</f>
        <v>0</v>
      </c>
      <c r="BO43" s="12">
        <f>($M$49*$I$54+$M$50*$I$55+$M$51*$I$56)*($A$2*(Users!CK46*BO$24 + Users!CK58*BO$22) + $A$3*Users!CK70*BO$23)/60</f>
        <v>0</v>
      </c>
      <c r="BP43" s="12">
        <f>($M$49*$I$54+$M$50*$I$55+$M$51*$I$56)*($A$2*(Users!CL46*BP$24 + Users!CL58*BP$22) + $A$3*Users!CL70*BP$23)/60</f>
        <v>0</v>
      </c>
      <c r="BQ43" s="12">
        <f>($M$49*$I$54+$M$50*$I$55+$M$51*$I$56)*($A$2*(Users!CM46*BQ$24 + Users!CM58*BQ$22) + $A$3*Users!CM70*BQ$23)/60</f>
        <v>0</v>
      </c>
      <c r="BR43" s="12">
        <f>($M$49*$I$54+$M$50*$I$55+$M$51*$I$56)*($A$2*(Users!CN46*BR$24 + Users!CN58*BR$22) + $A$3*Users!CN70*BR$23)/60</f>
        <v>0</v>
      </c>
      <c r="BS43" s="12">
        <f>($M$49*$I$54+$M$50*$I$55+$M$51*$I$56)*($A$2*(Users!CO46*BS$24 + Users!CO58*BS$22) + $A$3*Users!CO70*BS$23)/60</f>
        <v>0</v>
      </c>
      <c r="BT43" s="12">
        <f>($M$49*$I$54+$M$50*$I$55+$M$51*$I$56)*($A$2*(Users!CP46*BT$24 + Users!CP58*BT$22) + $A$3*Users!CP70*BT$23)/60</f>
        <v>0</v>
      </c>
      <c r="BU43" s="12">
        <f>($M$49*$I$54+$M$50*$I$55+$M$51*$I$56)*($A$2*(Users!CQ46*BU$24 + Users!CQ58*BU$22) + $A$3*Users!CQ70*BU$23)/60</f>
        <v>0</v>
      </c>
      <c r="BV43" s="12">
        <f>($M$49*$I$54+$M$50*$I$55+$M$51*$I$56)*($A$2*(Users!CR46*BV$24 + Users!CR58*BV$22) + $A$3*Users!CR70*BV$23)/60</f>
        <v>0</v>
      </c>
      <c r="BW43" s="12">
        <f>($M$49*$I$54+$M$50*$I$55+$M$51*$I$56)*($A$2*(Users!CS46*BW$24 + Users!CS58*BW$22) + $A$3*Users!CS70*BW$23)/60</f>
        <v>0</v>
      </c>
      <c r="BX43" s="12">
        <f>($M$49*$I$54+$M$50*$I$55+$M$51*$I$56)*($A$2*(Users!CT46*BX$24 + Users!CT58*BX$22) + $A$3*Users!CT70*BX$23)/60</f>
        <v>0</v>
      </c>
      <c r="BY43" s="12">
        <f>($M$49*$I$54+$M$50*$I$55+$M$51*$I$56)*($A$2*(Users!CU46*BY$24 + Users!CU58*BY$22) + $A$3*Users!CU70*BY$23)/60</f>
        <v>0</v>
      </c>
      <c r="BZ43" s="12">
        <f>($M$49*$I$54+$M$50*$I$55+$M$51*$I$56)*($A$2*(Users!CV46*BZ$24 + Users!CV58*BZ$22) + $A$3*Users!CV70*BZ$23)/60</f>
        <v>0</v>
      </c>
    </row>
    <row r="44" spans="1:81">
      <c r="G44" s="12"/>
      <c r="H44" s="12"/>
      <c r="I44" s="12"/>
      <c r="J44" s="12"/>
      <c r="K44" s="12"/>
      <c r="N44" s="12"/>
      <c r="O44" s="12"/>
      <c r="P44" s="12" t="s">
        <v>232</v>
      </c>
      <c r="R44" s="12">
        <f>($M$49*$I$54+$M$50*$I$55+$M$51*$I$56)*($A$2*(Users!AN47*R$24 + Users!AN59*R$22) + $A$3*Users!AN71*R$23)/60</f>
        <v>48108.683558292287</v>
      </c>
      <c r="S44" s="12">
        <f>($M$49*$I$54+$M$50*$I$55+$M$51*$I$56)*($A$2*(Users!AO47*S$24 + Users!AO59*S$22) + $A$3*Users!AO71*S$23)/60</f>
        <v>49590.965603382254</v>
      </c>
      <c r="T44" s="12">
        <f>($M$49*$I$54+$M$50*$I$55+$M$51*$I$56)*($A$2*(Users!AP47*T$24 + Users!AP59*T$22) + $A$3*Users!AP71*T$23)/60</f>
        <v>50123.824327672744</v>
      </c>
      <c r="U44" s="12">
        <f>($M$49*$I$54+$M$50*$I$55+$M$51*$I$56)*($A$2*(Users!AQ47*U$24 + Users!AQ59*U$22) + $A$3*Users!AQ71*U$23)/60</f>
        <v>51545.512204012768</v>
      </c>
      <c r="V44" s="12">
        <f>($M$49*$I$54+$M$50*$I$55+$M$51*$I$56)*($A$2*(Users!AR47*V$24 + Users!AR59*V$22) + $A$3*Users!AR71*V$23)/60</f>
        <v>53759.985961747625</v>
      </c>
      <c r="W44" s="12">
        <f>($M$49*$I$54+$M$50*$I$55+$M$51*$I$56)*($A$2*(Users!AS47*W$24 + Users!AS59*W$22) + $A$3*Users!AS71*W$23)/60</f>
        <v>55531.113316150288</v>
      </c>
      <c r="X44" s="12">
        <f>($M$49*$I$54+$M$50*$I$55+$M$51*$I$56)*($A$2*(Users!AT47*X$24 + Users!AT59*X$22) + $A$3*Users!AT71*X$23)/60</f>
        <v>57690.251837938362</v>
      </c>
      <c r="Y44" s="12">
        <f>($M$49*$I$54+$M$50*$I$55+$M$51*$I$56)*($A$2*(Users!AU47*Y$24 + Users!AU59*Y$22) + $A$3*Users!AU71*Y$23)/60</f>
        <v>59954.266575862537</v>
      </c>
      <c r="Z44" s="12">
        <f>($M$49*$I$54+$M$50*$I$55+$M$51*$I$56)*($A$2*(Users!AV47*Z$24 + Users!AV59*Z$22) + $A$3*Users!AV71*Z$23)/60</f>
        <v>62316.025313602135</v>
      </c>
      <c r="AA44" s="12">
        <f>($M$49*$I$54+$M$50*$I$55+$M$51*$I$56)*($A$2*(Users!AW47*AA$24 + Users!AW59*AA$22) + $A$3*Users!AW71*AA$23)/60</f>
        <v>64809.061240817406</v>
      </c>
      <c r="AB44" s="12">
        <f>($M$49*$I$54+$M$50*$I$55+$M$51*$I$56)*($A$2*(Users!AX47*AB$24 + Users!AX59*AB$22) + $A$3*Users!AX71*AB$23)/60</f>
        <v>67425.144625277826</v>
      </c>
      <c r="AC44" s="12">
        <f>($M$49*$I$54+$M$50*$I$55+$M$51*$I$56)*($A$2*(Users!AY47*AC$24 + Users!AY59*AC$22) + $A$3*Users!AY71*AC$23)/60</f>
        <v>70172.28297373747</v>
      </c>
      <c r="AD44" s="12">
        <f>($M$49*$I$54+$M$50*$I$55+$M$51*$I$56)*($A$2*(Users!AZ47*AD$24 + Users!AZ59*AD$22) + $A$3*Users!AZ71*AD$23)/60</f>
        <v>73058.73000971794</v>
      </c>
      <c r="AE44" s="12">
        <f>($M$49*$I$54+$M$50*$I$55+$M$51*$I$56)*($A$2*(Users!BA47*AE$24 + Users!BA59*AE$22) + $A$3*Users!BA71*AE$23)/60</f>
        <v>76074.645995309314</v>
      </c>
      <c r="AF44" s="12">
        <f>($M$49*$I$54+$M$50*$I$55+$M$51*$I$56)*($A$2*(Users!BB47*AF$24 + Users!BB59*AF$22) + $A$3*Users!BB71*AF$23)/60</f>
        <v>79227.128383898322</v>
      </c>
      <c r="AG44" s="12">
        <f>($M$49*$I$54+$M$50*$I$55+$M$51*$I$56)*($A$2*(Users!BC47*AG$24 + Users!BC59*AG$22) + $A$3*Users!BC71*AG$23)/60</f>
        <v>82523.542442759936</v>
      </c>
      <c r="AH44" s="12">
        <f>($M$49*$I$54+$M$50*$I$55+$M$51*$I$56)*($A$2*(Users!BD47*AH$24 + Users!BD59*AH$22) + $A$3*Users!BD71*AH$23)/60</f>
        <v>85971.623889865718</v>
      </c>
      <c r="AI44" s="12">
        <f>($M$49*$I$54+$M$50*$I$55+$M$51*$I$56)*($A$2*(Users!BE47*AI$24 + Users!BE59*AI$22) + $A$3*Users!BE71*AI$23)/60</f>
        <v>89579.237348789597</v>
      </c>
      <c r="AJ44" s="12">
        <f>($M$49*$I$54+$M$50*$I$55+$M$51*$I$56)*($A$2*(Users!BF47*AJ$24 + Users!BF59*AJ$22) + $A$3*Users!BF71*AJ$23)/60</f>
        <v>93354.242159752888</v>
      </c>
      <c r="AK44" s="12">
        <f>($M$49*$I$54+$M$50*$I$55+$M$51*$I$56)*($A$2*(Users!BG47*AK$24 + Users!BG59*AK$22) + $A$3*Users!BG71*AK$23)/60</f>
        <v>97304.908979243759</v>
      </c>
      <c r="AL44" s="12">
        <f>($M$49*$I$54+$M$50*$I$55+$M$51*$I$56)*($A$2*(Users!BH47*AL$24 + Users!BH59*AL$22) + $A$3*Users!BH71*AL$23)/60</f>
        <v>99255.876804444153</v>
      </c>
      <c r="AM44" s="12">
        <f>($M$49*$I$54+$M$50*$I$55+$M$51*$I$56)*($A$2*(Users!BI47*AM$24 + Users!BI59*AM$22) + $A$3*Users!BI71*AM$23)/60</f>
        <v>101262.02285917621</v>
      </c>
      <c r="AN44" s="12">
        <f>($M$49*$I$54+$M$50*$I$55+$M$51*$I$56)*($A$2*(Users!BJ47*AN$24 + Users!BJ59*AN$22) + $A$3*Users!BJ71*AN$23)/60</f>
        <v>103324.18298150945</v>
      </c>
      <c r="AO44" s="12">
        <f>($M$49*$I$54+$M$50*$I$55+$M$51*$I$56)*($A$2*(Users!BK47*AO$24 + Users!BK59*AO$22) + $A$3*Users!BK71*AO$23)/60</f>
        <v>105442.89553345706</v>
      </c>
      <c r="AP44" s="12">
        <f>($M$49*$I$54+$M$50*$I$55+$M$51*$I$56)*($A$2*(Users!BL47*AP$24 + Users!BL59*AP$22) + $A$3*Users!BL71*AP$23)/60</f>
        <v>107618.23021134431</v>
      </c>
      <c r="AQ44" s="12">
        <f>($M$49*$I$54+$M$50*$I$55+$M$51*$I$56)*($A$2*(Users!BM47*AQ$24 + Users!BM59*AQ$22) + $A$3*Users!BM71*AQ$23)/60</f>
        <v>109850.1288200314</v>
      </c>
      <c r="AR44" s="12">
        <f>($M$49*$I$54+$M$50*$I$55+$M$51*$I$56)*($A$2*(Users!BN47*AR$24 + Users!BN59*AR$22) + $A$3*Users!BN71*AR$23)/60</f>
        <v>112138.45664103588</v>
      </c>
      <c r="AS44" s="12">
        <f>($M$49*$I$54+$M$50*$I$55+$M$51*$I$56)*($A$2*(Users!BO47*AS$24 + Users!BO59*AS$22) + $A$3*Users!BO71*AS$23)/60</f>
        <v>114482.98667388121</v>
      </c>
      <c r="AT44" s="12">
        <f>($M$49*$I$54+$M$50*$I$55+$M$51*$I$56)*($A$2*(Users!BP47*AT$24 + Users!BP59*AT$22) + $A$3*Users!BP71*AT$23)/60</f>
        <v>116891.38497173386</v>
      </c>
      <c r="AU44" s="12">
        <f>($M$49*$I$54+$M$50*$I$55+$M$51*$I$56)*($A$2*(Users!BQ47*AU$24 + Users!BQ59*AU$22) + $A$3*Users!BQ71*AU$23)/60</f>
        <v>119350.44915916173</v>
      </c>
      <c r="AV44" s="12">
        <f>($M$49*$I$54+$M$50*$I$55+$M$51*$I$56)*($A$2*(Users!BR47*AV$24 + Users!BR59*AV$22) + $A$3*Users!BR71*AV$23)/60</f>
        <v>121861.24510320596</v>
      </c>
      <c r="AW44" s="12">
        <f>($M$49*$I$54+$M$50*$I$55+$M$51*$I$56)*($A$2*(Users!BS47*AW$24 + Users!BS59*AW$22) + $A$3*Users!BS71*AW$23)/60</f>
        <v>124424.86109373551</v>
      </c>
      <c r="AX44" s="12">
        <f>($M$49*$I$54+$M$50*$I$55+$M$51*$I$56)*($A$2*(Users!BT47*AX$24 + Users!BT59*AX$22) + $A$3*Users!BT71*AX$23)/60</f>
        <v>127064.89512944057</v>
      </c>
      <c r="AY44" s="12">
        <f>($M$49*$I$54+$M$50*$I$55+$M$51*$I$56)*($A$2*(Users!BU47*AY$24 + Users!BU59*AY$22) + $A$3*Users!BU71*AY$23)/60</f>
        <v>129760.94513854869</v>
      </c>
      <c r="AZ44" s="12">
        <f>($M$49*$I$54+$M$50*$I$55+$M$51*$I$56)*($A$2*(Users!BV47*AZ$24 + Users!BV59*AZ$22) + $A$3*Users!BV71*AZ$23)/60</f>
        <v>132514.1996622803</v>
      </c>
      <c r="BA44" s="12">
        <f>($M$49*$I$54+$M$50*$I$55+$M$51*$I$56)*($A$2*(Users!BW47*BA$24 + Users!BW59*BA$22) + $A$3*Users!BW71*BA$23)/60</f>
        <v>135325.87246020362</v>
      </c>
      <c r="BB44" s="12">
        <f>($M$49*$I$54+$M$50*$I$55+$M$51*$I$56)*($A$2*(Users!BX47*BB$24 + Users!BX59*BB$22) + $A$3*Users!BX71*BB$23)/60</f>
        <v>138197.2030453131</v>
      </c>
      <c r="BC44" s="12">
        <f>($M$49*$I$54+$M$50*$I$55+$M$51*$I$56)*($A$2*(Users!BY47*BC$24 + Users!BY59*BC$22) + $A$3*Users!BY71*BC$23)/60</f>
        <v>141169.07978380934</v>
      </c>
      <c r="BD44" s="12">
        <f>($M$49*$I$54+$M$50*$I$55+$M$51*$I$56)*($A$2*(Users!BZ47*BD$24 + Users!BZ59*BD$22) + $A$3*Users!BZ71*BD$23)/60</f>
        <v>144204.86556788825</v>
      </c>
      <c r="BE44" s="12">
        <f>($M$49*$I$54+$M$50*$I$55+$M$51*$I$56)*($A$2*(Users!CA47*BE$24 + Users!CA59*BE$22) + $A$3*Users!CA71*BE$23)/60</f>
        <v>147305.93473655029</v>
      </c>
      <c r="BF44" s="12">
        <f>($M$49*$I$54+$M$50*$I$55+$M$51*$I$56)*($A$2*(Users!CB47*BF$24 + Users!CB59*BF$22) + $A$3*Users!CB71*BF$23)/60</f>
        <v>150473.69118341882</v>
      </c>
      <c r="BG44" s="12">
        <f>($M$49*$I$54+$M$50*$I$55+$M$51*$I$56)*($A$2*(Users!CC47*BG$24 + Users!CC59*BG$22) + $A$3*Users!CC71*BG$23)/60</f>
        <v>153709.5689922992</v>
      </c>
      <c r="BH44" s="12">
        <f>($M$49*$I$54+$M$50*$I$55+$M$51*$I$56)*($A$2*(Users!CD47*BH$24 + Users!CD59*BH$22) + $A$3*Users!CD71*BH$23)/60</f>
        <v>157069.89625521319</v>
      </c>
      <c r="BI44" s="12">
        <f>($M$49*$I$54+$M$50*$I$55+$M$51*$I$56)*($A$2*(Users!CE47*BI$24 + Users!CE59*BI$22) + $A$3*Users!CE71*BI$23)/60</f>
        <v>160503.68543326965</v>
      </c>
      <c r="BJ44" s="12">
        <f>($M$49*$I$54+$M$50*$I$55+$M$51*$I$56)*($A$2*(Users!CF47*BJ$24 + Users!CF59*BJ$22) + $A$3*Users!CF71*BJ$23)/60</f>
        <v>164012.54251676489</v>
      </c>
      <c r="BK44" s="12">
        <f>($M$49*$I$54+$M$50*$I$55+$M$51*$I$56)*($A$2*(Users!CG47*BK$24 + Users!CG59*BK$22) + $A$3*Users!CG71*BK$23)/60</f>
        <v>167598.10860540959</v>
      </c>
      <c r="BL44" s="12">
        <f>($M$49*$I$54+$M$50*$I$55+$M$51*$I$56)*($A$2*(Users!CH47*BL$24 + Users!CH59*BL$22) + $A$3*Users!CH71*BL$23)/60</f>
        <v>171262.06067587424</v>
      </c>
      <c r="BM44" s="12">
        <f>($M$49*$I$54+$M$50*$I$55+$M$51*$I$56)*($A$2*(Users!CI47*BM$24 + Users!CI59*BM$22) + $A$3*Users!CI71*BM$23)/60</f>
        <v>175050.87602368093</v>
      </c>
      <c r="BN44" s="12">
        <f>($M$49*$I$54+$M$50*$I$55+$M$51*$I$56)*($A$2*(Users!CJ47*BN$24 + Users!CJ59*BN$22) + $A$3*Users!CJ71*BN$23)/60</f>
        <v>178923.51099670483</v>
      </c>
      <c r="BO44" s="12">
        <f>($M$49*$I$54+$M$50*$I$55+$M$51*$I$56)*($A$2*(Users!CK47*BO$24 + Users!CK59*BO$22) + $A$3*Users!CK71*BO$23)/60</f>
        <v>182881.81992906492</v>
      </c>
      <c r="BP44" s="12">
        <f>($M$49*$I$54+$M$50*$I$55+$M$51*$I$56)*($A$2*(Users!CL47*BP$24 + Users!CL59*BP$22) + $A$3*Users!CL71*BP$23)/60</f>
        <v>186927.69817815025</v>
      </c>
      <c r="BQ44" s="12">
        <f>($M$49*$I$54+$M$50*$I$55+$M$51*$I$56)*($A$2*(Users!CM47*BQ$24 + Users!CM59*BQ$22) + $A$3*Users!CM71*BQ$23)/60</f>
        <v>191063.08303217214</v>
      </c>
      <c r="BR44" s="12">
        <f>($M$49*$I$54+$M$50*$I$55+$M$51*$I$56)*($A$2*(Users!CN47*BR$24 + Users!CN59*BR$22) + $A$3*Users!CN71*BR$23)/60</f>
        <v>195301.10832488566</v>
      </c>
      <c r="BS44" s="12">
        <f>($M$49*$I$54+$M$50*$I$55+$M$51*$I$56)*($A$2*(Users!CO47*BS$24 + Users!CO59*BS$22) + $A$3*Users!CO71*BS$23)/60</f>
        <v>199625.2476305172</v>
      </c>
      <c r="BT44" s="12">
        <f>($M$49*$I$54+$M$50*$I$55+$M$51*$I$56)*($A$2*(Users!CP47*BT$24 + Users!CP59*BT$22) + $A$3*Users!CP71*BT$23)/60</f>
        <v>204045.12720559689</v>
      </c>
      <c r="BU44" s="12">
        <f>($M$49*$I$54+$M$50*$I$55+$M$51*$I$56)*($A$2*(Users!CQ47*BU$24 + Users!CQ59*BU$22) + $A$3*Users!CQ71*BU$23)/60</f>
        <v>208562.86682438359</v>
      </c>
      <c r="BV44" s="12">
        <f>($M$49*$I$54+$M$50*$I$55+$M$51*$I$56)*($A$2*(Users!CR47*BV$24 + Users!CR59*BV$22) + $A$3*Users!CR71*BV$23)/60</f>
        <v>213180.63319481429</v>
      </c>
      <c r="BW44" s="12">
        <f>($M$49*$I$54+$M$50*$I$55+$M$51*$I$56)*($A$2*(Users!CS47*BW$24 + Users!CS59*BW$22) + $A$3*Users!CS71*BW$23)/60</f>
        <v>217862.40137953821</v>
      </c>
      <c r="BX44" s="12">
        <f>($M$49*$I$54+$M$50*$I$55+$M$51*$I$56)*($A$2*(Users!CT47*BX$24 + Users!CT59*BX$22) + $A$3*Users!CT71*BX$23)/60</f>
        <v>222646.98825377965</v>
      </c>
      <c r="BY44" s="12">
        <f>($M$49*$I$54+$M$50*$I$55+$M$51*$I$56)*($A$2*(Users!CU47*BY$24 + Users!CU59*BY$22) + $A$3*Users!CU71*BY$23)/60</f>
        <v>227536.65187101081</v>
      </c>
      <c r="BZ44" s="12">
        <f>($M$49*$I$54+$M$50*$I$55+$M$51*$I$56)*($A$2*(Users!CV47*BZ$24 + Users!CV59*BZ$22) + $A$3*Users!CV71*BZ$23)/60</f>
        <v>232533.69987496745</v>
      </c>
    </row>
    <row r="45" spans="1:81">
      <c r="F45" s="17"/>
      <c r="G45" s="17"/>
      <c r="H45" s="17"/>
      <c r="I45" s="17"/>
      <c r="J45" s="17"/>
      <c r="K45" s="17"/>
      <c r="N45" s="12"/>
      <c r="O45" s="12"/>
      <c r="P45" s="12" t="s">
        <v>233</v>
      </c>
      <c r="R45" s="12">
        <f>($M$49*$I$54+$M$50*$I$55+$M$51*$I$56)*($A$2*(Users!AN48*R$24 + Users!AN60*R$22) + $A$3*Users!AN72*R$23)/60</f>
        <v>214279.32196775201</v>
      </c>
      <c r="S45" s="12">
        <f>($M$49*$I$54+$M$50*$I$55+$M$51*$I$56)*($A$2*(Users!AO48*S$24 + Users!AO60*S$22) + $A$3*Users!AO72*S$23)/60</f>
        <v>220881.50619093896</v>
      </c>
      <c r="T45" s="12">
        <f>($M$49*$I$54+$M$50*$I$55+$M$51*$I$56)*($A$2*(Users!AP48*T$24 + Users!AP60*T$22) + $A$3*Users!AP72*T$23)/60</f>
        <v>223254.89489543805</v>
      </c>
      <c r="U45" s="12">
        <f>($M$49*$I$54+$M$50*$I$55+$M$51*$I$56)*($A$2*(Users!AQ48*U$24 + Users!AQ60*U$22) + $A$3*Users!AQ72*U$23)/60</f>
        <v>229587.18860334609</v>
      </c>
      <c r="V45" s="12">
        <f>($M$49*$I$54+$M$50*$I$55+$M$51*$I$56)*($A$2*(Users!AR48*V$24 + Users!AR60*V$22) + $A$3*Users!AR72*V$23)/60</f>
        <v>239450.60410811348</v>
      </c>
      <c r="W45" s="12">
        <f>($M$49*$I$54+$M$50*$I$55+$M$51*$I$56)*($A$2*(Users!AS48*W$24 + Users!AS60*W$22) + $A$3*Users!AS72*W$23)/60</f>
        <v>247339.32482440761</v>
      </c>
      <c r="X45" s="12">
        <f>($M$49*$I$54+$M$50*$I$55+$M$51*$I$56)*($A$2*(Users!AT48*X$24 + Users!AT60*X$22) + $A$3*Users!AT72*X$23)/60</f>
        <v>256956.27345536757</v>
      </c>
      <c r="Y45" s="12">
        <f>($M$49*$I$54+$M$50*$I$55+$M$51*$I$56)*($A$2*(Users!AU48*Y$24 + Users!AU60*Y$22) + $A$3*Users!AU72*Y$23)/60</f>
        <v>267040.34782791953</v>
      </c>
      <c r="Z45" s="12">
        <f>($M$49*$I$54+$M$50*$I$55+$M$51*$I$56)*($A$2*(Users!AV48*Z$24 + Users!AV60*Z$22) + $A$3*Users!AV72*Z$23)/60</f>
        <v>277559.78056943393</v>
      </c>
      <c r="AA45" s="12">
        <f>($M$49*$I$54+$M$50*$I$55+$M$51*$I$56)*($A$2*(Users!AW48*AA$24 + Users!AW60*AA$22) + $A$3*Users!AW72*AA$23)/60</f>
        <v>288663.93076879752</v>
      </c>
      <c r="AB45" s="12">
        <f>($M$49*$I$54+$M$50*$I$55+$M$51*$I$56)*($A$2*(Users!AX48*AB$24 + Users!AX60*AB$22) + $A$3*Users!AX72*AB$23)/60</f>
        <v>300316.14264348027</v>
      </c>
      <c r="AC45" s="12">
        <f>($M$49*$I$54+$M$50*$I$55+$M$51*$I$56)*($A$2*(Users!AY48*AC$24 + Users!AY60*AC$22) + $A$3*Users!AY72*AC$23)/60</f>
        <v>312552.08216874866</v>
      </c>
      <c r="AD45" s="12">
        <f>($M$49*$I$54+$M$50*$I$55+$M$51*$I$56)*($A$2*(Users!AZ48*AD$24 + Users!AZ60*AD$22) + $A$3*Users!AZ72*AD$23)/60</f>
        <v>325408.51198596222</v>
      </c>
      <c r="AE45" s="12">
        <f>($M$49*$I$54+$M$50*$I$55+$M$51*$I$56)*($A$2*(Users!BA48*AE$24 + Users!BA60*AE$22) + $A$3*Users!BA72*AE$23)/60</f>
        <v>338841.60523868393</v>
      </c>
      <c r="AF45" s="12">
        <f>($M$49*$I$54+$M$50*$I$55+$M$51*$I$56)*($A$2*(Users!BB48*AF$24 + Users!BB60*AF$22) + $A$3*Users!BB72*AF$23)/60</f>
        <v>352882.97446309088</v>
      </c>
      <c r="AG45" s="12">
        <f>($M$49*$I$54+$M$50*$I$55+$M$51*$I$56)*($A$2*(Users!BC48*AG$24 + Users!BC60*AG$22) + $A$3*Users!BC72*AG$23)/60</f>
        <v>367565.42505648447</v>
      </c>
      <c r="AH45" s="12">
        <f>($M$49*$I$54+$M$50*$I$55+$M$51*$I$56)*($A$2*(Users!BD48*AH$24 + Users!BD60*AH$22) + $A$3*Users!BD72*AH$23)/60</f>
        <v>382923.41242855956</v>
      </c>
      <c r="AI45" s="12">
        <f>($M$49*$I$54+$M$50*$I$55+$M$51*$I$56)*($A$2*(Users!BE48*AI$24 + Users!BE60*AI$22) + $A$3*Users!BE72*AI$23)/60</f>
        <v>398991.96614325995</v>
      </c>
      <c r="AJ45" s="12">
        <f>($M$49*$I$54+$M$50*$I$55+$M$51*$I$56)*($A$2*(Users!BF48*AJ$24 + Users!BF60*AJ$22) + $A$3*Users!BF72*AJ$23)/60</f>
        <v>415806.09223212051</v>
      </c>
      <c r="AK45" s="12">
        <f>($M$49*$I$54+$M$50*$I$55+$M$51*$I$56)*($A$2*(Users!BG48*AK$24 + Users!BG60*AK$22) + $A$3*Users!BG72*AK$23)/60</f>
        <v>433402.62875707558</v>
      </c>
      <c r="AL45" s="12">
        <f>($M$49*$I$54+$M$50*$I$55+$M$51*$I$56)*($A$2*(Users!BH48*AL$24 + Users!BH60*AL$22) + $A$3*Users!BH72*AL$23)/60</f>
        <v>442092.37106229365</v>
      </c>
      <c r="AM45" s="12">
        <f>($M$49*$I$54+$M$50*$I$55+$M$51*$I$56)*($A$2*(Users!BI48*AM$24 + Users!BI60*AM$22) + $A$3*Users!BI72*AM$23)/60</f>
        <v>451027.88092415483</v>
      </c>
      <c r="AN45" s="12">
        <f>($M$49*$I$54+$M$50*$I$55+$M$51*$I$56)*($A$2*(Users!BJ48*AN$24 + Users!BJ60*AN$22) + $A$3*Users!BJ72*AN$23)/60</f>
        <v>460212.88122180547</v>
      </c>
      <c r="AO45" s="12">
        <f>($M$49*$I$54+$M$50*$I$55+$M$51*$I$56)*($A$2*(Users!BK48*AO$24 + Users!BK60*AO$22) + $A$3*Users!BK72*AO$23)/60</f>
        <v>469649.76985597075</v>
      </c>
      <c r="AP45" s="12">
        <f>($M$49*$I$54+$M$50*$I$55+$M$51*$I$56)*($A$2*(Users!BL48*AP$24 + Users!BL60*AP$22) + $A$3*Users!BL72*AP$23)/60</f>
        <v>479338.85725878499</v>
      </c>
      <c r="AQ45" s="12">
        <f>($M$49*$I$54+$M$50*$I$55+$M$51*$I$56)*($A$2*(Users!BM48*AQ$24 + Users!BM60*AQ$22) + $A$3*Users!BM72*AQ$23)/60</f>
        <v>489279.88422516902</v>
      </c>
      <c r="AR45" s="12">
        <f>($M$49*$I$54+$M$50*$I$55+$M$51*$I$56)*($A$2*(Users!BN48*AR$24 + Users!BN60*AR$22) + $A$3*Users!BN72*AR$23)/60</f>
        <v>499472.25070991495</v>
      </c>
      <c r="AS45" s="12">
        <f>($M$49*$I$54+$M$50*$I$55+$M$51*$I$56)*($A$2*(Users!BO48*AS$24 + Users!BO60*AS$22) + $A$3*Users!BO72*AS$23)/60</f>
        <v>509914.94563758676</v>
      </c>
      <c r="AT45" s="12">
        <f>($M$49*$I$54+$M$50*$I$55+$M$51*$I$56)*($A$2*(Users!BP48*AT$24 + Users!BP60*AT$22) + $A$3*Users!BP72*AT$23)/60</f>
        <v>520642.11412613722</v>
      </c>
      <c r="AU45" s="12">
        <f>($M$49*$I$54+$M$50*$I$55+$M$51*$I$56)*($A$2*(Users!BQ48*AU$24 + Users!BQ60*AU$22) + $A$3*Users!BQ72*AU$23)/60</f>
        <v>531594.9519047623</v>
      </c>
      <c r="AV45" s="12">
        <f>($M$49*$I$54+$M$50*$I$55+$M$51*$I$56)*($A$2*(Users!BR48*AV$24 + Users!BR60*AV$22) + $A$3*Users!BR72*AV$23)/60</f>
        <v>542778.20641716861</v>
      </c>
      <c r="AW45" s="12">
        <f>($M$49*$I$54+$M$50*$I$55+$M$51*$I$56)*($A$2*(Users!BS48*AW$24 + Users!BS60*AW$22) + $A$3*Users!BS72*AW$23)/60</f>
        <v>554196.72497984627</v>
      </c>
      <c r="AX45" s="12">
        <f>($M$49*$I$54+$M$50*$I$55+$M$51*$I$56)*($A$2*(Users!BT48*AX$24 + Users!BT60*AX$22) + $A$3*Users!BT72*AX$23)/60</f>
        <v>565955.61467087711</v>
      </c>
      <c r="AY45" s="12">
        <f>($M$49*$I$54+$M$50*$I$55+$M$51*$I$56)*($A$2*(Users!BU48*AY$24 + Users!BU60*AY$22) + $A$3*Users!BU72*AY$23)/60</f>
        <v>577964.00328626845</v>
      </c>
      <c r="AZ45" s="12">
        <f>($M$49*$I$54+$M$50*$I$55+$M$51*$I$56)*($A$2*(Users!BV48*AZ$24 + Users!BV60*AZ$22) + $A$3*Users!BV72*AZ$23)/60</f>
        <v>590227.18466879381</v>
      </c>
      <c r="BA45" s="12">
        <f>($M$49*$I$54+$M$50*$I$55+$M$51*$I$56)*($A$2*(Users!BW48*BA$24 + Users!BW60*BA$22) + $A$3*Users!BW72*BA$23)/60</f>
        <v>602750.56498545059</v>
      </c>
      <c r="BB45" s="12">
        <f>($M$49*$I$54+$M$50*$I$55+$M$51*$I$56)*($A$2*(Users!BX48*BB$24 + Users!BX60*BB$22) + $A$3*Users!BX72*BB$23)/60</f>
        <v>615539.66511073266</v>
      </c>
      <c r="BC45" s="12">
        <f>($M$49*$I$54+$M$50*$I$55+$M$51*$I$56)*($A$2*(Users!BY48*BC$24 + Users!BY60*BC$22) + $A$3*Users!BY72*BC$23)/60</f>
        <v>628776.60458601697</v>
      </c>
      <c r="BD45" s="12">
        <f>($M$49*$I$54+$M$50*$I$55+$M$51*$I$56)*($A$2*(Users!BZ48*BD$24 + Users!BZ60*BD$22) + $A$3*Users!BZ72*BD$23)/60</f>
        <v>642298.19926161377</v>
      </c>
      <c r="BE45" s="12">
        <f>($M$49*$I$54+$M$50*$I$55+$M$51*$I$56)*($A$2*(Users!CA48*BE$24 + Users!CA60*BE$22) + $A$3*Users!CA72*BE$23)/60</f>
        <v>656110.57053614326</v>
      </c>
      <c r="BF45" s="12">
        <f>($M$49*$I$54+$M$50*$I$55+$M$51*$I$56)*($A$2*(Users!CB48*BF$24 + Users!CB60*BF$22) + $A$3*Users!CB72*BF$23)/60</f>
        <v>670219.97144651122</v>
      </c>
      <c r="BG45" s="12">
        <f>($M$49*$I$54+$M$50*$I$55+$M$51*$I$56)*($A$2*(Users!CC48*BG$24 + Users!CC60*BG$22) + $A$3*Users!CC72*BG$23)/60</f>
        <v>684632.78949872917</v>
      </c>
      <c r="BH45" s="12">
        <f>($M$49*$I$54+$M$50*$I$55+$M$51*$I$56)*($A$2*(Users!CD48*BH$24 + Users!CD60*BH$22) + $A$3*Users!CD72*BH$23)/60</f>
        <v>699599.91381453979</v>
      </c>
      <c r="BI45" s="12">
        <f>($M$49*$I$54+$M$50*$I$55+$M$51*$I$56)*($A$2*(Users!CE48*BI$24 + Users!CE60*BI$22) + $A$3*Users!CE72*BI$23)/60</f>
        <v>714894.24245611625</v>
      </c>
      <c r="BJ45" s="12">
        <f>($M$49*$I$54+$M$50*$I$55+$M$51*$I$56)*($A$2*(Users!CF48*BJ$24 + Users!CF60*BJ$22) + $A$3*Users!CF72*BJ$23)/60</f>
        <v>730522.92861257878</v>
      </c>
      <c r="BK45" s="12">
        <f>($M$49*$I$54+$M$50*$I$55+$M$51*$I$56)*($A$2*(Users!CG48*BK$24 + Users!CG60*BK$22) + $A$3*Users!CG72*BK$23)/60</f>
        <v>746493.2818527458</v>
      </c>
      <c r="BL45" s="12">
        <f>($M$49*$I$54+$M$50*$I$55+$M$51*$I$56)*($A$2*(Users!CH48*BL$24 + Users!CH60*BL$22) + $A$3*Users!CH72*BL$23)/60</f>
        <v>762812.77154383634</v>
      </c>
      <c r="BM45" s="12">
        <f>($M$49*$I$54+$M$50*$I$55+$M$51*$I$56)*($A$2*(Users!CI48*BM$24 + Users!CI60*BM$22) + $A$3*Users!CI72*BM$23)/60</f>
        <v>779688.41069545283</v>
      </c>
      <c r="BN45" s="12">
        <f>($M$49*$I$54+$M$50*$I$55+$M$51*$I$56)*($A$2*(Users!CJ48*BN$24 + Users!CJ60*BN$22) + $A$3*Users!CJ72*BN$23)/60</f>
        <v>796937.3881122364</v>
      </c>
      <c r="BO45" s="12">
        <f>($M$49*$I$54+$M$50*$I$55+$M$51*$I$56)*($A$2*(Users!CK48*BO$24 + Users!CK60*BO$22) + $A$3*Users!CK72*BO$23)/60</f>
        <v>814567.96312344586</v>
      </c>
      <c r="BP45" s="12">
        <f>($M$49*$I$54+$M$50*$I$55+$M$51*$I$56)*($A$2*(Users!CL48*BP$24 + Users!CL60*BP$22) + $A$3*Users!CL72*BP$23)/60</f>
        <v>832588.57777875278</v>
      </c>
      <c r="BQ45" s="12">
        <f>($M$49*$I$54+$M$50*$I$55+$M$51*$I$56)*($A$2*(Users!CM48*BQ$24 + Users!CM60*BQ$22) + $A$3*Users!CM72*BQ$23)/60</f>
        <v>851007.8608905396</v>
      </c>
      <c r="BR45" s="12">
        <f>($M$49*$I$54+$M$50*$I$55+$M$51*$I$56)*($A$2*(Users!CN48*BR$24 + Users!CN60*BR$22) + $A$3*Users!CN72*BR$23)/60</f>
        <v>869884.31144035491</v>
      </c>
      <c r="BS45" s="12">
        <f>($M$49*$I$54+$M$50*$I$55+$M$51*$I$56)*($A$2*(Users!CO48*BS$24 + Users!CO60*BS$22) + $A$3*Users!CO72*BS$23)/60</f>
        <v>889144.31961293623</v>
      </c>
      <c r="BT45" s="12">
        <f>($M$49*$I$54+$M$50*$I$55+$M$51*$I$56)*($A$2*(Users!CP48*BT$24 + Users!CP60*BT$22) + $A$3*Users!CP72*BT$23)/60</f>
        <v>908830.76140425284</v>
      </c>
      <c r="BU45" s="12">
        <f>($M$49*$I$54+$M$50*$I$55+$M$51*$I$56)*($A$2*(Users!CQ48*BU$24 + Users!CQ60*BU$22) + $A$3*Users!CQ72*BU$23)/60</f>
        <v>928953.07843185356</v>
      </c>
      <c r="BV45" s="12">
        <f>($M$49*$I$54+$M$50*$I$55+$M$51*$I$56)*($A$2*(Users!CR48*BV$24 + Users!CR60*BV$22) + $A$3*Users!CR72*BV$23)/60</f>
        <v>949520.92135905405</v>
      </c>
      <c r="BW45" s="12">
        <f>($M$49*$I$54+$M$50*$I$55+$M$51*$I$56)*($A$2*(Users!CS48*BW$24 + Users!CS60*BW$22) + $A$3*Users!CS72*BW$23)/60</f>
        <v>970373.83268466254</v>
      </c>
      <c r="BX45" s="12">
        <f>($M$49*$I$54+$M$50*$I$55+$M$51*$I$56)*($A$2*(Users!CT48*BX$24 + Users!CT60*BX$22) + $A$3*Users!CT72*BX$23)/60</f>
        <v>991684.70538950409</v>
      </c>
      <c r="BY45" s="12">
        <f>($M$49*$I$54+$M$50*$I$55+$M$51*$I$56)*($A$2*(Users!CU48*BY$24 + Users!CU60*BY$22) + $A$3*Users!CU72*BY$23)/60</f>
        <v>1013463.5969960713</v>
      </c>
      <c r="BZ45" s="12">
        <f>($M$49*$I$54+$M$50*$I$55+$M$51*$I$56)*($A$2*(Users!CV48*BZ$24 + Users!CV60*BZ$22) + $A$3*Users!CV72*BZ$23)/60</f>
        <v>1035720.7859052358</v>
      </c>
    </row>
    <row r="46" spans="1:81">
      <c r="N46" s="12"/>
      <c r="O46" s="12"/>
      <c r="P46" s="12" t="s">
        <v>234</v>
      </c>
      <c r="R46" s="12">
        <f>($M$49*$J$54+$M$50*$J$55+$M$51*$J$56)*($A$2*(Users!AN49*R$24 +Users!AN61*R$22) + $A$3*Users!AN73*R$23)/60</f>
        <v>240207.71859811633</v>
      </c>
      <c r="S46" s="12">
        <f>($M$49*$J$54+$M$50*$J$55+$M$51*$J$56)*($A$2*(Users!AO49*S$24 +Users!AO61*S$22) + $A$3*Users!AO73*S$23)/60</f>
        <v>247608.78555806735</v>
      </c>
      <c r="T46" s="12">
        <f>($M$49*$J$54+$M$50*$J$55+$M$51*$J$56)*($A$2*(Users!AP49*T$24 +Users!AP61*T$22) + $A$3*Users!AP73*T$23)/60</f>
        <v>250269.36092679104</v>
      </c>
      <c r="U46" s="12">
        <f>($M$49*$J$54+$M$50*$J$55+$M$51*$J$56)*($A$2*(Users!AQ49*U$24 +Users!AQ61*U$22) + $A$3*Users!AQ73*U$23)/60</f>
        <v>257367.87986507072</v>
      </c>
      <c r="V46" s="12">
        <f>($M$49*$J$54+$M$50*$J$55+$M$51*$J$56)*($A$2*(Users!AR49*V$24 +Users!AR61*V$22) + $A$3*Users!AR73*V$23)/60</f>
        <v>268424.79620318569</v>
      </c>
      <c r="W46" s="12">
        <f>($M$49*$J$54+$M$50*$J$55+$M$51*$J$56)*($A$2*(Users!AS49*W$24 +Users!AS61*W$22) + $A$3*Users!AS73*W$23)/60</f>
        <v>277268.07416634774</v>
      </c>
      <c r="X46" s="12">
        <f>($M$49*$J$54+$M$50*$J$55+$M$51*$J$56)*($A$2*(Users!AT49*X$24 +Users!AT61*X$22) + $A$3*Users!AT73*X$23)/60</f>
        <v>288048.70045032405</v>
      </c>
      <c r="Y46" s="12">
        <f>($M$49*$J$54+$M$50*$J$55+$M$51*$J$56)*($A$2*(Users!AU49*Y$24 +Users!AU61*Y$22) + $A$3*Users!AU73*Y$23)/60</f>
        <v>299352.97599572164</v>
      </c>
      <c r="Z46" s="12">
        <f>($M$49*$J$54+$M$50*$J$55+$M$51*$J$56)*($A$2*(Users!AV49*Z$24 +Users!AV61*Z$22) + $A$3*Users!AV73*Z$23)/60</f>
        <v>311145.28948906838</v>
      </c>
      <c r="AA46" s="12">
        <f>($M$49*$J$54+$M$50*$J$55+$M$51*$J$56)*($A$2*(Users!AW49*AA$24 +Users!AW61*AA$22) + $A$3*Users!AW73*AA$23)/60</f>
        <v>323593.07288629859</v>
      </c>
      <c r="AB46" s="12">
        <f>($M$49*$J$54+$M$50*$J$55+$M$51*$J$56)*($A$2*(Users!AX49*AB$24 +Users!AX61*AB$22) + $A$3*Users!AX73*AB$23)/60</f>
        <v>336655.2349527842</v>
      </c>
      <c r="AC46" s="12">
        <f>($M$49*$J$54+$M$50*$J$55+$M$51*$J$56)*($A$2*(Users!AY49*AC$24 +Users!AY61*AC$22) + $A$3*Users!AY73*AC$23)/60</f>
        <v>350371.75734644564</v>
      </c>
      <c r="AD46" s="12">
        <f>($M$49*$J$54+$M$50*$J$55+$M$51*$J$56)*($A$2*(Users!AZ49*AD$24 +Users!AZ61*AD$22) + $A$3*Users!AZ73*AD$23)/60</f>
        <v>364783.85109095735</v>
      </c>
      <c r="AE46" s="12">
        <f>($M$49*$J$54+$M$50*$J$55+$M$51*$J$56)*($A$2*(Users!BA49*AE$24 +Users!BA61*AE$22) + $A$3*Users!BA73*AE$23)/60</f>
        <v>379842.38615780644</v>
      </c>
      <c r="AF46" s="12">
        <f>($M$49*$J$54+$M$50*$J$55+$M$51*$J$56)*($A$2*(Users!BB49*AF$24 +Users!BB61*AF$22) + $A$3*Users!BB73*AF$23)/60</f>
        <v>395582.80028836895</v>
      </c>
      <c r="AG46" s="12">
        <f>($M$49*$J$54+$M$50*$J$55+$M$51*$J$56)*($A$2*(Users!BC49*AG$24 +Users!BC61*AG$22) + $A$3*Users!BC73*AG$23)/60</f>
        <v>412041.86842467473</v>
      </c>
      <c r="AH46" s="12">
        <f>($M$49*$J$54+$M$50*$J$55+$M$51*$J$56)*($A$2*(Users!BD49*AH$24 +Users!BD61*AH$22) + $A$3*Users!BD73*AH$23)/60</f>
        <v>429258.21517725609</v>
      </c>
      <c r="AI46" s="12">
        <f>($M$49*$J$54+$M$50*$J$55+$M$51*$J$56)*($A$2*(Users!BE49*AI$24 +Users!BE61*AI$22) + $A$3*Users!BE73*AI$23)/60</f>
        <v>447271.10878516274</v>
      </c>
      <c r="AJ46" s="12">
        <f>($M$49*$J$54+$M$50*$J$55+$M$51*$J$56)*($A$2*(Users!BF49*AJ$24 +Users!BF61*AJ$22) + $A$3*Users!BF73*AJ$23)/60</f>
        <v>466119.79110754788</v>
      </c>
      <c r="AK46" s="12">
        <f>($M$49*$J$54+$M$50*$J$55+$M$51*$J$56)*($A$2*(Users!BG49*AK$24 +Users!BG61*AK$22) + $A$3*Users!BG73*AK$23)/60</f>
        <v>485845.55771476164</v>
      </c>
      <c r="AL46" s="12">
        <f>($M$49*$J$54+$M$50*$J$55+$M$51*$J$56)*($A$2*(Users!BH49*AL$24 +Users!BH61*AL$22) + $A$3*Users!BH73*AL$23)/60</f>
        <v>495586.78311707138</v>
      </c>
      <c r="AM46" s="12">
        <f>($M$49*$J$54+$M$50*$J$55+$M$51*$J$56)*($A$2*(Users!BI49*AM$24 +Users!BI61*AM$22) + $A$3*Users!BI73*AM$23)/60</f>
        <v>505603.51463702472</v>
      </c>
      <c r="AN46" s="12">
        <f>($M$49*$J$54+$M$50*$J$55+$M$51*$J$56)*($A$2*(Users!BJ49*AN$24 +Users!BJ61*AN$22) + $A$3*Users!BJ73*AN$23)/60</f>
        <v>515899.92563254648</v>
      </c>
      <c r="AO46" s="12">
        <f>($M$49*$J$54+$M$50*$J$55+$M$51*$J$56)*($A$2*(Users!BK49*AO$24 +Users!BK61*AO$22) + $A$3*Users!BK73*AO$23)/60</f>
        <v>526478.70415704849</v>
      </c>
      <c r="AP46" s="12">
        <f>($M$49*$J$54+$M$50*$J$55+$M$51*$J$56)*($A$2*(Users!BL49*AP$24 +Users!BL61*AP$22) + $A$3*Users!BL73*AP$23)/60</f>
        <v>537340.19820582087</v>
      </c>
      <c r="AQ46" s="12">
        <f>($M$49*$J$54+$M$50*$J$55+$M$51*$J$56)*($A$2*(Users!BM49*AQ$24 +Users!BM61*AQ$22) + $A$3*Users!BM73*AQ$23)/60</f>
        <v>548484.11720924661</v>
      </c>
      <c r="AR46" s="12">
        <f>($M$49*$J$54+$M$50*$J$55+$M$51*$J$56)*($A$2*(Users!BN49*AR$24 +Users!BN61*AR$22) + $A$3*Users!BN73*AR$23)/60</f>
        <v>559909.7885149694</v>
      </c>
      <c r="AS46" s="12">
        <f>($M$49*$J$54+$M$50*$J$55+$M$51*$J$56)*($A$2*(Users!BO49*AS$24 +Users!BO61*AS$22) + $A$3*Users!BO73*AS$23)/60</f>
        <v>571616.07870460092</v>
      </c>
      <c r="AT46" s="12">
        <f>($M$49*$J$54+$M$50*$J$55+$M$51*$J$56)*($A$2*(Users!BP49*AT$24 +Users!BP61*AT$22) + $A$3*Users!BP73*AT$23)/60</f>
        <v>583641.26455076528</v>
      </c>
      <c r="AU46" s="12">
        <f>($M$49*$J$54+$M$50*$J$55+$M$51*$J$56)*($A$2*(Users!BQ49*AU$24 +Users!BQ61*AU$22) + $A$3*Users!BQ73*AU$23)/60</f>
        <v>595919.42630159901</v>
      </c>
      <c r="AV46" s="12">
        <f>($M$49*$J$54+$M$50*$J$55+$M$51*$J$56)*($A$2*(Users!BR49*AV$24 +Users!BR61*AV$22) + $A$3*Users!BR73*AV$23)/60</f>
        <v>608455.88585475821</v>
      </c>
      <c r="AW46" s="12">
        <f>($M$49*$J$54+$M$50*$J$55+$M$51*$J$56)*($A$2*(Users!BS49*AW$24 +Users!BS61*AW$22) + $A$3*Users!BS73*AW$23)/60</f>
        <v>621256.07706557401</v>
      </c>
      <c r="AX46" s="12">
        <f>($M$49*$J$54+$M$50*$J$55+$M$51*$J$56)*($A$2*(Users!BT49*AX$24 +Users!BT61*AX$22) + $A$3*Users!BT73*AX$23)/60</f>
        <v>634437.82526223117</v>
      </c>
      <c r="AY46" s="12">
        <f>($M$49*$J$54+$M$50*$J$55+$M$51*$J$56)*($A$2*(Users!BU49*AY$24 +Users!BU61*AY$22) + $A$3*Users!BU73*AY$23)/60</f>
        <v>647899.26245016814</v>
      </c>
      <c r="AZ46" s="12">
        <f>($M$49*$J$54+$M$50*$J$55+$M$51*$J$56)*($A$2*(Users!BV49*AZ$24 +Users!BV61*AZ$22) + $A$3*Users!BV73*AZ$23)/60</f>
        <v>661646.32304192532</v>
      </c>
      <c r="BA46" s="12">
        <f>($M$49*$J$54+$M$50*$J$55+$M$51*$J$56)*($A$2*(Users!BW49*BA$24 +Users!BW61*BA$22) + $A$3*Users!BW73*BA$23)/60</f>
        <v>675685.06736580993</v>
      </c>
      <c r="BB46" s="12">
        <f>($M$49*$J$54+$M$50*$J$55+$M$51*$J$56)*($A$2*(Users!BX49*BB$24 +Users!BX61*BB$22) + $A$3*Users!BX73*BB$23)/60</f>
        <v>690021.68433755578</v>
      </c>
      <c r="BC46" s="12">
        <f>($M$49*$J$54+$M$50*$J$55+$M$51*$J$56)*($A$2*(Users!BY49*BC$24 +Users!BY61*BC$22) + $A$3*Users!BY73*BC$23)/60</f>
        <v>704860.3304718656</v>
      </c>
      <c r="BD46" s="12">
        <f>($M$49*$J$54+$M$50*$J$55+$M$51*$J$56)*($A$2*(Users!BZ49*BD$24 +Users!BZ61*BD$22) + $A$3*Users!BZ73*BD$23)/60</f>
        <v>720018.07588102052</v>
      </c>
      <c r="BE46" s="12">
        <f>($M$49*$J$54+$M$50*$J$55+$M$51*$J$56)*($A$2*(Users!CA49*BE$24 +Users!CA61*BE$22) + $A$3*Users!CA73*BE$23)/60</f>
        <v>735501.78266997647</v>
      </c>
      <c r="BF46" s="12">
        <f>($M$49*$J$54+$M$50*$J$55+$M$51*$J$56)*($A$2*(Users!CB49*BF$24 +Users!CB61*BF$22) + $A$3*Users!CB73*BF$23)/60</f>
        <v>751318.46051057382</v>
      </c>
      <c r="BG46" s="12">
        <f>($M$49*$J$54+$M$50*$J$55+$M$51*$J$56)*($A$2*(Users!CC49*BG$24 +Users!CC61*BG$22) + $A$3*Users!CC73*BG$23)/60</f>
        <v>767475.26981489873</v>
      </c>
      <c r="BH46" s="12">
        <f>($M$49*$J$54+$M$50*$J$55+$M$51*$J$56)*($A$2*(Users!CD49*BH$24 +Users!CD61*BH$22) + $A$3*Users!CD73*BH$23)/60</f>
        <v>784253.45798938</v>
      </c>
      <c r="BI46" s="12">
        <f>($M$49*$J$54+$M$50*$J$55+$M$51*$J$56)*($A$2*(Users!CE49*BI$24 +Users!CE61*BI$22) + $A$3*Users!CE73*BI$23)/60</f>
        <v>801398.44312721794</v>
      </c>
      <c r="BJ46" s="12">
        <f>($M$49*$J$54+$M$50*$J$55+$M$51*$J$56)*($A$2*(Users!CF49*BJ$24 +Users!CF61*BJ$22) + $A$3*Users!CF73*BJ$23)/60</f>
        <v>818918.24397339893</v>
      </c>
      <c r="BK46" s="12">
        <f>($M$49*$J$54+$M$50*$J$55+$M$51*$J$56)*($A$2*(Users!CG49*BK$24 +Users!CG61*BK$22) + $A$3*Users!CG73*BK$23)/60</f>
        <v>836821.05457499286</v>
      </c>
      <c r="BL46" s="12">
        <f>($M$49*$J$54+$M$50*$J$55+$M$51*$J$56)*($A$2*(Users!CH49*BL$24 +Users!CH61*BL$22) + $A$3*Users!CH73*BL$23)/60</f>
        <v>855115.24811351998</v>
      </c>
      <c r="BM46" s="12">
        <f>($M$49*$J$54+$M$50*$J$55+$M$51*$J$56)*($A$2*(Users!CI49*BM$24 +Users!CI61*BM$22) + $A$3*Users!CI73*BM$23)/60</f>
        <v>874032.88675111486</v>
      </c>
      <c r="BN46" s="12">
        <f>($M$49*$J$54+$M$50*$J$55+$M$51*$J$56)*($A$2*(Users!CJ49*BN$24 +Users!CJ61*BN$22) + $A$3*Users!CJ73*BN$23)/60</f>
        <v>893369.0386270273</v>
      </c>
      <c r="BO46" s="12">
        <f>($M$49*$J$54+$M$50*$J$55+$M$51*$J$56)*($A$2*(Users!CK49*BO$24 +Users!CK61*BO$22) + $A$3*Users!CK73*BO$23)/60</f>
        <v>913132.96247243159</v>
      </c>
      <c r="BP46" s="12">
        <f>($M$49*$J$54+$M$50*$J$55+$M$51*$J$56)*($A$2*(Users!CL49*BP$24 +Users!CL61*BP$22) + $A$3*Users!CL73*BP$23)/60</f>
        <v>933334.12184859603</v>
      </c>
      <c r="BQ46" s="12">
        <f>($M$49*$J$54+$M$50*$J$55+$M$51*$J$56)*($A$2*(Users!CM49*BQ$24 +Users!CM61*BQ$22) + $A$3*Users!CM73*BQ$23)/60</f>
        <v>953982.1896783089</v>
      </c>
      <c r="BR46" s="12">
        <f>($M$49*$J$54+$M$50*$J$55+$M$51*$J$56)*($A$2*(Users!CN49*BR$24 +Users!CN61*BR$22) + $A$3*Users!CN73*BR$23)/60</f>
        <v>975142.74348332686</v>
      </c>
      <c r="BS46" s="12">
        <f>($M$49*$J$54+$M$50*$J$55+$M$51*$J$56)*($A$2*(Users!CO49*BS$24 +Users!CO61*BS$22) + $A$3*Users!CO73*BS$23)/60</f>
        <v>996733.26645508164</v>
      </c>
      <c r="BT46" s="12">
        <f>($M$49*$J$54+$M$50*$J$55+$M$51*$J$56)*($A$2*(Users!CP49*BT$24 +Users!CP61*BT$22) + $A$3*Users!CP73*BT$23)/60</f>
        <v>1018801.8227048467</v>
      </c>
      <c r="BU46" s="12">
        <f>($M$49*$J$54+$M$50*$J$55+$M$51*$J$56)*($A$2*(Users!CQ49*BU$24 +Users!CQ61*BU$22) + $A$3*Users!CQ73*BU$23)/60</f>
        <v>1041358.9963122717</v>
      </c>
      <c r="BV46" s="12">
        <f>($M$49*$J$54+$M$50*$J$55+$M$51*$J$56)*($A$2*(Users!CR49*BV$24 +Users!CR61*BV$22) + $A$3*Users!CR73*BV$23)/60</f>
        <v>1064415.6056978987</v>
      </c>
      <c r="BW46" s="12">
        <f>($M$49*$J$54+$M$50*$J$55+$M$51*$J$56)*($A$2*(Users!CS49*BW$24 +Users!CS61*BW$22) + $A$3*Users!CS73*BW$23)/60</f>
        <v>1087791.7775545886</v>
      </c>
      <c r="BX46" s="12">
        <f>($M$49*$J$54+$M$50*$J$55+$M$51*$J$56)*($A$2*(Users!CT49*BX$24 +Users!CT61*BX$22) + $A$3*Users!CT73*BX$23)/60</f>
        <v>1111681.3253968915</v>
      </c>
      <c r="BY46" s="12">
        <f>($M$49*$J$54+$M$50*$J$55+$M$51*$J$56)*($A$2*(Users!CU49*BY$24 +Users!CU61*BY$22) + $A$3*Users!CU73*BY$23)/60</f>
        <v>1136095.5237356205</v>
      </c>
      <c r="BZ46" s="12">
        <f>($M$49*$J$54+$M$50*$J$55+$M$51*$J$56)*($A$2*(Users!CV49*BZ$24 +Users!CV61*BZ$22) + $A$3*Users!CV73*BZ$23)/60</f>
        <v>1161045.894686871</v>
      </c>
    </row>
    <row r="47" spans="1:81">
      <c r="N47" s="12" t="s">
        <v>265</v>
      </c>
      <c r="O47" s="12"/>
      <c r="P47" s="12" t="s">
        <v>231</v>
      </c>
      <c r="R47" s="12">
        <f>($M$49*$J$54+$M$50*$J$55+$M$51*$J$56)*($A$2*(Users!AN50*R$24 + Users!AN62*R$22) + $A$3*Users!AN74*R$23)/60</f>
        <v>202839.03818843502</v>
      </c>
      <c r="S47" s="12">
        <f>($M$49*$J$54+$M$50*$J$55+$M$51*$J$56)*($A$2*(Users!AO50*S$24 + Users!AO62*S$22) + $A$3*Users!AO74*S$23)/60</f>
        <v>209088.73454493022</v>
      </c>
      <c r="T47" s="12">
        <f>($M$49*$J$54+$M$50*$J$55+$M$51*$J$56)*($A$2*(Users!AP50*T$24 + Users!AP62*T$22) + $A$3*Users!AP74*T$23)/60</f>
        <v>211335.40901471552</v>
      </c>
      <c r="U47" s="12">
        <f>($M$49*$J$54+$M$50*$J$55+$M$51*$J$56)*($A$2*(Users!AQ50*U$24 + Users!AQ62*U$22) + $A$3*Users!AQ74*U$23)/60</f>
        <v>217329.62419816692</v>
      </c>
      <c r="V47" s="12">
        <f>($M$49*$J$54+$M$50*$J$55+$M$51*$J$56)*($A$2*(Users!AR50*V$24 + Users!AR62*V$22) + $A$3*Users!AR74*V$23)/60</f>
        <v>226666.4360560138</v>
      </c>
      <c r="W47" s="12">
        <f>($M$49*$J$54+$M$50*$J$55+$M$51*$J$56)*($A$2*(Users!AS50*W$24 + Users!AS62*W$22) + $A$3*Users!AS74*W$23)/60</f>
        <v>234133.98125793066</v>
      </c>
      <c r="X47" s="12">
        <f>($M$49*$J$54+$M$50*$J$55+$M$51*$J$56)*($A$2*(Users!AT50*X$24 + Users!AT62*X$22) + $A$3*Users!AT74*X$23)/60</f>
        <v>243237.48500574008</v>
      </c>
      <c r="Y47" s="12">
        <f>($M$49*$J$54+$M$50*$J$55+$M$51*$J$56)*($A$2*(Users!AU50*Y$24 + Users!AU62*Y$22) + $A$3*Users!AU74*Y$23)/60</f>
        <v>252783.17484629748</v>
      </c>
      <c r="Z47" s="12">
        <f>($M$49*$J$54+$M$50*$J$55+$M$51*$J$56)*($A$2*(Users!AV50*Z$24 + Users!AV62*Z$22) + $A$3*Users!AV74*Z$23)/60</f>
        <v>262740.97945377073</v>
      </c>
      <c r="AA47" s="12">
        <f>($M$49*$J$54+$M$50*$J$55+$M$51*$J$56)*($A$2*(Users!AW50*AA$24 + Users!AW62*AA$22) + $A$3*Users!AW74*AA$23)/60</f>
        <v>273252.28369748022</v>
      </c>
      <c r="AB47" s="12">
        <f>($M$49*$J$54+$M$50*$J$55+$M$51*$J$56)*($A$2*(Users!AX50*AB$24 + Users!AX62*AB$22) + $A$3*Users!AX74*AB$23)/60</f>
        <v>284282.38883186277</v>
      </c>
      <c r="AC47" s="12">
        <f>($M$49*$J$54+$M$50*$J$55+$M$51*$J$56)*($A$2*(Users!AY50*AC$24 + Users!AY62*AC$22) + $A$3*Users!AY74*AC$23)/60</f>
        <v>295865.05664061574</v>
      </c>
      <c r="AD47" s="12">
        <f>($M$49*$J$54+$M$50*$J$55+$M$51*$J$56)*($A$2*(Users!AZ50*AD$24 + Users!AZ62*AD$22) + $A$3*Users!AZ74*AD$23)/60</f>
        <v>308035.08702298353</v>
      </c>
      <c r="AE47" s="12">
        <f>($M$49*$J$54+$M$50*$J$55+$M$51*$J$56)*($A$2*(Users!BA50*AE$24 + Users!BA62*AE$22) + $A$3*Users!BA74*AE$23)/60</f>
        <v>320750.99302014598</v>
      </c>
      <c r="AF47" s="12">
        <f>($M$49*$J$54+$M$50*$J$55+$M$51*$J$56)*($A$2*(Users!BB50*AF$24 + Users!BB62*AF$22) + $A$3*Users!BB74*AF$23)/60</f>
        <v>334042.69938813604</v>
      </c>
      <c r="AG47" s="12">
        <f>($M$49*$J$54+$M$50*$J$55+$M$51*$J$56)*($A$2*(Users!BC50*AG$24 + Users!BC62*AG$22) + $A$3*Users!BC74*AG$23)/60</f>
        <v>347941.26005775295</v>
      </c>
      <c r="AH47" s="12">
        <f>($M$49*$J$54+$M$50*$J$55+$M$51*$J$56)*($A$2*(Users!BD50*AH$24 + Users!BD62*AH$22) + $A$3*Users!BD74*AH$23)/60</f>
        <v>362479.29087871418</v>
      </c>
      <c r="AI47" s="12">
        <f>($M$49*$J$54+$M$50*$J$55+$M$51*$J$56)*($A$2*(Users!BE50*AI$24 + Users!BE62*AI$22) + $A$3*Users!BE74*AI$23)/60</f>
        <v>377689.95120112994</v>
      </c>
      <c r="AJ47" s="12">
        <f>($M$49*$J$54+$M$50*$J$55+$M$51*$J$56)*($A$2*(Users!BF50*AJ$24 + Users!BF62*AJ$22) + $A$3*Users!BF74*AJ$23)/60</f>
        <v>393606.3780990871</v>
      </c>
      <c r="AK47" s="12">
        <f>($M$49*$J$54+$M$50*$J$55+$M$51*$J$56)*($A$2*(Users!BG50*AK$24 + Users!BG62*AK$22) + $A$3*Users!BG74*AK$23)/60</f>
        <v>410263.44286573172</v>
      </c>
      <c r="AL47" s="12">
        <f>($M$49*$J$54+$M$50*$J$55+$M$51*$J$56)*($A$2*(Users!BH50*AL$24 + Users!BH62*AL$22) + $A$3*Users!BH74*AL$23)/60</f>
        <v>418489.24344746518</v>
      </c>
      <c r="AM47" s="12">
        <f>($M$49*$J$54+$M$50*$J$55+$M$51*$J$56)*($A$2*(Users!BI50*AM$24 + Users!BI62*AM$22) + $A$3*Users!BI74*AM$23)/60</f>
        <v>426947.69015832379</v>
      </c>
      <c r="AN47" s="12">
        <f>($M$49*$J$54+$M$50*$J$55+$M$51*$J$56)*($A$2*(Users!BJ50*AN$24 + Users!BJ62*AN$22) + $A$3*Users!BJ74*AN$23)/60</f>
        <v>435642.30711448699</v>
      </c>
      <c r="AO47" s="12">
        <f>($M$49*$J$54+$M$50*$J$55+$M$51*$J$56)*($A$2*(Users!BK50*AO$24 + Users!BK62*AO$22) + $A$3*Users!BK74*AO$23)/60</f>
        <v>444575.36419375817</v>
      </c>
      <c r="AP47" s="12">
        <f>($M$49*$J$54+$M$50*$J$55+$M$51*$J$56)*($A$2*(Users!BL50*AP$24 + Users!BL62*AP$22) + $A$3*Users!BL74*AP$23)/60</f>
        <v>453747.15525442932</v>
      </c>
      <c r="AQ47" s="12">
        <f>($M$49*$J$54+$M$50*$J$55+$M$51*$J$56)*($A$2*(Users!BM50*AQ$24 + Users!BM62*AQ$22) + $A$3*Users!BM74*AQ$23)/60</f>
        <v>463157.4349302731</v>
      </c>
      <c r="AR47" s="12">
        <f>($M$49*$J$54+$M$50*$J$55+$M$51*$J$56)*($A$2*(Users!BN50*AR$24 + Users!BN62*AR$22) + $A$3*Users!BN74*AR$23)/60</f>
        <v>472805.63521224435</v>
      </c>
      <c r="AS47" s="12">
        <f>($M$49*$J$54+$M$50*$J$55+$M$51*$J$56)*($A$2*(Users!BO50*AS$24 + Users!BO62*AS$22) + $A$3*Users!BO74*AS$23)/60</f>
        <v>482690.79900580394</v>
      </c>
      <c r="AT47" s="12">
        <f>($M$49*$J$54+$M$50*$J$55+$M$51*$J$56)*($A$2*(Users!BP50*AT$24 + Users!BP62*AT$22) + $A$3*Users!BP74*AT$23)/60</f>
        <v>492845.2484352747</v>
      </c>
      <c r="AU47" s="12">
        <f>($M$49*$J$54+$M$50*$J$55+$M$51*$J$56)*($A$2*(Users!BQ50*AU$24 + Users!BQ62*AU$22) + $A$3*Users!BQ74*AU$23)/60</f>
        <v>503213.31876538723</v>
      </c>
      <c r="AV47" s="12">
        <f>($M$49*$J$54+$M$50*$J$55+$M$51*$J$56)*($A$2*(Users!BR50*AV$24 + Users!BR62*AV$22) + $A$3*Users!BR74*AV$23)/60</f>
        <v>513799.50397580286</v>
      </c>
      <c r="AW47" s="12">
        <f>($M$49*$J$54+$M$50*$J$55+$M$51*$J$56)*($A$2*(Users!BS50*AW$24 + Users!BS62*AW$22) + $A$3*Users!BS74*AW$23)/60</f>
        <v>524608.39258680458</v>
      </c>
      <c r="AX47" s="12">
        <f>($M$49*$J$54+$M$50*$J$55+$M$51*$J$56)*($A$2*(Users!BT50*AX$24 + Users!BT62*AX$22) + $A$3*Users!BT74*AX$23)/60</f>
        <v>535739.48005333811</v>
      </c>
      <c r="AY47" s="12">
        <f>($M$49*$J$54+$M$50*$J$55+$M$51*$J$56)*($A$2*(Users!BU50*AY$24 + Users!BU62*AY$22) + $A$3*Users!BU74*AY$23)/60</f>
        <v>547106.74580054532</v>
      </c>
      <c r="AZ47" s="12">
        <f>($M$49*$J$54+$M$50*$J$55+$M$51*$J$56)*($A$2*(Users!BV50*AZ$24 + Users!BV62*AZ$22) + $A$3*Users!BV74*AZ$23)/60</f>
        <v>558715.20103513938</v>
      </c>
      <c r="BA47" s="12">
        <f>($M$49*$J$54+$M$50*$J$55+$M$51*$J$56)*($A$2*(Users!BW50*BA$24 + Users!BW62*BA$22) + $A$3*Users!BW74*BA$23)/60</f>
        <v>570569.96329111129</v>
      </c>
      <c r="BB47" s="12">
        <f>($M$49*$J$54+$M$50*$J$55+$M$51*$J$56)*($A$2*(Users!BX50*BB$24 + Users!BX62*BB$22) + $A$3*Users!BX74*BB$23)/60</f>
        <v>582676.2586857659</v>
      </c>
      <c r="BC47" s="12">
        <f>($M$49*$J$54+$M$50*$J$55+$M$51*$J$56)*($A$2*(Users!BY50*BC$24 + Users!BY62*BC$22) + $A$3*Users!BY74*BC$23)/60</f>
        <v>595206.48347399454</v>
      </c>
      <c r="BD47" s="12">
        <f>($M$49*$J$54+$M$50*$J$55+$M$51*$J$56)*($A$2*(Users!BZ50*BD$24 + Users!BZ62*BD$22) + $A$3*Users!BZ74*BD$23)/60</f>
        <v>608006.16583991435</v>
      </c>
      <c r="BE47" s="12">
        <f>($M$49*$J$54+$M$50*$J$55+$M$51*$J$56)*($A$2*(Users!CA50*BE$24 + Users!CA62*BE$22) + $A$3*Users!CA74*BE$23)/60</f>
        <v>621081.10036322253</v>
      </c>
      <c r="BF47" s="12">
        <f>($M$49*$J$54+$M$50*$J$55+$M$51*$J$56)*($A$2*(Users!CB50*BF$24 + Users!CB62*BF$22) + $A$3*Users!CB74*BF$23)/60</f>
        <v>634437.20623378665</v>
      </c>
      <c r="BG47" s="12">
        <f>($M$49*$J$54+$M$50*$J$55+$M$51*$J$56)*($A$2*(Users!CC50*BG$24 + Users!CC62*BG$22) + $A$3*Users!CC74*BG$23)/60</f>
        <v>648080.52993133292</v>
      </c>
      <c r="BH47" s="12">
        <f>($M$49*$J$54+$M$50*$J$55+$M$51*$J$56)*($A$2*(Users!CD50*BH$24 + Users!CD62*BH$22) + $A$3*Users!CD74*BH$23)/60</f>
        <v>662248.5657118581</v>
      </c>
      <c r="BI47" s="12">
        <f>($M$49*$J$54+$M$50*$J$55+$M$51*$J$56)*($A$2*(Users!CE50*BI$24 + Users!CE62*BI$22) + $A$3*Users!CE74*BI$23)/60</f>
        <v>676726.33651543641</v>
      </c>
      <c r="BJ47" s="12">
        <f>($M$49*$J$54+$M$50*$J$55+$M$51*$J$56)*($A$2*(Users!CF50*BJ$24 + Users!CF62*BJ$22) + $A$3*Users!CF74*BJ$23)/60</f>
        <v>691520.61362539837</v>
      </c>
      <c r="BK47" s="12">
        <f>($M$49*$J$54+$M$50*$J$55+$M$51*$J$56)*($A$2*(Users!CG50*BK$24 + Users!CG62*BK$22) + $A$3*Users!CG74*BK$23)/60</f>
        <v>706638.31635572808</v>
      </c>
      <c r="BL47" s="12">
        <f>($M$49*$J$54+$M$50*$J$55+$M$51*$J$56)*($A$2*(Users!CH50*BL$24 + Users!CH62*BL$22) + $A$3*Users!CH74*BL$23)/60</f>
        <v>722086.51528723829</v>
      </c>
      <c r="BM47" s="12">
        <f>($M$49*$J$54+$M$50*$J$55+$M$51*$J$56)*($A$2*(Users!CI50*BM$24 + Users!CI62*BM$22) + $A$3*Users!CI74*BM$23)/60</f>
        <v>738061.17109114316</v>
      </c>
      <c r="BN47" s="12">
        <f>($M$49*$J$54+$M$50*$J$55+$M$51*$J$56)*($A$2*(Users!CJ50*BN$24 + Users!CJ62*BN$22) + $A$3*Users!CJ74*BN$23)/60</f>
        <v>754389.23278568673</v>
      </c>
      <c r="BO47" s="12">
        <f>($M$49*$J$54+$M$50*$J$55+$M$51*$J$56)*($A$2*(Users!CK50*BO$24 + Users!CK62*BO$22) + $A$3*Users!CK74*BO$23)/60</f>
        <v>771078.51873797749</v>
      </c>
      <c r="BP47" s="12">
        <f>($M$49*$J$54+$M$50*$J$55+$M$51*$J$56)*($A$2*(Users!CL50*BP$24 + Users!CL62*BP$22) + $A$3*Users!CL74*BP$23)/60</f>
        <v>788137.02028016956</v>
      </c>
      <c r="BQ47" s="12">
        <f>($M$49*$J$54+$M$50*$J$55+$M$51*$J$56)*($A$2*(Users!CM50*BQ$24 + Users!CM62*BQ$22) + $A$3*Users!CM74*BQ$23)/60</f>
        <v>805572.90553594579</v>
      </c>
      <c r="BR47" s="12">
        <f>($M$49*$J$54+$M$50*$J$55+$M$51*$J$56)*($A$2*(Users!CN50*BR$24 + Users!CN62*BR$22) + $A$3*Users!CN74*BR$23)/60</f>
        <v>823441.55025058775</v>
      </c>
      <c r="BS47" s="12">
        <f>($M$49*$J$54+$M$50*$J$55+$M$51*$J$56)*($A$2*(Users!CO50*BS$24 + Users!CO62*BS$22) + $A$3*Users!CO74*BS$23)/60</f>
        <v>841673.27460621984</v>
      </c>
      <c r="BT47" s="12">
        <f>($M$49*$J$54+$M$50*$J$55+$M$51*$J$56)*($A$2*(Users!CP50*BT$24 + Users!CP62*BT$22) + $A$3*Users!CP74*BT$23)/60</f>
        <v>860308.66546723922</v>
      </c>
      <c r="BU47" s="12">
        <f>($M$49*$J$54+$M$50*$J$55+$M$51*$J$56)*($A$2*(Users!CQ50*BU$24 + Users!CQ62*BU$22) + $A$3*Users!CQ74*BU$23)/60</f>
        <v>879356.66036716464</v>
      </c>
      <c r="BV47" s="12">
        <f>($M$49*$J$54+$M$50*$J$55+$M$51*$J$56)*($A$2*(Users!CR50*BV$24 + Users!CR62*BV$22) + $A$3*Users!CR74*BV$23)/60</f>
        <v>898826.39472441713</v>
      </c>
      <c r="BW47" s="12">
        <f>($M$49*$J$54+$M$50*$J$55+$M$51*$J$56)*($A$2*(Users!CS50*BW$24 + Users!CS62*BW$22) + $A$3*Users!CS74*BW$23)/60</f>
        <v>918565.97779698123</v>
      </c>
      <c r="BX47" s="12">
        <f>($M$49*$J$54+$M$50*$J$55+$M$51*$J$56)*($A$2*(Users!CT50*BX$24 + Users!CT62*BX$22) + $A$3*Users!CT74*BX$23)/60</f>
        <v>938739.07188142487</v>
      </c>
      <c r="BY47" s="12">
        <f>($M$49*$J$54+$M$50*$J$55+$M$51*$J$56)*($A$2*(Users!CU50*BY$24 + Users!CU62*BY$22) + $A$3*Users!CU74*BY$23)/60</f>
        <v>959355.19753330178</v>
      </c>
      <c r="BZ47" s="12">
        <f>($M$49*$J$54+$M$50*$J$55+$M$51*$J$56)*($A$2*(Users!CV50*BZ$24 + Users!CV62*BZ$22) + $A$3*Users!CV74*BZ$23)/60</f>
        <v>980424.08439394215</v>
      </c>
    </row>
    <row r="48" spans="1:81">
      <c r="E48" s="12"/>
      <c r="F48" s="12"/>
      <c r="G48" s="12"/>
      <c r="H48" s="12"/>
      <c r="I48" s="12"/>
      <c r="J48" s="12"/>
      <c r="K48" s="12"/>
      <c r="M48" t="s">
        <v>158</v>
      </c>
      <c r="N48" s="12"/>
      <c r="O48" s="12"/>
      <c r="P48" s="12" t="s">
        <v>232</v>
      </c>
      <c r="R48" s="12">
        <f>($M$49*$J$54+$M$50*$J$55+$M$51*$J$56)*($A$2*(Users!AN51*R$24 +Users!AN63*R$22) + $A$3*Users!AN75*R$23)/60</f>
        <v>93387.444554332091</v>
      </c>
      <c r="S48" s="12">
        <f>($M$49*$J$54+$M$50*$J$55+$M$51*$J$56)*($A$2*(Users!AO51*S$24 +Users!AO63*S$22) + $A$3*Users!AO75*S$23)/60</f>
        <v>96264.815583036179</v>
      </c>
      <c r="T48" s="12">
        <f>($M$49*$J$54+$M$50*$J$55+$M$51*$J$56)*($A$2*(Users!AP51*T$24 +Users!AP63*T$22) + $A$3*Users!AP75*T$23)/60</f>
        <v>97299.188400776533</v>
      </c>
      <c r="U48" s="12">
        <f>($M$49*$J$54+$M$50*$J$55+$M$51*$J$56)*($A$2*(Users!AQ51*U$24 +Users!AQ63*U$22) + $A$3*Users!AQ75*U$23)/60</f>
        <v>100058.93545484835</v>
      </c>
      <c r="V48" s="12">
        <f>($M$49*$J$54+$M$50*$J$55+$M$51*$J$56)*($A$2*(Users!AR51*V$24 +Users!AR63*V$22) + $A$3*Users!AR75*V$23)/60</f>
        <v>104357.61980809834</v>
      </c>
      <c r="W48" s="12">
        <f>($M$49*$J$54+$M$50*$J$55+$M$51*$J$56)*($A$2*(Users!AS51*W$24 +Users!AS63*W$22) + $A$3*Users!AS75*W$23)/60</f>
        <v>107795.69055487998</v>
      </c>
      <c r="X48" s="12">
        <f>($M$49*$J$54+$M$50*$J$55+$M$51*$J$56)*($A$2*(Users!AT51*X$24 +Users!AT63*X$22) + $A$3*Users!AT75*X$23)/60</f>
        <v>111986.95945011565</v>
      </c>
      <c r="Y48" s="12">
        <f>($M$49*$J$54+$M$50*$J$55+$M$51*$J$56)*($A$2*(Users!AU51*Y$24 +Users!AU63*Y$22) + $A$3*Users!AU75*Y$23)/60</f>
        <v>116381.81158843907</v>
      </c>
      <c r="Z48" s="12">
        <f>($M$49*$J$54+$M$50*$J$55+$M$51*$J$56)*($A$2*(Users!AV51*Z$24 +Users!AV63*Z$22) + $A$3*Users!AV75*Z$23)/60</f>
        <v>120966.40207934532</v>
      </c>
      <c r="AA48" s="12">
        <f>($M$49*$J$54+$M$50*$J$55+$M$51*$J$56)*($A$2*(Users!AW51*AA$24 +Users!AW63*AA$22) + $A$3*Users!AW75*AA$23)/60</f>
        <v>125805.82476158673</v>
      </c>
      <c r="AB48" s="12">
        <f>($M$49*$J$54+$M$50*$J$55+$M$51*$J$56)*($A$2*(Users!AX51*AB$24 +Users!AX63*AB$22) + $A$3*Users!AX75*AB$23)/60</f>
        <v>130884.10427259815</v>
      </c>
      <c r="AC48" s="12">
        <f>($M$49*$J$54+$M$50*$J$55+$M$51*$J$56)*($A$2*(Users!AY51*AC$24 +Users!AY63*AC$22) + $A$3*Users!AY75*AC$23)/60</f>
        <v>136216.78459607865</v>
      </c>
      <c r="AD48" s="12">
        <f>($M$49*$J$54+$M$50*$J$55+$M$51*$J$56)*($A$2*(Users!AZ51*AD$24 +Users!AZ63*AD$22) + $A$3*Users!AZ75*AD$23)/60</f>
        <v>141819.88766592307</v>
      </c>
      <c r="AE48" s="12">
        <f>($M$49*$J$54+$M$50*$J$55+$M$51*$J$56)*($A$2*(Users!BA51*AE$24 +Users!BA63*AE$22) + $A$3*Users!BA75*AE$23)/60</f>
        <v>147674.31281442396</v>
      </c>
      <c r="AF48" s="12">
        <f>($M$49*$J$54+$M$50*$J$55+$M$51*$J$56)*($A$2*(Users!BB51*AF$24 +Users!BB63*AF$22) + $A$3*Users!BB75*AF$23)/60</f>
        <v>153793.83745109674</v>
      </c>
      <c r="AG48" s="12">
        <f>($M$49*$J$54+$M$50*$J$55+$M$51*$J$56)*($A$2*(Users!BC51*AG$24 +Users!BC63*AG$22) + $A$3*Users!BC75*AG$23)/60</f>
        <v>160192.7588594752</v>
      </c>
      <c r="AH48" s="12">
        <f>($M$49*$J$54+$M$50*$J$55+$M$51*$J$56)*($A$2*(Users!BD51*AH$24 +Users!BD63*AH$22) + $A$3*Users!BD75*AH$23)/60</f>
        <v>166886.09343326878</v>
      </c>
      <c r="AI48" s="12">
        <f>($M$49*$J$54+$M$50*$J$55+$M$51*$J$56)*($A$2*(Users!BE51*AI$24 +Users!BE63*AI$22) + $A$3*Users!BE75*AI$23)/60</f>
        <v>173889.10779470921</v>
      </c>
      <c r="AJ48" s="12">
        <f>($M$49*$J$54+$M$50*$J$55+$M$51*$J$56)*($A$2*(Users!BF51*AJ$24 +Users!BF63*AJ$22) + $A$3*Users!BF75*AJ$23)/60</f>
        <v>181217.05831010858</v>
      </c>
      <c r="AK48" s="12">
        <f>($M$49*$J$54+$M$50*$J$55+$M$51*$J$56)*($A$2*(Users!BG51*AK$24 +Users!BG63*AK$22) + $A$3*Users!BG75*AK$23)/60</f>
        <v>188885.99978323787</v>
      </c>
      <c r="AL48" s="12">
        <f>($M$49*$J$54+$M$50*$J$55+$M$51*$J$56)*($A$2*(Users!BH51*AL$24 +Users!BH63*AL$22) + $A$3*Users!BH75*AL$23)/60</f>
        <v>192673.17262039159</v>
      </c>
      <c r="AM48" s="12">
        <f>($M$49*$J$54+$M$50*$J$55+$M$51*$J$56)*($A$2*(Users!BI51*AM$24 +Users!BI63*AM$22) + $A$3*Users!BI75*AM$23)/60</f>
        <v>196567.45613840094</v>
      </c>
      <c r="AN48" s="12">
        <f>($M$49*$J$54+$M$50*$J$55+$M$51*$J$56)*($A$2*(Users!BJ51*AN$24 +Users!BJ63*AN$22) + $A$3*Users!BJ75*AN$23)/60</f>
        <v>200570.47284645954</v>
      </c>
      <c r="AO48" s="12">
        <f>($M$49*$J$54+$M$50*$J$55+$M$51*$J$56)*($A$2*(Users!BK51*AO$24 +Users!BK63*AO$22) + $A$3*Users!BK75*AO$23)/60</f>
        <v>204683.2678002402</v>
      </c>
      <c r="AP48" s="12">
        <f>($M$49*$J$54+$M$50*$J$55+$M$51*$J$56)*($A$2*(Users!BL51*AP$24 +Users!BL63*AP$22) + $A$3*Users!BL75*AP$23)/60</f>
        <v>208905.97629260962</v>
      </c>
      <c r="AQ48" s="12">
        <f>($M$49*$J$54+$M$50*$J$55+$M$51*$J$56)*($A$2*(Users!BM51*AQ$24 +Users!BM63*AQ$22) + $A$3*Users!BM75*AQ$23)/60</f>
        <v>213238.48535653157</v>
      </c>
      <c r="AR48" s="12">
        <f>($M$49*$J$54+$M$50*$J$55+$M$51*$J$56)*($A$2*(Users!BN51*AR$24 +Users!BN63*AR$22) + $A$3*Users!BN75*AR$23)/60</f>
        <v>217680.53347965793</v>
      </c>
      <c r="AS48" s="12">
        <f>($M$49*$J$54+$M$50*$J$55+$M$51*$J$56)*($A$2*(Users!BO51*AS$24 +Users!BO63*AS$22) + $A$3*Users!BO75*AS$23)/60</f>
        <v>222231.68001400479</v>
      </c>
      <c r="AT48" s="12">
        <f>($M$49*$J$54+$M$50*$J$55+$M$51*$J$56)*($A$2*(Users!BP51*AT$24 +Users!BP63*AT$22) + $A$3*Users!BP75*AT$23)/60</f>
        <v>226906.80612160105</v>
      </c>
      <c r="AU48" s="12">
        <f>($M$49*$J$54+$M$50*$J$55+$M$51*$J$56)*($A$2*(Users!BQ51*AU$24 +Users!BQ63*AU$22) + $A$3*Users!BQ75*AU$23)/60</f>
        <v>231680.28366190227</v>
      </c>
      <c r="AV48" s="12">
        <f>($M$49*$J$54+$M$50*$J$55+$M$51*$J$56)*($A$2*(Users!BR51*AV$24 +Users!BR63*AV$22) + $A$3*Users!BR75*AV$23)/60</f>
        <v>236554.18167092925</v>
      </c>
      <c r="AW48" s="12">
        <f>($M$49*$J$54+$M$50*$J$55+$M$51*$J$56)*($A$2*(Users!BS51*AW$24 +Users!BS63*AW$22) + $A$3*Users!BS75*AW$23)/60</f>
        <v>241530.61271136903</v>
      </c>
      <c r="AX48" s="12">
        <f>($M$49*$J$54+$M$50*$J$55+$M$51*$J$56)*($A$2*(Users!BT51*AX$24 +Users!BT63*AX$22) + $A$3*Users!BT75*AX$23)/60</f>
        <v>246655.38466303173</v>
      </c>
      <c r="AY48" s="12">
        <f>($M$49*$J$54+$M$50*$J$55+$M$51*$J$56)*($A$2*(Users!BU51*AY$24 +Users!BU63*AY$22) + $A$3*Users!BU75*AY$23)/60</f>
        <v>251888.8935042416</v>
      </c>
      <c r="AZ48" s="12">
        <f>($M$49*$J$54+$M$50*$J$55+$M$51*$J$56)*($A$2*(Users!BV51*AZ$24 +Users!BV63*AZ$22) + $A$3*Users!BV75*AZ$23)/60</f>
        <v>257233.44640325001</v>
      </c>
      <c r="BA48" s="12">
        <f>($M$49*$J$54+$M$50*$J$55+$M$51*$J$56)*($A$2*(Users!BW51*BA$24 +Users!BW63*BA$22) + $A$3*Users!BW75*BA$23)/60</f>
        <v>262691.3994815718</v>
      </c>
      <c r="BB48" s="12">
        <f>($M$49*$J$54+$M$50*$J$55+$M$51*$J$56)*($A$2*(Users!BX51*BB$24 +Users!BX63*BB$22) + $A$3*Users!BX75*BB$23)/60</f>
        <v>268265.15885266656</v>
      </c>
      <c r="BC48" s="12">
        <f>($M$49*$J$54+$M$50*$J$55+$M$51*$J$56)*($A$2*(Users!BY51*BC$24 +Users!BY63*BC$22) + $A$3*Users!BY75*BC$23)/60</f>
        <v>274034.09605092404</v>
      </c>
      <c r="BD48" s="12">
        <f>($M$49*$J$54+$M$50*$J$55+$M$51*$J$56)*($A$2*(Users!BZ51*BD$24 +Users!BZ63*BD$22) + $A$3*Users!BZ75*BD$23)/60</f>
        <v>279927.09198472433</v>
      </c>
      <c r="BE48" s="12">
        <f>($M$49*$J$54+$M$50*$J$55+$M$51*$J$56)*($A$2*(Users!CA51*BE$24 +Users!CA63*BE$22) + $A$3*Users!CA75*BE$23)/60</f>
        <v>285946.81448859762</v>
      </c>
      <c r="BF48" s="12">
        <f>($M$49*$J$54+$M$50*$J$55+$M$51*$J$56)*($A$2*(Users!CB51*BF$24 +Users!CB63*BF$22) + $A$3*Users!CB75*BF$23)/60</f>
        <v>292095.98876781302</v>
      </c>
      <c r="BG48" s="12">
        <f>($M$49*$J$54+$M$50*$J$55+$M$51*$J$56)*($A$2*(Users!CC51*BG$24 +Users!CC63*BG$22) + $A$3*Users!CC75*BG$23)/60</f>
        <v>298377.39863211027</v>
      </c>
      <c r="BH48" s="12">
        <f>($M$49*$J$54+$M$50*$J$55+$M$51*$J$56)*($A$2*(Users!CD51*BH$24 +Users!CD63*BH$22) + $A$3*Users!CD75*BH$23)/60</f>
        <v>304900.38684835506</v>
      </c>
      <c r="BI48" s="12">
        <f>($M$49*$J$54+$M$50*$J$55+$M$51*$J$56)*($A$2*(Users!CE51*BI$24 +Users!CE63*BI$22) + $A$3*Users!CE75*BI$23)/60</f>
        <v>311565.97760575888</v>
      </c>
      <c r="BJ48" s="12">
        <f>($M$49*$J$54+$M$50*$J$55+$M$51*$J$56)*($A$2*(Users!CF51*BJ$24 +Users!CF63*BJ$22) + $A$3*Users!CF75*BJ$23)/60</f>
        <v>318377.28841489658</v>
      </c>
      <c r="BK48" s="12">
        <f>($M$49*$J$54+$M$50*$J$55+$M$51*$J$56)*($A$2*(Users!CG51*BK$24 +Users!CG63*BK$22) + $A$3*Users!CG75*BK$23)/60</f>
        <v>325337.50493991276</v>
      </c>
      <c r="BL48" s="12">
        <f>($M$49*$J$54+$M$50*$J$55+$M$51*$J$56)*($A$2*(Users!CH51*BL$24 +Users!CH63*BL$22) + $A$3*Users!CH75*BL$23)/60</f>
        <v>332449.88248846179</v>
      </c>
      <c r="BM48" s="12">
        <f>($M$49*$J$54+$M$50*$J$55+$M$51*$J$56)*($A$2*(Users!CI51*BM$24 +Users!CI63*BM$22) + $A$3*Users!CI75*BM$23)/60</f>
        <v>339804.64169302781</v>
      </c>
      <c r="BN48" s="12">
        <f>($M$49*$J$54+$M$50*$J$55+$M$51*$J$56)*($A$2*(Users!CJ51*BN$24 +Users!CJ63*BN$22) + $A$3*Users!CJ75*BN$23)/60</f>
        <v>347322.10958183894</v>
      </c>
      <c r="BO48" s="12">
        <f>($M$49*$J$54+$M$50*$J$55+$M$51*$J$56)*($A$2*(Users!CK51*BO$24 +Users!CK63*BO$22) + $A$3*Users!CK75*BO$23)/60</f>
        <v>355005.8857446555</v>
      </c>
      <c r="BP48" s="12">
        <f>($M$49*$J$54+$M$50*$J$55+$M$51*$J$56)*($A$2*(Users!CL51*BP$24 +Users!CL63*BP$22) + $A$3*Users!CL75*BP$23)/60</f>
        <v>362859.64940464462</v>
      </c>
      <c r="BQ48" s="12">
        <f>($M$49*$J$54+$M$50*$J$55+$M$51*$J$56)*($A$2*(Users!CM51*BQ$24 +Users!CM63*BQ$22) + $A$3*Users!CM75*BQ$23)/60</f>
        <v>370887.16118009895</v>
      </c>
      <c r="BR48" s="12">
        <f>($M$49*$J$54+$M$50*$J$55+$M$51*$J$56)*($A$2*(Users!CN51*BR$24 +Users!CN63*BR$22) + $A$3*Users!CN75*BR$23)/60</f>
        <v>379113.91616007214</v>
      </c>
      <c r="BS48" s="12">
        <f>($M$49*$J$54+$M$50*$J$55+$M$51*$J$56)*($A$2*(Users!CO51*BS$24 +Users!CO63*BS$22) + $A$3*Users!CO75*BS$23)/60</f>
        <v>387507.83363570989</v>
      </c>
      <c r="BT48" s="12">
        <f>($M$49*$J$54+$M$50*$J$55+$M$51*$J$56)*($A$2*(Users!CP51*BT$24 +Users!CP63*BT$22) + $A$3*Users!CP75*BT$23)/60</f>
        <v>396087.5998696881</v>
      </c>
      <c r="BU48" s="12">
        <f>($M$49*$J$54+$M$50*$J$55+$M$51*$J$56)*($A$2*(Users!CQ51*BU$24 +Users!CQ63*BU$22) + $A$3*Users!CQ75*BU$23)/60</f>
        <v>404857.32971792127</v>
      </c>
      <c r="BV48" s="12">
        <f>($M$49*$J$54+$M$50*$J$55+$M$51*$J$56)*($A$2*(Users!CR51*BV$24 +Users!CR63*BV$22) + $A$3*Users!CR75*BV$23)/60</f>
        <v>413821.22914287489</v>
      </c>
      <c r="BW48" s="12">
        <f>($M$49*$J$54+$M$50*$J$55+$M$51*$J$56)*($A$2*(Users!CS51*BW$24 +Users!CS63*BW$22) + $A$3*Users!CS75*BW$23)/60</f>
        <v>422909.36738380953</v>
      </c>
      <c r="BX48" s="12">
        <f>($M$49*$J$54+$M$50*$J$55+$M$51*$J$56)*($A$2*(Users!CT51*BX$24 +Users!CT63*BX$22) + $A$3*Users!CT75*BX$23)/60</f>
        <v>432197.09484557237</v>
      </c>
      <c r="BY48" s="12">
        <f>($M$49*$J$54+$M$50*$J$55+$M$51*$J$56)*($A$2*(Users!CU51*BY$24 +Users!CU63*BY$22) + $A$3*Users!CU75*BY$23)/60</f>
        <v>441688.79480843275</v>
      </c>
      <c r="BZ48" s="12">
        <f>($M$49*$J$54+$M$50*$J$55+$M$51*$J$56)*($A$2*(Users!CV51*BZ$24 +Users!CV63*BZ$22) + $A$3*Users!CV75*BZ$23)/60</f>
        <v>451388.94681611343</v>
      </c>
      <c r="CA48" s="12"/>
    </row>
    <row r="49" spans="1:78">
      <c r="F49" s="16"/>
      <c r="G49" s="16"/>
      <c r="H49" s="16"/>
      <c r="I49" s="16"/>
      <c r="J49" s="16"/>
      <c r="K49" s="16"/>
      <c r="M49">
        <f>1 - M50 - M51</f>
        <v>3.9999999999999925E-2</v>
      </c>
      <c r="N49" s="12"/>
      <c r="O49" s="12"/>
      <c r="P49" s="12" t="s">
        <v>233</v>
      </c>
      <c r="R49" s="12">
        <f>($M$49*$I$54+$M$50*$I$55+$M$51*$I$56)*($A$2*(Users!AN52*R$24 +Users!AN64*R$22) + $A$3*Users!AN76*R$23)/60</f>
        <v>146934.39220645852</v>
      </c>
      <c r="S49" s="12">
        <f>($M$49*$I$54+$M$50*$I$55+$M$51*$I$56)*($A$2*(Users!AO52*S$24 +Users!AO64*S$22) + $A$3*Users!AO76*S$23)/60</f>
        <v>151461.60424521531</v>
      </c>
      <c r="T49" s="12">
        <f>($M$49*$I$54+$M$50*$I$55+$M$51*$I$56)*($A$2*(Users!AP52*T$24 +Users!AP64*T$22) + $A$3*Users!AP76*T$23)/60</f>
        <v>153089.07078544321</v>
      </c>
      <c r="U49" s="12">
        <f>($M$49*$I$54+$M$50*$I$55+$M$51*$I$56)*($A$2*(Users!AQ52*U$24 +Users!AQ64*U$22) + $A$3*Users!AQ76*U$23)/60</f>
        <v>157431.21504229444</v>
      </c>
      <c r="V49" s="12">
        <f>($M$49*$I$54+$M$50*$I$55+$M$51*$I$56)*($A$2*(Users!AR52*V$24 +Users!AR64*V$22) + $A$3*Users!AR76*V$23)/60</f>
        <v>164194.69995984918</v>
      </c>
      <c r="W49" s="12">
        <f>($M$49*$I$54+$M$50*$I$55+$M$51*$I$56)*($A$2*(Users!AS52*W$24 +Users!AS64*W$22) + $A$3*Users!AS76*W$23)/60</f>
        <v>169604.10845102233</v>
      </c>
      <c r="X49" s="12">
        <f>($M$49*$I$54+$M$50*$I$55+$M$51*$I$56)*($A$2*(Users!AT52*X$24 +Users!AT64*X$22) + $A$3*Users!AT76*X$23)/60</f>
        <v>176198.58751225201</v>
      </c>
      <c r="Y49" s="12">
        <f>($M$49*$I$54+$M$50*$I$55+$M$51*$I$56)*($A$2*(Users!AU52*Y$24 +Users!AU64*Y$22) + $A$3*Users!AU76*Y$23)/60</f>
        <v>183113.38136771627</v>
      </c>
      <c r="Z49" s="12">
        <f>($M$49*$I$54+$M$50*$I$55+$M$51*$I$56)*($A$2*(Users!AV52*Z$24 +Users!AV64*Z$22) + $A$3*Users!AV76*Z$23)/60</f>
        <v>190326.70667618327</v>
      </c>
      <c r="AA49" s="12">
        <f>($M$49*$I$54+$M$50*$I$55+$M$51*$I$56)*($A$2*(Users!AW52*AA$24 +Users!AW64*AA$22) + $A$3*Users!AW76*AA$23)/60</f>
        <v>197940.98109860404</v>
      </c>
      <c r="AB49" s="12">
        <f>($M$49*$I$54+$M$50*$I$55+$M$51*$I$56)*($A$2*(Users!AX52*AB$24 +Users!AX64*AB$22) + $A$3*Users!AX76*AB$23)/60</f>
        <v>205931.06924124353</v>
      </c>
      <c r="AC49" s="12">
        <f>($M$49*$I$54+$M$50*$I$55+$M$51*$I$56)*($A$2*(Users!AY52*AC$24 +Users!AY64*AC$22) + $A$3*Users!AY76*AC$23)/60</f>
        <v>214321.42777285623</v>
      </c>
      <c r="AD49" s="12">
        <f>($M$49*$I$54+$M$50*$I$55+$M$51*$I$56)*($A$2*(Users!AZ52*AD$24 +Users!AZ64*AD$22) + $A$3*Users!AZ76*AD$23)/60</f>
        <v>223137.26536180262</v>
      </c>
      <c r="AE49" s="12">
        <f>($M$49*$I$54+$M$50*$I$55+$M$51*$I$56)*($A$2*(Users!BA52*AE$24 +Users!BA64*AE$22) + $A$3*Users!BA76*AE$23)/60</f>
        <v>232348.52930652618</v>
      </c>
      <c r="AF49" s="12">
        <f>($M$49*$I$54+$M$50*$I$55+$M$51*$I$56)*($A$2*(Users!BB52*AF$24 +Users!BB64*AF$22) + $A$3*Users!BB76*AF$23)/60</f>
        <v>241976.8967746908</v>
      </c>
      <c r="AG49" s="12">
        <f>($M$49*$I$54+$M$50*$I$55+$M$51*$I$56)*($A$2*(Users!BC52*AG$24 +Users!BC64*AG$22) + $A$3*Users!BC76*AG$23)/60</f>
        <v>252044.86289587498</v>
      </c>
      <c r="AH49" s="12">
        <f>($M$49*$I$54+$M$50*$I$55+$M$51*$I$56)*($A$2*(Users!BD52*AH$24 +Users!BD64*AH$22) + $A$3*Users!BD76*AH$23)/60</f>
        <v>262576.05423672654</v>
      </c>
      <c r="AI49" s="12">
        <f>($M$49*$I$54+$M$50*$I$55+$M$51*$I$56)*($A$2*(Users!BE52*AI$24 +Users!BE64*AI$22) + $A$3*Users!BE76*AI$23)/60</f>
        <v>273594.49106966396</v>
      </c>
      <c r="AJ49" s="12">
        <f>($M$49*$I$54+$M$50*$I$55+$M$51*$I$56)*($A$2*(Users!BF52*AJ$24 +Users!BF64*AJ$22) + $A$3*Users!BF76*AJ$23)/60</f>
        <v>285124.17753059702</v>
      </c>
      <c r="AK49" s="12">
        <f>($M$49*$I$54+$M$50*$I$55+$M$51*$I$56)*($A$2*(Users!BG52*AK$24 +Users!BG64*AK$22) + $A$3*Users!BG76*AK$23)/60</f>
        <v>297190.37400485191</v>
      </c>
      <c r="AL49" s="12">
        <f>($M$49*$I$54+$M$50*$I$55+$M$51*$I$56)*($A$2*(Users!BH52*AL$24 +Users!BH64*AL$22) + $A$3*Users!BH76*AL$23)/60</f>
        <v>303149.05444271571</v>
      </c>
      <c r="AM49" s="12">
        <f>($M$49*$I$54+$M$50*$I$55+$M$51*$I$56)*($A$2*(Users!BI52*AM$24 +Users!BI64*AM$22) + $A$3*Users!BI76*AM$23)/60</f>
        <v>309276.26120513468</v>
      </c>
      <c r="AN49" s="12">
        <f>($M$49*$I$54+$M$50*$I$55+$M$51*$I$56)*($A$2*(Users!BJ52*AN$24 +Users!BJ64*AN$22) + $A$3*Users!BJ76*AN$23)/60</f>
        <v>315574.54712352372</v>
      </c>
      <c r="AO49" s="12">
        <f>($M$49*$I$54+$M$50*$I$55+$M$51*$I$56)*($A$2*(Users!BK52*AO$24 +Users!BK64*AO$22) + $A$3*Users!BK76*AO$23)/60</f>
        <v>322045.55647266563</v>
      </c>
      <c r="AP49" s="12">
        <f>($M$49*$I$54+$M$50*$I$55+$M$51*$I$56)*($A$2*(Users!BL52*AP$24 +Users!BL64*AP$22) + $A$3*Users!BL76*AP$23)/60</f>
        <v>328689.50212030963</v>
      </c>
      <c r="AQ49" s="12">
        <f>($M$49*$I$54+$M$50*$I$55+$M$51*$I$56)*($A$2*(Users!BM52*AQ$24 +Users!BM64*AQ$22) + $A$3*Users!BM76*AQ$23)/60</f>
        <v>335506.20632583014</v>
      </c>
      <c r="AR49" s="12">
        <f>($M$49*$I$54+$M$50*$I$55+$M$51*$I$56)*($A$2*(Users!BN52*AR$24 +Users!BN64*AR$22) + $A$3*Users!BN76*AR$23)/60</f>
        <v>342495.257629656</v>
      </c>
      <c r="AS49" s="12">
        <f>($M$49*$I$54+$M$50*$I$55+$M$51*$I$56)*($A$2*(Users!BO52*AS$24 +Users!BO64*AS$22) + $A$3*Users!BO76*AS$23)/60</f>
        <v>349655.96272291668</v>
      </c>
      <c r="AT49" s="12">
        <f>($M$49*$I$54+$M$50*$I$55+$M$51*$I$56)*($A$2*(Users!BP52*AT$24 +Users!BP64*AT$22) + $A$3*Users!BP76*AT$23)/60</f>
        <v>357011.73540077987</v>
      </c>
      <c r="AU49" s="12">
        <f>($M$49*$I$54+$M$50*$I$55+$M$51*$I$56)*($A$2*(Users!BQ52*AU$24 +Users!BQ64*AU$22) + $A$3*Users!BQ76*AU$23)/60</f>
        <v>364522.25273469422</v>
      </c>
      <c r="AV49" s="12">
        <f>($M$49*$I$54+$M$50*$I$55+$M$51*$I$56)*($A$2*(Users!BR52*AV$24 +Users!BR64*AV$22) + $A$3*Users!BR76*AV$23)/60</f>
        <v>372190.77011462988</v>
      </c>
      <c r="AW49" s="12">
        <f>($M$49*$I$54+$M$50*$I$55+$M$51*$I$56)*($A$2*(Users!BS52*AW$24 +Users!BS64*AW$22) + $A$3*Users!BS76*AW$23)/60</f>
        <v>380020.61141475174</v>
      </c>
      <c r="AX49" s="12">
        <f>($M$49*$I$54+$M$50*$I$55+$M$51*$I$56)*($A$2*(Users!BT52*AX$24 +Users!BT64*AX$22) + $A$3*Users!BT76*AX$23)/60</f>
        <v>388083.85006003006</v>
      </c>
      <c r="AY49" s="12">
        <f>($M$49*$I$54+$M$50*$I$55+$M$51*$I$56)*($A$2*(Users!BU52*AY$24 +Users!BU64*AY$22) + $A$3*Users!BU76*AY$23)/60</f>
        <v>396318.1736820126</v>
      </c>
      <c r="AZ49" s="12">
        <f>($M$49*$I$54+$M$50*$I$55+$M$51*$I$56)*($A$2*(Users!BV52*AZ$24 +Users!BV64*AZ$22) + $A$3*Users!BV76*AZ$23)/60</f>
        <v>404727.21234431566</v>
      </c>
      <c r="BA49" s="12">
        <f>($M$49*$I$54+$M$50*$I$55+$M$51*$I$56)*($A$2*(Users!BW52*BA$24 +Users!BW64*BA$22) + $A$3*Users!BW76*BA$23)/60</f>
        <v>413314.67313288036</v>
      </c>
      <c r="BB49" s="12">
        <f>($M$49*$I$54+$M$50*$I$55+$M$51*$I$56)*($A$2*(Users!BX52*BB$24 +Users!BX64*BB$22) + $A$3*Users!BX76*BB$23)/60</f>
        <v>422084.34179021663</v>
      </c>
      <c r="BC49" s="12">
        <f>($M$49*$I$54+$M$50*$I$55+$M$51*$I$56)*($A$2*(Users!BY52*BC$24 +Users!BY64*BC$22) + $A$3*Users!BY76*BC$23)/60</f>
        <v>431161.10028755449</v>
      </c>
      <c r="BD49" s="12">
        <f>($M$49*$I$54+$M$50*$I$55+$M$51*$I$56)*($A$2*(Users!BZ52*BD$24 +Users!BZ64*BD$22) + $A$3*Users!BZ76*BD$23)/60</f>
        <v>440433.05092224944</v>
      </c>
      <c r="BE49" s="12">
        <f>($M$49*$I$54+$M$50*$I$55+$M$51*$I$56)*($A$2*(Users!CA52*BE$24 +Users!CA64*BE$22) + $A$3*Users!CA76*BE$23)/60</f>
        <v>449904.3912247839</v>
      </c>
      <c r="BF49" s="12">
        <f>($M$49*$I$54+$M$50*$I$55+$M$51*$I$56)*($A$2*(Users!CB52*BF$24 +Users!CB64*BF$22) + $A$3*Users!CB76*BF$23)/60</f>
        <v>459579.40899189346</v>
      </c>
      <c r="BG49" s="12">
        <f>($M$49*$I$54+$M$50*$I$55+$M$51*$I$56)*($A$2*(Users!CC52*BG$24 +Users!CC64*BG$22) + $A$3*Users!CC76*BG$23)/60</f>
        <v>469462.48422769993</v>
      </c>
      <c r="BH49" s="12">
        <f>($M$49*$I$54+$M$50*$I$55+$M$51*$I$56)*($A$2*(Users!CD52*BH$24 +Users!CD64*BH$22) + $A$3*Users!CD76*BH$23)/60</f>
        <v>479725.65518711304</v>
      </c>
      <c r="BI49" s="12">
        <f>($M$49*$I$54+$M$50*$I$55+$M$51*$I$56)*($A$2*(Users!CE52*BI$24 +Users!CE64*BI$22) + $A$3*Users!CE76*BI$23)/60</f>
        <v>490213.19482705113</v>
      </c>
      <c r="BJ49" s="12">
        <f>($M$49*$I$54+$M$50*$I$55+$M$51*$I$56)*($A$2*(Users!CF52*BJ$24 +Users!CF64*BJ$22) + $A$3*Users!CF76*BJ$23)/60</f>
        <v>500930.00819148257</v>
      </c>
      <c r="BK49" s="12">
        <f>($M$49*$I$54+$M$50*$I$55+$M$51*$I$56)*($A$2*(Users!CG52*BK$24 +Users!CG64*BK$22) + $A$3*Users!CG76*BK$23)/60</f>
        <v>511881.10755616851</v>
      </c>
      <c r="BL49" s="12">
        <f>($M$49*$I$54+$M$50*$I$55+$M$51*$I$56)*($A$2*(Users!CH52*BL$24 +Users!CH64*BL$22) + $A$3*Users!CH76*BL$23)/60</f>
        <v>523071.61477291625</v>
      </c>
      <c r="BM49" s="12">
        <f>($M$49*$I$54+$M$50*$I$55+$M$51*$I$56)*($A$2*(Users!CI52*BM$24 +Users!CI64*BM$22) + $A$3*Users!CI76*BM$23)/60</f>
        <v>534643.48161973921</v>
      </c>
      <c r="BN49" s="12">
        <f>($M$49*$I$54+$M$50*$I$55+$M$51*$I$56)*($A$2*(Users!CJ52*BN$24 +Users!CJ64*BN$22) + $A$3*Users!CJ76*BN$23)/60</f>
        <v>546471.35184839065</v>
      </c>
      <c r="BO49" s="12">
        <f>($M$49*$I$54+$M$50*$I$55+$M$51*$I$56)*($A$2*(Users!CK52*BO$24 +Users!CK64*BO$22) + $A$3*Users!CK76*BO$23)/60</f>
        <v>558560.8889989343</v>
      </c>
      <c r="BP49" s="12">
        <f>($M$49*$I$54+$M$50*$I$55+$M$51*$I$56)*($A$2*(Users!CL52*BP$24 +Users!CL64*BP$22) + $A$3*Users!CL76*BP$23)/60</f>
        <v>570917.88190543035</v>
      </c>
      <c r="BQ49" s="12">
        <f>($M$49*$I$54+$M$50*$I$55+$M$51*$I$56)*($A$2*(Users!CM52*BQ$24 +Users!CM64*BQ$22) + $A$3*Users!CM76*BQ$23)/60</f>
        <v>583548.24746779865</v>
      </c>
      <c r="BR49" s="12">
        <f>($M$49*$I$54+$M$50*$I$55+$M$51*$I$56)*($A$2*(Users!CN52*BR$24 +Users!CN64*BR$22) + $A$3*Users!CN76*BR$23)/60</f>
        <v>596492.09927338606</v>
      </c>
      <c r="BS49" s="12">
        <f>($M$49*$I$54+$M$50*$I$55+$M$51*$I$56)*($A$2*(Users!CO52*BS$24 +Users!CO64*BS$22) + $A$3*Users!CO76*BS$23)/60</f>
        <v>609698.96202029905</v>
      </c>
      <c r="BT49" s="12">
        <f>($M$49*$I$54+$M$50*$I$55+$M$51*$I$56)*($A$2*(Users!CP52*BT$24 +Users!CP64*BT$22) + $A$3*Users!CP76*BT$23)/60</f>
        <v>623198.23639148741</v>
      </c>
      <c r="BU49" s="12">
        <f>($M$49*$I$54+$M$50*$I$55+$M$51*$I$56)*($A$2*(Users!CQ52*BU$24 +Users!CQ64*BU$22) + $A$3*Users!CQ76*BU$23)/60</f>
        <v>636996.39663898537</v>
      </c>
      <c r="BV49" s="12">
        <f>($M$49*$I$54+$M$50*$I$55+$M$51*$I$56)*($A$2*(Users!CR52*BV$24 +Users!CR64*BV$22) + $A$3*Users!CR76*BV$23)/60</f>
        <v>651100.0603604943</v>
      </c>
      <c r="BW49" s="12">
        <f>($M$49*$I$54+$M$50*$I$55+$M$51*$I$56)*($A$2*(Users!CS52*BW$24 +Users!CS64*BW$22) + $A$3*Users!CS76*BW$23)/60</f>
        <v>665399.19955519715</v>
      </c>
      <c r="BX49" s="12">
        <f>($M$49*$I$54+$M$50*$I$55+$M$51*$I$56)*($A$2*(Users!CT52*BX$24 +Users!CT64*BX$22) + $A$3*Users!CT76*BX$23)/60</f>
        <v>680012.36940994568</v>
      </c>
      <c r="BY49" s="12">
        <f>($M$49*$I$54+$M$50*$I$55+$M$51*$I$56)*($A$2*(Users!CU52*BY$24 +Users!CU64*BY$22) + $A$3*Users!CU76*BY$23)/60</f>
        <v>694946.46651159169</v>
      </c>
      <c r="BZ49" s="12">
        <f>($M$49*$I$54+$M$50*$I$55+$M$51*$I$56)*($A$2*(Users!CV52*BZ$24 +Users!CV64*BZ$22) + $A$3*Users!CV76*BZ$23)/60</f>
        <v>710208.53890644747</v>
      </c>
    </row>
    <row r="50" spans="1:78">
      <c r="F50" s="16"/>
      <c r="G50" s="16"/>
      <c r="H50" s="16"/>
      <c r="I50" s="16"/>
      <c r="J50" s="16"/>
      <c r="K50" s="15"/>
      <c r="M50">
        <f>0.07*Variables!E18</f>
        <v>7.0000000000000007E-2</v>
      </c>
      <c r="N50" s="12"/>
      <c r="O50" s="12"/>
      <c r="P50" s="12" t="s">
        <v>234</v>
      </c>
      <c r="R50">
        <f>($M$49*$I$54+$M$50*$I$55+$M$51*$I$56)*($A$2*(Users!AN53*R$24 +Users!AN65*R$22) + $A$3*Users!AN77*R$23)/60</f>
        <v>21866.298346281008</v>
      </c>
      <c r="S50" s="12">
        <f>($M$49*$I$54+$M$50*$I$55+$M$51*$I$56)*($A$2*(Users!AO53*S$24 +Users!AO65*S$22) + $A$3*Users!AO77*S$23)/60</f>
        <v>22540.023317200244</v>
      </c>
      <c r="T50" s="12">
        <f>($M$49*$I$54+$M$50*$I$55+$M$51*$I$56)*($A$2*(Users!AP53*T$24 +Users!AP65*T$22) + $A$3*Users!AP77*T$23)/60</f>
        <v>22782.217594406684</v>
      </c>
      <c r="U50" s="12">
        <f>($M$49*$I$54+$M$50*$I$55+$M$51*$I$56)*($A$2*(Users!AQ53*U$24 +Users!AQ65*U$22) + $A$3*Users!AQ77*U$23)/60</f>
        <v>23428.401379952888</v>
      </c>
      <c r="V50" s="12">
        <f>($M$49*$I$54+$M$50*$I$55+$M$51*$I$56)*($A$2*(Users!AR53*V$24 +Users!AR65*V$22) + $A$3*Users!AR77*V$23)/60</f>
        <v>24434.921207251169</v>
      </c>
      <c r="W50" s="12">
        <f>($M$49*$I$54+$M$50*$I$55+$M$51*$I$56)*($A$2*(Users!AS53*W$24 +Users!AS65*W$22) + $A$3*Users!AS77*W$23)/60</f>
        <v>25239.93178488842</v>
      </c>
      <c r="X50" s="12">
        <f>($M$49*$I$54+$M$50*$I$55+$M$51*$I$56)*($A$2*(Users!AT53*X$24 +Users!AT65*X$22) + $A$3*Users!AT77*X$23)/60</f>
        <v>26221.300710337397</v>
      </c>
      <c r="Y50" s="12">
        <f>($M$49*$I$54+$M$50*$I$55+$M$51*$I$56)*($A$2*(Users!AU53*Y$24 +Users!AU65*Y$22) + $A$3*Users!AU77*Y$23)/60</f>
        <v>27250.337841645349</v>
      </c>
      <c r="Z50" s="12">
        <f>($M$49*$I$54+$M$50*$I$55+$M$51*$I$56)*($A$2*(Users!AV53*Z$24 +Users!AV65*Z$22) + $A$3*Users!AV77*Z$23)/60</f>
        <v>28323.801452820149</v>
      </c>
      <c r="AA50" s="12">
        <f>($M$49*$I$54+$M$50*$I$55+$M$51*$I$56)*($A$2*(Users!AW53*AA$24 +Users!AW65*AA$22) + $A$3*Users!AW77*AA$23)/60</f>
        <v>29456.933007052627</v>
      </c>
      <c r="AB50" s="12">
        <f>($M$49*$I$54+$M$50*$I$55+$M$51*$I$56)*($A$2*(Users!AX53*AB$24 +Users!AX65*AB$22) + $A$3*Users!AX77*AB$23)/60</f>
        <v>30645.991936799641</v>
      </c>
      <c r="AC50" s="12">
        <f>($M$49*$I$54+$M$50*$I$55+$M$51*$I$56)*($A$2*(Users!AY53*AC$24 +Users!AY65*AC$22) + $A$3*Users!AY77*AC$23)/60</f>
        <v>31894.617803960242</v>
      </c>
      <c r="AD50" s="12">
        <f>($M$49*$I$54+$M$50*$I$55+$M$51*$I$56)*($A$2*(Users!AZ53*AD$24 +Users!AZ65*AD$22) + $A$3*Users!AZ77*AD$23)/60</f>
        <v>33206.562080569085</v>
      </c>
      <c r="AE50" s="12">
        <f>($M$49*$I$54+$M$50*$I$55+$M$51*$I$56)*($A$2*(Users!BA53*AE$24 +Users!BA65*AE$22) + $A$3*Users!BA77*AE$23)/60</f>
        <v>34577.352421326439</v>
      </c>
      <c r="AF50" s="12">
        <f>($M$49*$I$54+$M$50*$I$55+$M$51*$I$56)*($A$2*(Users!BB53*AF$24 +Users!BB65*AF$22) + $A$3*Users!BB77*AF$23)/60</f>
        <v>36010.214751819403</v>
      </c>
      <c r="AG50" s="12">
        <f>($M$49*$I$54+$M$50*$I$55+$M$51*$I$56)*($A$2*(Users!BC53*AG$24 +Users!BC65*AG$22) + $A$3*Users!BC77*AG$23)/60</f>
        <v>37508.49672406679</v>
      </c>
      <c r="AH50" s="12">
        <f>($M$49*$I$54+$M$50*$I$55+$M$51*$I$56)*($A$2*(Users!BD53*AH$24 +Users!BD65*AH$22) + $A$3*Users!BD77*AH$23)/60</f>
        <v>39075.71436687206</v>
      </c>
      <c r="AI50" s="12">
        <f>($M$49*$I$54+$M$50*$I$55+$M$51*$I$56)*($A$2*(Users!BE53*AI$24 +Users!BE65*AI$22) + $A$3*Users!BE77*AI$23)/60</f>
        <v>40715.44229905097</v>
      </c>
      <c r="AJ50" s="12">
        <f>($M$49*$I$54+$M$50*$I$55+$M$51*$I$56)*($A$2*(Users!BF53*AJ$24 +Users!BF65*AJ$22) + $A$3*Users!BF77*AJ$23)/60</f>
        <v>42431.252738036492</v>
      </c>
      <c r="AK50" s="12">
        <f>($M$49*$I$54+$M$50*$I$55+$M$51*$I$56)*($A$2*(Users!BG53*AK$24 +Users!BG65*AK$22) + $A$3*Users!BG77*AK$23)/60</f>
        <v>44226.904852213927</v>
      </c>
      <c r="AL50" s="12">
        <f>($M$49*$I$54+$M$50*$I$55+$M$51*$I$56)*($A$2*(Users!BH53*AL$24 +Users!BH65*AL$22) + $A$3*Users!BH77*AL$23)/60</f>
        <v>45113.65629445899</v>
      </c>
      <c r="AM50" s="12">
        <f>($M$49*$I$54+$M$50*$I$55+$M$51*$I$56)*($A$2*(Users!BI53*AM$24 +Users!BI65*AM$22) + $A$3*Users!BI77*AM$23)/60</f>
        <v>46025.487276195032</v>
      </c>
      <c r="AN50" s="12">
        <f>($M$49*$I$54+$M$50*$I$55+$M$51*$I$56)*($A$2*(Users!BJ53*AN$24 +Users!BJ65*AN$22) + $A$3*Users!BJ77*AN$23)/60</f>
        <v>46962.77770149018</v>
      </c>
      <c r="AO50" s="12">
        <f>($M$49*$I$54+$M$50*$I$55+$M$51*$I$56)*($A$2*(Users!BK53*AO$24 +Users!BK65*AO$22) + $A$3*Users!BK77*AO$23)/60</f>
        <v>47925.772265969623</v>
      </c>
      <c r="AP50" s="12">
        <f>($M$49*$I$54+$M$50*$I$55+$M$51*$I$56)*($A$2*(Users!BL53*AP$24 +Users!BL65*AP$22) + $A$3*Users!BL77*AP$23)/60</f>
        <v>48914.502647919435</v>
      </c>
      <c r="AQ50" s="12">
        <f>($M$49*$I$54+$M$50*$I$55+$M$51*$I$56)*($A$2*(Users!BM53*AQ$24 +Users!BM65*AQ$22) + $A$3*Users!BM77*AQ$23)/60</f>
        <v>49928.942396557926</v>
      </c>
      <c r="AR50" s="12">
        <f>($M$49*$I$54+$M$50*$I$55+$M$51*$I$56)*($A$2*(Users!BN53*AR$24 +Users!BN65*AR$22) + $A$3*Users!BN77*AR$23)/60</f>
        <v>50969.030279809798</v>
      </c>
      <c r="AS50" s="12">
        <f>($M$49*$I$54+$M$50*$I$55+$M$51*$I$56)*($A$2*(Users!BO53*AS$24 +Users!BO65*AS$22) + $A$3*Users!BO77*AS$23)/60</f>
        <v>52034.663121703976</v>
      </c>
      <c r="AT50" s="12">
        <f>($M$49*$I$54+$M$50*$I$55+$M$51*$I$56)*($A$2*(Users!BP53*AT$24 +Users!BP65*AT$22) + $A$3*Users!BP77*AT$23)/60</f>
        <v>53129.325287084401</v>
      </c>
      <c r="AU50" s="12">
        <f>($M$49*$I$54+$M$50*$I$55+$M$51*$I$56)*($A$2*(Users!BQ53*AU$24 +Users!BQ65*AU$22) + $A$3*Users!BQ77*AU$23)/60</f>
        <v>54247.016048873826</v>
      </c>
      <c r="AV50" s="12">
        <f>($M$49*$I$54+$M$50*$I$55+$M$51*$I$56)*($A$2*(Users!BR53*AV$24 +Users!BR65*AV$22) + $A$3*Users!BR77*AV$23)/60</f>
        <v>55388.219863619226</v>
      </c>
      <c r="AW50" s="12">
        <f>($M$49*$I$54+$M$50*$I$55+$M$51*$I$56)*($A$2*(Users!BS53*AW$24 +Users!BS65*AW$22) + $A$3*Users!BS77*AW$23)/60</f>
        <v>56553.43137946324</v>
      </c>
      <c r="AX50" s="12">
        <f>($M$49*$I$54+$M$50*$I$55+$M$51*$I$56)*($A$2*(Users!BT53*AX$24 +Users!BT65*AX$22) + $A$3*Users!BT77*AX$23)/60</f>
        <v>57753.376329091989</v>
      </c>
      <c r="AY50" s="12">
        <f>($M$49*$I$54+$M$50*$I$55+$M$51*$I$56)*($A$2*(Users!BU53*AY$24 +Users!BU65*AY$22) + $A$3*Users!BU77*AY$23)/60</f>
        <v>58978.781588502599</v>
      </c>
      <c r="AZ50" s="12">
        <f>($M$49*$I$54+$M$50*$I$55+$M$51*$I$56)*($A$2*(Users!BV53*AZ$24 +Users!BV65*AZ$22) + $A$3*Users!BV77*AZ$23)/60</f>
        <v>60230.187371955733</v>
      </c>
      <c r="BA50" s="12">
        <f>($M$49*$I$54+$M$50*$I$55+$M$51*$I$56)*($A$2*(Users!BW53*BA$24 +Users!BW65*BA$22) + $A$3*Users!BW77*BA$23)/60</f>
        <v>61508.1453559238</v>
      </c>
      <c r="BB50" s="12">
        <f>($M$49*$I$54+$M$50*$I$55+$M$51*$I$56)*($A$2*(Users!BX53*BB$24 +Users!BX65*BB$22) + $A$3*Users!BX77*BB$23)/60</f>
        <v>62813.218922294232</v>
      </c>
      <c r="BC50" s="12">
        <f>($M$49*$I$54+$M$50*$I$55+$M$51*$I$56)*($A$2*(Users!BY53*BC$24 +Users!BY65*BC$22) + $A$3*Users!BY77*BC$23)/60</f>
        <v>64163.992599848556</v>
      </c>
      <c r="BD50" s="12">
        <f>($M$49*$I$54+$M$50*$I$55+$M$51*$I$56)*($A$2*(Users!BZ53*BD$24 +Users!BZ65*BD$22) + $A$3*Users!BZ77*BD$23)/60</f>
        <v>65543.814136424902</v>
      </c>
      <c r="BE50" s="12">
        <f>($M$49*$I$54+$M$50*$I$55+$M$51*$I$56)*($A$2*(Users!CA53*BE$24 +Users!CA65*BE$22) + $A$3*Users!CA77*BE$23)/60</f>
        <v>66953.308194857294</v>
      </c>
      <c r="BF50" s="12">
        <f>($M$49*$I$54+$M$50*$I$55+$M$51*$I$56)*($A$2*(Users!CB53*BF$24 +Users!CB65*BF$22) + $A$3*Users!CB77*BF$23)/60</f>
        <v>68393.112871109814</v>
      </c>
      <c r="BG50" s="12">
        <f>($M$49*$I$54+$M$50*$I$55+$M$51*$I$56)*($A$2*(Users!CC53*BG$24 +Users!CC65*BG$22) + $A$3*Users!CC77*BG$23)/60</f>
        <v>69863.879983150095</v>
      </c>
      <c r="BH50" s="12">
        <f>($M$49*$I$54+$M$50*$I$55+$M$51*$I$56)*($A$2*(Users!CD53*BH$24 +Users!CD65*BH$22) + $A$3*Users!CD77*BH$23)/60</f>
        <v>71391.211704521891</v>
      </c>
      <c r="BI50" s="12">
        <f>($M$49*$I$54+$M$50*$I$55+$M$51*$I$56)*($A$2*(Users!CE53*BI$24 +Users!CE65*BI$22) + $A$3*Users!CE77*BI$23)/60</f>
        <v>72951.9332431738</v>
      </c>
      <c r="BJ50" s="12">
        <f>($M$49*$I$54+$M$50*$I$55+$M$51*$I$56)*($A$2*(Users!CF53*BJ$24 +Users!CF65*BJ$22) + $A$3*Users!CF77*BJ$23)/60</f>
        <v>74546.774551795374</v>
      </c>
      <c r="BK50" s="12">
        <f>($M$49*$I$54+$M$50*$I$55+$M$51*$I$56)*($A$2*(Users!CG53*BK$24 +Users!CG65*BK$22) + $A$3*Users!CG77*BK$23)/60</f>
        <v>76176.481540963228</v>
      </c>
      <c r="BL50" s="12">
        <f>($M$49*$I$54+$M$50*$I$55+$M$51*$I$56)*($A$2*(Users!CH53*BL$24 +Users!CH65*BL$22) + $A$3*Users!CH77*BL$23)/60</f>
        <v>77841.816428004502</v>
      </c>
      <c r="BM50" s="12">
        <f>($M$49*$I$54+$M$50*$I$55+$M$51*$I$56)*($A$2*(Users!CI53*BM$24 +Users!CI65*BM$22) + $A$3*Users!CI77*BM$23)/60</f>
        <v>79563.904014827072</v>
      </c>
      <c r="BN50" s="12">
        <f>($M$49*$I$54+$M$50*$I$55+$M$51*$I$56)*($A$2*(Users!CJ53*BN$24 +Users!CJ65*BN$22) + $A$3*Users!CJ77*BN$23)/60</f>
        <v>81324.089192286308</v>
      </c>
      <c r="BO50" s="12">
        <f>($M$49*$I$54+$M$50*$I$55+$M$51*$I$56)*($A$2*(Users!CK53*BO$24 +Users!CK65*BO$22) + $A$3*Users!CK77*BO$23)/60</f>
        <v>83123.214789993799</v>
      </c>
      <c r="BP50" s="12">
        <f>($M$49*$I$54+$M$50*$I$55+$M$51*$I$56)*($A$2*(Users!CL53*BP$24 +Users!CL65*BP$22) + $A$3*Users!CL77*BP$23)/60</f>
        <v>84962.142283406327</v>
      </c>
      <c r="BQ50" s="12">
        <f>($M$49*$I$54+$M$50*$I$55+$M$51*$I$56)*($A$2*(Users!CM53*BQ$24 +Users!CM65*BQ$22) + $A$3*Users!CM77*BQ$23)/60</f>
        <v>86841.752206325313</v>
      </c>
      <c r="BR50" s="12">
        <f>($M$49*$I$54+$M$50*$I$55+$M$51*$I$56)*($A$2*(Users!CN53*BR$24 +Users!CN65*BR$22) + $A$3*Users!CN77*BR$23)/60</f>
        <v>88768.014132351047</v>
      </c>
      <c r="BS50" s="12">
        <f>($M$49*$I$54+$M$50*$I$55+$M$51*$I$56)*($A$2*(Users!CO53*BS$24 +Users!CO65*BS$22) + $A$3*Users!CO77*BS$23)/60</f>
        <v>90733.416491225653</v>
      </c>
      <c r="BT50" s="12">
        <f>($M$49*$I$54+$M$50*$I$55+$M$51*$I$56)*($A$2*(Users!CP53*BT$24 +Users!CP65*BT$22) + $A$3*Users!CP77*BT$23)/60</f>
        <v>92742.334596960631</v>
      </c>
      <c r="BU50" s="12">
        <f>($M$49*$I$54+$M$50*$I$55+$M$51*$I$56)*($A$2*(Users!CQ53*BU$24 +Users!CQ65*BU$22) + $A$3*Users!CQ77*BU$23)/60</f>
        <v>94795.731926686058</v>
      </c>
      <c r="BV50" s="12">
        <f>($M$49*$I$54+$M$50*$I$55+$M$51*$I$56)*($A$2*(Users!CR53*BV$24 +Users!CR65*BV$22) + $A$3*Users!CR77*BV$23)/60</f>
        <v>96894.593289768542</v>
      </c>
      <c r="BW50" s="12">
        <f>($M$49*$I$54+$M$50*$I$55+$M$51*$I$56)*($A$2*(Users!CS53*BW$24 +Users!CS65*BW$22) + $A$3*Users!CS77*BW$23)/60</f>
        <v>99022.544676990685</v>
      </c>
      <c r="BX50" s="12">
        <f>($M$49*$I$54+$M$50*$I$55+$M$51*$I$56)*($A$2*(Users!CT53*BX$24 +Users!CT65*BX$22) + $A$3*Users!CT77*BX$23)/60</f>
        <v>101197.22908566082</v>
      </c>
      <c r="BY50" s="12">
        <f>($M$49*$I$54+$M$50*$I$55+$M$51*$I$56)*($A$2*(Users!CU53*BY$24 +Users!CU65*BY$22) + $A$3*Users!CU77*BY$23)/60</f>
        <v>103419.67284340323</v>
      </c>
      <c r="BZ50" s="12">
        <f>($M$49*$I$54+$M$50*$I$55+$M$51*$I$56)*($A$2*(Users!CV53*BZ$24 +Users!CV65*BZ$22) + $A$3*Users!CV77*BZ$23)/60</f>
        <v>105690.9248175465</v>
      </c>
    </row>
    <row r="51" spans="1:78">
      <c r="F51" s="16"/>
      <c r="G51" s="16"/>
      <c r="H51" s="16"/>
      <c r="I51" s="16"/>
      <c r="J51" s="16"/>
      <c r="K51" s="15"/>
      <c r="M51">
        <f>0.89*Variables!E17</f>
        <v>0.89</v>
      </c>
      <c r="O51" s="12" t="s">
        <v>161</v>
      </c>
      <c r="R51">
        <f>SUM(R42:R50)</f>
        <v>2288530.1316645294</v>
      </c>
      <c r="S51" s="12">
        <f t="shared" ref="S51:BZ51" si="3">SUM(S42:S50)</f>
        <v>2359042.2902378025</v>
      </c>
      <c r="T51" s="12">
        <f t="shared" si="3"/>
        <v>2384390.3803592362</v>
      </c>
      <c r="U51" s="12">
        <f t="shared" si="3"/>
        <v>2452020.0742560565</v>
      </c>
      <c r="V51" s="12">
        <f t="shared" si="3"/>
        <v>2557362.5934338248</v>
      </c>
      <c r="W51" s="12">
        <f t="shared" si="3"/>
        <v>2641615.1237001028</v>
      </c>
      <c r="X51" s="12">
        <f t="shared" si="3"/>
        <v>2744325.3456408544</v>
      </c>
      <c r="Y51" s="12">
        <f t="shared" si="3"/>
        <v>2852024.5293026571</v>
      </c>
      <c r="Z51" s="12">
        <f t="shared" si="3"/>
        <v>2964373.3951470107</v>
      </c>
      <c r="AA51" s="12">
        <f t="shared" si="3"/>
        <v>3082967.1170442491</v>
      </c>
      <c r="AB51" s="12">
        <f t="shared" si="3"/>
        <v>3207414.2066227929</v>
      </c>
      <c r="AC51" s="12">
        <f t="shared" si="3"/>
        <v>3338095.5809880532</v>
      </c>
      <c r="AD51" s="12">
        <f t="shared" si="3"/>
        <v>3475403.869777353</v>
      </c>
      <c r="AE51" s="12">
        <f t="shared" si="3"/>
        <v>3618870.9966471121</v>
      </c>
      <c r="AF51" s="12">
        <f t="shared" si="3"/>
        <v>3768834.5874630185</v>
      </c>
      <c r="AG51" s="12">
        <f t="shared" si="3"/>
        <v>3925645.0079977354</v>
      </c>
      <c r="AH51" s="12">
        <f t="shared" si="3"/>
        <v>4089670.246363977</v>
      </c>
      <c r="AI51" s="12">
        <f t="shared" si="3"/>
        <v>4261284.4227141151</v>
      </c>
      <c r="AJ51" s="12">
        <f t="shared" si="3"/>
        <v>4440861.4058714323</v>
      </c>
      <c r="AK51" s="12">
        <f t="shared" si="3"/>
        <v>4628794.6309744846</v>
      </c>
      <c r="AL51" s="12">
        <f t="shared" si="3"/>
        <v>4721602.1726414515</v>
      </c>
      <c r="AM51" s="12">
        <f t="shared" si="3"/>
        <v>4817034.5427500894</v>
      </c>
      <c r="AN51" s="12">
        <f t="shared" si="3"/>
        <v>4915131.5021183146</v>
      </c>
      <c r="AO51" s="12">
        <f t="shared" si="3"/>
        <v>5015918.6606277097</v>
      </c>
      <c r="AP51" s="12">
        <f t="shared" si="3"/>
        <v>5119399.3337325482</v>
      </c>
      <c r="AQ51" s="12">
        <f t="shared" si="3"/>
        <v>5225570.7530899607</v>
      </c>
      <c r="AR51" s="12">
        <f t="shared" si="3"/>
        <v>5334426.5101415869</v>
      </c>
      <c r="AS51" s="12">
        <f t="shared" si="3"/>
        <v>5445955.8064744985</v>
      </c>
      <c r="AT51" s="12">
        <f t="shared" si="3"/>
        <v>5560523.3162465524</v>
      </c>
      <c r="AU51" s="12">
        <f t="shared" si="3"/>
        <v>5677501.0024434077</v>
      </c>
      <c r="AV51" s="12">
        <f t="shared" si="3"/>
        <v>5796939.5683614295</v>
      </c>
      <c r="AW51" s="12">
        <f t="shared" si="3"/>
        <v>5918890.7839509211</v>
      </c>
      <c r="AX51" s="12">
        <f t="shared" si="3"/>
        <v>6044477.2060364494</v>
      </c>
      <c r="AY51" s="12">
        <f t="shared" si="3"/>
        <v>6172728.3080405686</v>
      </c>
      <c r="AZ51" s="12">
        <f t="shared" si="3"/>
        <v>6303700.6288704835</v>
      </c>
      <c r="BA51" s="12">
        <f t="shared" si="3"/>
        <v>6437451.9070702381</v>
      </c>
      <c r="BB51" s="12">
        <f t="shared" si="3"/>
        <v>6574041.106274385</v>
      </c>
      <c r="BC51" s="12">
        <f t="shared" si="3"/>
        <v>6715413.2861096691</v>
      </c>
      <c r="BD51" s="12">
        <f t="shared" si="3"/>
        <v>6859825.6193161123</v>
      </c>
      <c r="BE51" s="12">
        <f t="shared" si="3"/>
        <v>7007343.4832015308</v>
      </c>
      <c r="BF51" s="12">
        <f t="shared" si="3"/>
        <v>7158033.6609871928</v>
      </c>
      <c r="BG51" s="12">
        <f t="shared" si="3"/>
        <v>7311964.3720413521</v>
      </c>
      <c r="BH51" s="12">
        <f t="shared" si="3"/>
        <v>7471815.1437656339</v>
      </c>
      <c r="BI51" s="12">
        <f t="shared" si="3"/>
        <v>7635160.4988769218</v>
      </c>
      <c r="BJ51" s="12">
        <f t="shared" si="3"/>
        <v>7802076.834335437</v>
      </c>
      <c r="BK51" s="12">
        <f t="shared" si="3"/>
        <v>7972642.2172562815</v>
      </c>
      <c r="BL51" s="12">
        <f t="shared" si="3"/>
        <v>8146936.4214215847</v>
      </c>
      <c r="BM51" s="12">
        <f t="shared" si="3"/>
        <v>8327170.371832272</v>
      </c>
      <c r="BN51" s="12">
        <f t="shared" si="3"/>
        <v>8511391.6219100151</v>
      </c>
      <c r="BO51" s="12">
        <f t="shared" si="3"/>
        <v>8699688.3823309597</v>
      </c>
      <c r="BP51" s="12">
        <f t="shared" si="3"/>
        <v>8892150.8152482696</v>
      </c>
      <c r="BQ51" s="12">
        <f t="shared" si="3"/>
        <v>9088871.0774643626</v>
      </c>
      <c r="BR51" s="12">
        <f t="shared" si="3"/>
        <v>9290473.9454659205</v>
      </c>
      <c r="BS51" s="12">
        <f t="shared" si="3"/>
        <v>9496173.2571600787</v>
      </c>
      <c r="BT51" s="12">
        <f t="shared" si="3"/>
        <v>9706426.933580935</v>
      </c>
      <c r="BU51" s="12">
        <f t="shared" si="3"/>
        <v>9921335.8123923969</v>
      </c>
      <c r="BV51" s="12">
        <f t="shared" si="3"/>
        <v>10141002.963893496</v>
      </c>
      <c r="BW51" s="12">
        <f t="shared" si="3"/>
        <v>10363714.681773419</v>
      </c>
      <c r="BX51" s="12">
        <f t="shared" si="3"/>
        <v>10591317.484830806</v>
      </c>
      <c r="BY51" s="12">
        <f t="shared" si="3"/>
        <v>10823918.788671901</v>
      </c>
      <c r="BZ51" s="12">
        <f t="shared" si="3"/>
        <v>11061628.367911834</v>
      </c>
    </row>
    <row r="52" spans="1:78">
      <c r="AU52" s="22"/>
      <c r="BA52" s="12"/>
      <c r="BV52" s="12"/>
    </row>
    <row r="53" spans="1:78">
      <c r="J53" t="s">
        <v>95</v>
      </c>
      <c r="M53" t="s">
        <v>159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  <c r="AU53" s="22"/>
      <c r="BA53" s="12"/>
      <c r="BV53" s="12"/>
    </row>
    <row r="54" spans="1:78">
      <c r="A54" s="12" t="s">
        <v>91</v>
      </c>
      <c r="I54">
        <v>50</v>
      </c>
      <c r="J54">
        <v>30</v>
      </c>
      <c r="M54" t="s">
        <v>160</v>
      </c>
      <c r="AU54" s="22"/>
      <c r="BA54" s="12"/>
      <c r="BV54" s="12"/>
    </row>
    <row r="55" spans="1:78">
      <c r="A55" s="12" t="s">
        <v>90</v>
      </c>
      <c r="I55">
        <v>20</v>
      </c>
      <c r="J55">
        <v>15</v>
      </c>
      <c r="M55" t="s">
        <v>186</v>
      </c>
      <c r="AU55" s="22"/>
      <c r="BA55" s="12"/>
      <c r="BV55" s="12"/>
    </row>
    <row r="56" spans="1:78">
      <c r="A56" s="12" t="s">
        <v>85</v>
      </c>
      <c r="I56">
        <v>0</v>
      </c>
      <c r="J56">
        <v>0</v>
      </c>
      <c r="M56">
        <v>0.03</v>
      </c>
      <c r="AU56" s="22"/>
      <c r="BA56" s="12"/>
      <c r="BV56" s="12"/>
    </row>
    <row r="57" spans="1:78">
      <c r="AU57" s="22"/>
      <c r="BA57" s="12"/>
      <c r="BV57" s="12"/>
    </row>
    <row r="58" spans="1:78">
      <c r="AU58" s="21"/>
      <c r="BA58" s="12"/>
      <c r="BV58" s="12"/>
    </row>
    <row r="59" spans="1:78">
      <c r="AU59" s="21"/>
      <c r="BA59" s="12"/>
    </row>
    <row r="60" spans="1:78">
      <c r="F60" s="17"/>
      <c r="G60" s="17"/>
      <c r="H60" s="17"/>
      <c r="I60" s="17"/>
      <c r="J60" s="17"/>
      <c r="K60" s="17"/>
      <c r="BA60" s="12"/>
    </row>
    <row r="62" spans="1:78">
      <c r="F62" s="17"/>
      <c r="H62" s="17"/>
      <c r="I62" s="18"/>
    </row>
    <row r="65" spans="1:11">
      <c r="A65" s="12"/>
    </row>
    <row r="67" spans="1:11">
      <c r="G67" s="12"/>
      <c r="H67" s="12"/>
      <c r="I67" s="12"/>
      <c r="J67" s="12"/>
      <c r="K67" s="12"/>
    </row>
    <row r="69" spans="1:11">
      <c r="F69" s="17"/>
      <c r="H69" s="17"/>
      <c r="I69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E102"/>
  <sheetViews>
    <sheetView workbookViewId="0">
      <selection activeCell="A94" sqref="A94:J107"/>
    </sheetView>
  </sheetViews>
  <sheetFormatPr defaultRowHeight="15"/>
  <cols>
    <col min="6" max="6" width="14.85546875" bestFit="1" customWidth="1"/>
    <col min="7" max="7" width="13.85546875" bestFit="1" customWidth="1"/>
    <col min="8" max="9" width="14.85546875" bestFit="1" customWidth="1"/>
    <col min="10" max="10" width="13.85546875" bestFit="1" customWidth="1"/>
    <col min="11" max="11" width="13.7109375" customWidth="1"/>
    <col min="16" max="16" width="12.7109375" bestFit="1" customWidth="1"/>
    <col min="21" max="21" width="12" bestFit="1" customWidth="1"/>
  </cols>
  <sheetData>
    <row r="1" spans="1:83">
      <c r="A1" t="s">
        <v>83</v>
      </c>
      <c r="Q1" t="s">
        <v>167</v>
      </c>
    </row>
    <row r="2" spans="1:83">
      <c r="A2" s="2">
        <v>0.1</v>
      </c>
      <c r="B2" t="s">
        <v>84</v>
      </c>
    </row>
    <row r="3" spans="1:83">
      <c r="B3" t="s">
        <v>103</v>
      </c>
    </row>
    <row r="4" spans="1:83">
      <c r="T4" t="s">
        <v>168</v>
      </c>
      <c r="U4">
        <v>1</v>
      </c>
      <c r="V4">
        <f>U4 +1</f>
        <v>2</v>
      </c>
      <c r="W4" s="12">
        <f t="shared" ref="W4:BX4" si="0">V4 +1</f>
        <v>3</v>
      </c>
      <c r="X4" s="12">
        <f t="shared" si="0"/>
        <v>4</v>
      </c>
      <c r="Y4" s="12">
        <f t="shared" si="0"/>
        <v>5</v>
      </c>
      <c r="Z4" s="12">
        <f t="shared" si="0"/>
        <v>6</v>
      </c>
      <c r="AA4" s="12">
        <f t="shared" si="0"/>
        <v>7</v>
      </c>
      <c r="AB4" s="12">
        <f t="shared" si="0"/>
        <v>8</v>
      </c>
      <c r="AC4" s="12">
        <f t="shared" si="0"/>
        <v>9</v>
      </c>
      <c r="AD4" s="12">
        <f t="shared" si="0"/>
        <v>10</v>
      </c>
      <c r="AE4" s="12">
        <f t="shared" si="0"/>
        <v>11</v>
      </c>
      <c r="AF4" s="12">
        <f t="shared" si="0"/>
        <v>12</v>
      </c>
      <c r="AG4" s="12">
        <f t="shared" si="0"/>
        <v>13</v>
      </c>
      <c r="AH4" s="12">
        <f t="shared" si="0"/>
        <v>14</v>
      </c>
      <c r="AI4" s="12">
        <f t="shared" si="0"/>
        <v>15</v>
      </c>
      <c r="AJ4" s="12">
        <f t="shared" si="0"/>
        <v>16</v>
      </c>
      <c r="AK4" s="12">
        <f t="shared" si="0"/>
        <v>17</v>
      </c>
      <c r="AL4" s="12">
        <f t="shared" si="0"/>
        <v>18</v>
      </c>
      <c r="AM4" s="12">
        <f t="shared" si="0"/>
        <v>19</v>
      </c>
      <c r="AN4" s="12">
        <f t="shared" si="0"/>
        <v>20</v>
      </c>
      <c r="AO4" s="12">
        <f t="shared" si="0"/>
        <v>21</v>
      </c>
      <c r="AP4" s="12">
        <f t="shared" si="0"/>
        <v>22</v>
      </c>
      <c r="AQ4" s="12">
        <f t="shared" si="0"/>
        <v>23</v>
      </c>
      <c r="AR4" s="12">
        <f t="shared" si="0"/>
        <v>24</v>
      </c>
      <c r="AS4" s="12">
        <f t="shared" si="0"/>
        <v>25</v>
      </c>
      <c r="AT4" s="12">
        <f t="shared" si="0"/>
        <v>26</v>
      </c>
      <c r="AU4" s="12">
        <f t="shared" si="0"/>
        <v>27</v>
      </c>
      <c r="AV4" s="12">
        <f t="shared" si="0"/>
        <v>28</v>
      </c>
      <c r="AW4" s="12">
        <f t="shared" si="0"/>
        <v>29</v>
      </c>
      <c r="AX4" s="12">
        <f t="shared" si="0"/>
        <v>30</v>
      </c>
      <c r="AY4" s="12">
        <f t="shared" si="0"/>
        <v>31</v>
      </c>
      <c r="AZ4" s="12">
        <f t="shared" si="0"/>
        <v>32</v>
      </c>
      <c r="BA4" s="12">
        <f t="shared" si="0"/>
        <v>33</v>
      </c>
      <c r="BB4" s="12">
        <f t="shared" si="0"/>
        <v>34</v>
      </c>
      <c r="BC4" s="12">
        <f t="shared" si="0"/>
        <v>35</v>
      </c>
      <c r="BD4" s="12">
        <f t="shared" si="0"/>
        <v>36</v>
      </c>
      <c r="BE4" s="12">
        <f t="shared" si="0"/>
        <v>37</v>
      </c>
      <c r="BF4" s="12">
        <f t="shared" si="0"/>
        <v>38</v>
      </c>
      <c r="BG4" s="12">
        <f t="shared" si="0"/>
        <v>39</v>
      </c>
      <c r="BH4" s="12">
        <f t="shared" si="0"/>
        <v>40</v>
      </c>
      <c r="BI4" s="12">
        <f t="shared" si="0"/>
        <v>41</v>
      </c>
      <c r="BJ4" s="12">
        <f t="shared" si="0"/>
        <v>42</v>
      </c>
      <c r="BK4" s="12">
        <f t="shared" si="0"/>
        <v>43</v>
      </c>
      <c r="BL4" s="12">
        <f t="shared" si="0"/>
        <v>44</v>
      </c>
      <c r="BM4" s="12">
        <f t="shared" si="0"/>
        <v>45</v>
      </c>
      <c r="BN4" s="12">
        <f t="shared" si="0"/>
        <v>46</v>
      </c>
      <c r="BO4" s="12">
        <f t="shared" si="0"/>
        <v>47</v>
      </c>
      <c r="BP4" s="12">
        <f t="shared" si="0"/>
        <v>48</v>
      </c>
      <c r="BQ4" s="12">
        <f t="shared" si="0"/>
        <v>49</v>
      </c>
      <c r="BR4" s="12">
        <f t="shared" si="0"/>
        <v>50</v>
      </c>
      <c r="BS4" s="12">
        <f t="shared" si="0"/>
        <v>51</v>
      </c>
      <c r="BT4" s="12">
        <f t="shared" si="0"/>
        <v>52</v>
      </c>
      <c r="BU4" s="12">
        <f t="shared" si="0"/>
        <v>53</v>
      </c>
      <c r="BV4" s="12">
        <f t="shared" si="0"/>
        <v>54</v>
      </c>
      <c r="BW4" s="12">
        <f t="shared" si="0"/>
        <v>55</v>
      </c>
      <c r="BX4" s="12">
        <f t="shared" si="0"/>
        <v>56</v>
      </c>
      <c r="BY4" s="12">
        <f>BX4 +1</f>
        <v>57</v>
      </c>
      <c r="BZ4" s="12">
        <f t="shared" ref="BZ4:CC4" si="1">BY4 +1</f>
        <v>58</v>
      </c>
      <c r="CA4" s="12">
        <f t="shared" si="1"/>
        <v>59</v>
      </c>
      <c r="CB4" s="12">
        <f t="shared" si="1"/>
        <v>60</v>
      </c>
      <c r="CC4" s="12">
        <f t="shared" si="1"/>
        <v>61</v>
      </c>
      <c r="CD4" s="12"/>
      <c r="CE4" s="12"/>
    </row>
    <row r="5" spans="1:83">
      <c r="Q5" s="12" t="s">
        <v>40</v>
      </c>
      <c r="R5" s="12"/>
      <c r="S5" s="12"/>
      <c r="U5">
        <v>2010</v>
      </c>
      <c r="V5" s="12">
        <f>U5 +1</f>
        <v>2011</v>
      </c>
      <c r="W5" s="12">
        <f t="shared" ref="W5:BX5" si="2">V5 +1</f>
        <v>2012</v>
      </c>
      <c r="X5" s="12">
        <f t="shared" si="2"/>
        <v>2013</v>
      </c>
      <c r="Y5" s="12">
        <f t="shared" si="2"/>
        <v>2014</v>
      </c>
      <c r="Z5" s="12">
        <f t="shared" si="2"/>
        <v>2015</v>
      </c>
      <c r="AA5" s="12">
        <f t="shared" si="2"/>
        <v>2016</v>
      </c>
      <c r="AB5" s="12">
        <f t="shared" si="2"/>
        <v>2017</v>
      </c>
      <c r="AC5" s="12">
        <f t="shared" si="2"/>
        <v>2018</v>
      </c>
      <c r="AD5" s="12">
        <f t="shared" si="2"/>
        <v>2019</v>
      </c>
      <c r="AE5" s="12">
        <f t="shared" si="2"/>
        <v>2020</v>
      </c>
      <c r="AF5" s="12">
        <f t="shared" si="2"/>
        <v>2021</v>
      </c>
      <c r="AG5" s="12">
        <f t="shared" si="2"/>
        <v>2022</v>
      </c>
      <c r="AH5" s="12">
        <f t="shared" si="2"/>
        <v>2023</v>
      </c>
      <c r="AI5" s="12">
        <f t="shared" si="2"/>
        <v>2024</v>
      </c>
      <c r="AJ5" s="12">
        <f t="shared" si="2"/>
        <v>2025</v>
      </c>
      <c r="AK5" s="12">
        <f t="shared" si="2"/>
        <v>2026</v>
      </c>
      <c r="AL5" s="12">
        <f t="shared" si="2"/>
        <v>2027</v>
      </c>
      <c r="AM5" s="12">
        <f t="shared" si="2"/>
        <v>2028</v>
      </c>
      <c r="AN5" s="12">
        <f t="shared" si="2"/>
        <v>2029</v>
      </c>
      <c r="AO5" s="12">
        <f t="shared" si="2"/>
        <v>2030</v>
      </c>
      <c r="AP5" s="12">
        <f t="shared" si="2"/>
        <v>2031</v>
      </c>
      <c r="AQ5" s="12">
        <f t="shared" si="2"/>
        <v>2032</v>
      </c>
      <c r="AR5" s="12">
        <f t="shared" si="2"/>
        <v>2033</v>
      </c>
      <c r="AS5" s="12">
        <f t="shared" si="2"/>
        <v>2034</v>
      </c>
      <c r="AT5" s="12">
        <f t="shared" si="2"/>
        <v>2035</v>
      </c>
      <c r="AU5" s="12">
        <f t="shared" si="2"/>
        <v>2036</v>
      </c>
      <c r="AV5" s="12">
        <f t="shared" si="2"/>
        <v>2037</v>
      </c>
      <c r="AW5" s="12">
        <f t="shared" si="2"/>
        <v>2038</v>
      </c>
      <c r="AX5" s="12">
        <f t="shared" si="2"/>
        <v>2039</v>
      </c>
      <c r="AY5" s="12">
        <f t="shared" si="2"/>
        <v>2040</v>
      </c>
      <c r="AZ5" s="12">
        <f t="shared" si="2"/>
        <v>2041</v>
      </c>
      <c r="BA5" s="12">
        <f t="shared" si="2"/>
        <v>2042</v>
      </c>
      <c r="BB5" s="12">
        <f t="shared" si="2"/>
        <v>2043</v>
      </c>
      <c r="BC5" s="12">
        <f t="shared" si="2"/>
        <v>2044</v>
      </c>
      <c r="BD5" s="12">
        <f t="shared" si="2"/>
        <v>2045</v>
      </c>
      <c r="BE5" s="12">
        <f t="shared" si="2"/>
        <v>2046</v>
      </c>
      <c r="BF5" s="12">
        <f t="shared" si="2"/>
        <v>2047</v>
      </c>
      <c r="BG5" s="12">
        <f t="shared" si="2"/>
        <v>2048</v>
      </c>
      <c r="BH5" s="12">
        <f t="shared" si="2"/>
        <v>2049</v>
      </c>
      <c r="BI5" s="12">
        <f t="shared" si="2"/>
        <v>2050</v>
      </c>
      <c r="BJ5" s="12">
        <f t="shared" si="2"/>
        <v>2051</v>
      </c>
      <c r="BK5" s="12">
        <f t="shared" si="2"/>
        <v>2052</v>
      </c>
      <c r="BL5" s="12">
        <f t="shared" si="2"/>
        <v>2053</v>
      </c>
      <c r="BM5" s="12">
        <f t="shared" si="2"/>
        <v>2054</v>
      </c>
      <c r="BN5" s="12">
        <f t="shared" si="2"/>
        <v>2055</v>
      </c>
      <c r="BO5" s="12">
        <f t="shared" si="2"/>
        <v>2056</v>
      </c>
      <c r="BP5" s="12">
        <f t="shared" si="2"/>
        <v>2057</v>
      </c>
      <c r="BQ5" s="12">
        <f t="shared" si="2"/>
        <v>2058</v>
      </c>
      <c r="BR5" s="12">
        <f t="shared" si="2"/>
        <v>2059</v>
      </c>
      <c r="BS5" s="12">
        <f t="shared" si="2"/>
        <v>2060</v>
      </c>
      <c r="BT5" s="12">
        <f t="shared" si="2"/>
        <v>2061</v>
      </c>
      <c r="BU5" s="12">
        <f t="shared" si="2"/>
        <v>2062</v>
      </c>
      <c r="BV5" s="12">
        <f t="shared" si="2"/>
        <v>2063</v>
      </c>
      <c r="BW5" s="12">
        <f t="shared" si="2"/>
        <v>2064</v>
      </c>
      <c r="BX5" s="12">
        <f t="shared" si="2"/>
        <v>2065</v>
      </c>
      <c r="BY5" s="12">
        <f>BX5 +1</f>
        <v>2066</v>
      </c>
      <c r="BZ5" s="12">
        <f t="shared" ref="BZ5:CC5" si="3">BY5 +1</f>
        <v>2067</v>
      </c>
      <c r="CA5" s="12">
        <f t="shared" si="3"/>
        <v>2068</v>
      </c>
      <c r="CB5" s="12">
        <f t="shared" si="3"/>
        <v>2069</v>
      </c>
      <c r="CC5" s="12">
        <f t="shared" si="3"/>
        <v>2070</v>
      </c>
      <c r="CD5" s="12"/>
      <c r="CE5" s="12"/>
    </row>
    <row r="6" spans="1:8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O6" s="12"/>
      <c r="P6" s="12"/>
      <c r="Q6" s="12" t="s">
        <v>230</v>
      </c>
      <c r="R6" s="12"/>
      <c r="S6" s="12"/>
      <c r="U6">
        <f>Users!AN4*Tickets!C229</f>
        <v>1613308.0382360623</v>
      </c>
      <c r="V6" s="12">
        <f>Users!AO4*Tickets!D229</f>
        <v>1690746.8240713933</v>
      </c>
      <c r="W6" s="12">
        <f>Users!AP4*Tickets!E229</f>
        <v>1743159.9756176067</v>
      </c>
      <c r="X6" s="12">
        <f>Users!AQ4*Tickets!F229</f>
        <v>1791968.4549348992</v>
      </c>
      <c r="Y6" s="12">
        <f>Users!AR4*Tickets!G229</f>
        <v>1840351.6032181417</v>
      </c>
      <c r="Z6" s="12">
        <f>Users!AS4*Tickets!H229</f>
        <v>1901083.2061243404</v>
      </c>
      <c r="AA6" s="12">
        <f>Users!AT4*Tickets!I229</f>
        <v>1969522.2015448164</v>
      </c>
      <c r="AB6" s="12">
        <f>Users!AU4*Tickets!J229</f>
        <v>2044364.0452035191</v>
      </c>
      <c r="AC6" s="12">
        <f>Users!AV4*Tickets!K229</f>
        <v>2124094.2429664568</v>
      </c>
      <c r="AD6" s="12">
        <f>Users!AW4*Tickets!L229</f>
        <v>2203747.7770776981</v>
      </c>
      <c r="AE6" s="12">
        <f>Users!AX4*Tickets!M229</f>
        <v>2283082.6970524951</v>
      </c>
      <c r="AF6" s="12">
        <f>Users!AY4*Tickets!N229</f>
        <v>2361849.0501008062</v>
      </c>
      <c r="AG6" s="12">
        <f>Users!AZ4*Tickets!O229</f>
        <v>2439790.0687541324</v>
      </c>
      <c r="AH6" s="12">
        <f>Users!BA4*Tickets!P229</f>
        <v>2520303.1410230189</v>
      </c>
      <c r="AI6" s="12">
        <f>Users!BB4*Tickets!Q229</f>
        <v>2603473.1446767785</v>
      </c>
      <c r="AJ6" s="12">
        <f>Users!BC4*Tickets!R229</f>
        <v>2689387.7584511121</v>
      </c>
      <c r="AK6" s="12">
        <f>Users!BD4*Tickets!S229</f>
        <v>2778137.5544799985</v>
      </c>
      <c r="AL6" s="12">
        <f>Users!BE4*Tickets!T229</f>
        <v>2869816.0937778382</v>
      </c>
      <c r="AM6" s="12">
        <f>Users!BF4*Tickets!U229</f>
        <v>2964520.0248725065</v>
      </c>
      <c r="AN6" s="12">
        <f>Users!BG4*Tickets!V229</f>
        <v>3068278.2257430446</v>
      </c>
      <c r="AO6" s="12">
        <f>Users!BH4*Tickets!W229</f>
        <v>3068278.2257430446</v>
      </c>
      <c r="AP6" s="12">
        <f>Users!BI4*Tickets!X229</f>
        <v>3068278.2257430446</v>
      </c>
      <c r="AQ6" s="12">
        <f>Users!BJ4*Tickets!Y229</f>
        <v>3068278.2257430446</v>
      </c>
      <c r="AR6" s="12">
        <f>Users!BK4*Tickets!Z229</f>
        <v>3068278.2257430446</v>
      </c>
      <c r="AS6" s="12">
        <f>Users!BL4*Tickets!AA229</f>
        <v>3068278.2257430446</v>
      </c>
      <c r="AT6" s="12">
        <f>Users!BM4*Tickets!AB229</f>
        <v>3068278.2257430446</v>
      </c>
      <c r="AU6" s="12">
        <f>Users!BN4*Tickets!AC229</f>
        <v>3068278.2257430446</v>
      </c>
      <c r="AV6" s="12">
        <f>Users!BO4*Tickets!AD229</f>
        <v>3068278.2257430446</v>
      </c>
      <c r="AW6" s="12">
        <f>Users!BP4*Tickets!AE229</f>
        <v>3068278.2257430446</v>
      </c>
      <c r="AX6" s="12">
        <f>Users!BQ4*Tickets!AF229</f>
        <v>3068278.2257430446</v>
      </c>
      <c r="AY6" s="12">
        <f>Users!BR4*Tickets!AG229</f>
        <v>3068278.2257430446</v>
      </c>
      <c r="AZ6" s="12">
        <f>Users!BS4*Tickets!AH229</f>
        <v>3068278.2257430446</v>
      </c>
      <c r="BA6" s="12">
        <f>Users!BT4*Tickets!AI229</f>
        <v>3068278.2257430446</v>
      </c>
      <c r="BB6" s="12">
        <f>Users!BU4*Tickets!AJ229</f>
        <v>3068278.2257430446</v>
      </c>
      <c r="BC6" s="12">
        <f>Users!BV4*Tickets!AK229</f>
        <v>3068278.2257430446</v>
      </c>
      <c r="BD6" s="12">
        <f>Users!BW4*Tickets!AL229</f>
        <v>3068278.2257430446</v>
      </c>
      <c r="BE6" s="12">
        <f>Users!BX4*Tickets!AM229</f>
        <v>3068278.2257430446</v>
      </c>
      <c r="BF6" s="12">
        <f>Users!BY4*Tickets!AN229</f>
        <v>3068278.2257430446</v>
      </c>
      <c r="BG6" s="12">
        <f>Users!BZ4*Tickets!AO229</f>
        <v>3068278.2257430446</v>
      </c>
      <c r="BH6" s="12">
        <f>Users!CA4*Tickets!AP229</f>
        <v>3068278.2257430446</v>
      </c>
      <c r="BI6" s="12">
        <f>Users!CB4*Tickets!AQ229</f>
        <v>3068278.2257430446</v>
      </c>
      <c r="BJ6" s="12">
        <f>Users!CC4*Tickets!AR229</f>
        <v>3068278.2257430446</v>
      </c>
      <c r="BK6" s="12">
        <f>Users!CD4*Tickets!AS229</f>
        <v>3068278.2257430446</v>
      </c>
      <c r="BL6" s="12">
        <f>Users!CE4*Tickets!AT229</f>
        <v>3068278.2257430446</v>
      </c>
      <c r="BM6" s="12">
        <f>Users!CF4*Tickets!AU229</f>
        <v>3068278.2257430446</v>
      </c>
      <c r="BN6" s="12">
        <f>Users!CG4*Tickets!AV229</f>
        <v>3068278.2257430446</v>
      </c>
      <c r="BO6" s="12">
        <f>Users!CH4*Tickets!AW229</f>
        <v>3068278.2257430446</v>
      </c>
      <c r="BP6" s="12">
        <f>Users!CI4*Tickets!AX229</f>
        <v>3068278.2257430446</v>
      </c>
      <c r="BQ6" s="12">
        <f>Users!CJ4*Tickets!AY229</f>
        <v>3068278.2257430446</v>
      </c>
      <c r="BR6" s="12">
        <f>Users!CK4*Tickets!AZ229</f>
        <v>3068278.2257430446</v>
      </c>
      <c r="BS6" s="12">
        <f>Users!CL4*Tickets!BA229</f>
        <v>3068278.2257430446</v>
      </c>
      <c r="BT6" s="12">
        <f>Users!CM4*Tickets!BB229</f>
        <v>3068278.2257430446</v>
      </c>
      <c r="BU6" s="12">
        <f>Users!CN4*Tickets!BC229</f>
        <v>3068278.2257430446</v>
      </c>
      <c r="BV6" s="12">
        <f>Users!CO4*Tickets!BD229</f>
        <v>3068278.2257430446</v>
      </c>
      <c r="BW6" s="12">
        <f>Users!CP4*Tickets!BE229</f>
        <v>3068278.2257430446</v>
      </c>
      <c r="BX6" s="12">
        <f>Users!CQ4*Tickets!BF229</f>
        <v>3068278.2257430446</v>
      </c>
      <c r="BY6" s="12">
        <f>Users!CR4*Tickets!BG229</f>
        <v>3068278.2257430446</v>
      </c>
      <c r="BZ6" s="12">
        <f>Users!CS4*Tickets!BH229</f>
        <v>3068278.2257430446</v>
      </c>
      <c r="CA6" s="12">
        <f>Users!CT4*Tickets!BI229</f>
        <v>3068278.2257430446</v>
      </c>
      <c r="CB6" s="12">
        <f>Users!CU4*Tickets!BJ229</f>
        <v>3068278.2257430446</v>
      </c>
      <c r="CC6" s="12">
        <f>Users!CV4*Tickets!BK229</f>
        <v>3068278.2257430446</v>
      </c>
    </row>
    <row r="7" spans="1:8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O7" s="12"/>
      <c r="P7" s="12"/>
      <c r="Q7" s="12" t="s">
        <v>231</v>
      </c>
      <c r="R7" s="12"/>
      <c r="S7" s="12"/>
      <c r="U7" s="12">
        <f>Users!AN5*Tickets!C230</f>
        <v>0</v>
      </c>
      <c r="V7" s="12">
        <f>Users!AO5*Tickets!D230</f>
        <v>0</v>
      </c>
      <c r="W7" s="12">
        <f>Users!AP5*Tickets!E230</f>
        <v>0</v>
      </c>
      <c r="X7" s="12">
        <f>Users!AQ5*Tickets!F230</f>
        <v>0</v>
      </c>
      <c r="Y7" s="12">
        <f>Users!AR5*Tickets!G230</f>
        <v>0</v>
      </c>
      <c r="Z7" s="12">
        <f>Users!AS5*Tickets!H230</f>
        <v>0</v>
      </c>
      <c r="AA7" s="12">
        <f>Users!AT5*Tickets!I230</f>
        <v>0</v>
      </c>
      <c r="AB7" s="12">
        <f>Users!AU5*Tickets!J230</f>
        <v>0</v>
      </c>
      <c r="AC7" s="12">
        <f>Users!AV5*Tickets!K230</f>
        <v>0</v>
      </c>
      <c r="AD7" s="12">
        <f>Users!AW5*Tickets!L230</f>
        <v>0</v>
      </c>
      <c r="AE7" s="12">
        <f>Users!AX5*Tickets!M230</f>
        <v>0</v>
      </c>
      <c r="AF7" s="12">
        <f>Users!AY5*Tickets!N230</f>
        <v>0</v>
      </c>
      <c r="AG7" s="12">
        <f>Users!AZ5*Tickets!O230</f>
        <v>0</v>
      </c>
      <c r="AH7" s="12">
        <f>Users!BA5*Tickets!P230</f>
        <v>0</v>
      </c>
      <c r="AI7" s="12">
        <f>Users!BB5*Tickets!Q230</f>
        <v>0</v>
      </c>
      <c r="AJ7" s="12">
        <f>Users!BC5*Tickets!R230</f>
        <v>0</v>
      </c>
      <c r="AK7" s="12">
        <f>Users!BD5*Tickets!S230</f>
        <v>0</v>
      </c>
      <c r="AL7" s="12">
        <f>Users!BE5*Tickets!T230</f>
        <v>0</v>
      </c>
      <c r="AM7" s="12">
        <f>Users!BF5*Tickets!U230</f>
        <v>0</v>
      </c>
      <c r="AN7" s="12">
        <f>Users!BG5*Tickets!V230</f>
        <v>0</v>
      </c>
      <c r="AO7" s="12">
        <f>Users!BH5*Tickets!W230</f>
        <v>0</v>
      </c>
      <c r="AP7" s="12">
        <f>Users!BI5*Tickets!X230</f>
        <v>0</v>
      </c>
      <c r="AQ7" s="12">
        <f>Users!BJ5*Tickets!Y230</f>
        <v>0</v>
      </c>
      <c r="AR7" s="12">
        <f>Users!BK5*Tickets!Z230</f>
        <v>0</v>
      </c>
      <c r="AS7" s="12">
        <f>Users!BL5*Tickets!AA230</f>
        <v>0</v>
      </c>
      <c r="AT7" s="12">
        <f>Users!BM5*Tickets!AB230</f>
        <v>0</v>
      </c>
      <c r="AU7" s="12">
        <f>Users!BN5*Tickets!AC230</f>
        <v>0</v>
      </c>
      <c r="AV7" s="12">
        <f>Users!BO5*Tickets!AD230</f>
        <v>0</v>
      </c>
      <c r="AW7" s="12">
        <f>Users!BP5*Tickets!AE230</f>
        <v>0</v>
      </c>
      <c r="AX7" s="12">
        <f>Users!BQ5*Tickets!AF230</f>
        <v>0</v>
      </c>
      <c r="AY7" s="12">
        <f>Users!BR5*Tickets!AG230</f>
        <v>0</v>
      </c>
      <c r="AZ7" s="12">
        <f>Users!BS5*Tickets!AH230</f>
        <v>0</v>
      </c>
      <c r="BA7" s="12">
        <f>Users!BT5*Tickets!AI230</f>
        <v>0</v>
      </c>
      <c r="BB7" s="12">
        <f>Users!BU5*Tickets!AJ230</f>
        <v>0</v>
      </c>
      <c r="BC7" s="12">
        <f>Users!BV5*Tickets!AK230</f>
        <v>0</v>
      </c>
      <c r="BD7" s="12">
        <f>Users!BW5*Tickets!AL230</f>
        <v>0</v>
      </c>
      <c r="BE7" s="12">
        <f>Users!BX5*Tickets!AM230</f>
        <v>0</v>
      </c>
      <c r="BF7" s="12">
        <f>Users!BY5*Tickets!AN230</f>
        <v>0</v>
      </c>
      <c r="BG7" s="12">
        <f>Users!BZ5*Tickets!AO230</f>
        <v>0</v>
      </c>
      <c r="BH7" s="12">
        <f>Users!CA5*Tickets!AP230</f>
        <v>0</v>
      </c>
      <c r="BI7" s="12">
        <f>Users!CB5*Tickets!AQ230</f>
        <v>0</v>
      </c>
      <c r="BJ7" s="12">
        <f>Users!CC5*Tickets!AR230</f>
        <v>0</v>
      </c>
      <c r="BK7" s="12">
        <f>Users!CD5*Tickets!AS230</f>
        <v>0</v>
      </c>
      <c r="BL7" s="12">
        <f>Users!CE5*Tickets!AT230</f>
        <v>0</v>
      </c>
      <c r="BM7" s="12">
        <f>Users!CF5*Tickets!AU230</f>
        <v>0</v>
      </c>
      <c r="BN7" s="12">
        <f>Users!CG5*Tickets!AV230</f>
        <v>0</v>
      </c>
      <c r="BO7" s="12">
        <f>Users!CH5*Tickets!AW230</f>
        <v>0</v>
      </c>
      <c r="BP7" s="12">
        <f>Users!CI5*Tickets!AX230</f>
        <v>0</v>
      </c>
      <c r="BQ7" s="12">
        <f>Users!CJ5*Tickets!AY230</f>
        <v>0</v>
      </c>
      <c r="BR7" s="12">
        <f>Users!CK5*Tickets!AZ230</f>
        <v>0</v>
      </c>
      <c r="BS7" s="12">
        <f>Users!CL5*Tickets!BA230</f>
        <v>0</v>
      </c>
      <c r="BT7" s="12">
        <f>Users!CM5*Tickets!BB230</f>
        <v>0</v>
      </c>
      <c r="BU7" s="12">
        <f>Users!CN5*Tickets!BC230</f>
        <v>0</v>
      </c>
      <c r="BV7" s="12">
        <f>Users!CO5*Tickets!BD230</f>
        <v>0</v>
      </c>
      <c r="BW7" s="12">
        <f>Users!CP5*Tickets!BE230</f>
        <v>0</v>
      </c>
      <c r="BX7" s="12">
        <f>Users!CQ5*Tickets!BF230</f>
        <v>0</v>
      </c>
      <c r="BY7" s="12">
        <f>Users!CR5*Tickets!BG230</f>
        <v>0</v>
      </c>
      <c r="BZ7" s="12">
        <f>Users!CS5*Tickets!BH230</f>
        <v>0</v>
      </c>
      <c r="CA7" s="12">
        <f>Users!CT5*Tickets!BI230</f>
        <v>0</v>
      </c>
      <c r="CB7" s="12">
        <f>Users!CU5*Tickets!BJ230</f>
        <v>0</v>
      </c>
      <c r="CC7" s="12">
        <f>Users!CV5*Tickets!BK230</f>
        <v>0</v>
      </c>
    </row>
    <row r="8" spans="1:8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O8" s="12"/>
      <c r="P8" s="12"/>
      <c r="Q8" s="12" t="s">
        <v>232</v>
      </c>
      <c r="R8" s="12"/>
      <c r="S8" s="12"/>
      <c r="U8" s="12">
        <f>Users!AN6*Tickets!C231</f>
        <v>47179.520401462774</v>
      </c>
      <c r="V8" s="12">
        <f>Users!AO6*Tickets!D231</f>
        <v>49444.137380732995</v>
      </c>
      <c r="W8" s="12">
        <f>Users!AP6*Tickets!E231</f>
        <v>50976.905639535733</v>
      </c>
      <c r="X8" s="12">
        <f>Users!AQ6*Tickets!F231</f>
        <v>52404.258997442717</v>
      </c>
      <c r="Y8" s="12">
        <f>Users!AR6*Tickets!G231</f>
        <v>53819.173990373674</v>
      </c>
      <c r="Z8" s="12">
        <f>Users!AS6*Tickets!H231</f>
        <v>55595.206732056009</v>
      </c>
      <c r="AA8" s="12">
        <f>Users!AT6*Tickets!I231</f>
        <v>57596.634174410006</v>
      </c>
      <c r="AB8" s="12">
        <f>Users!AU6*Tickets!J231</f>
        <v>59785.306273037582</v>
      </c>
      <c r="AC8" s="12">
        <f>Users!AV6*Tickets!K231</f>
        <v>62116.933217686055</v>
      </c>
      <c r="AD8" s="12">
        <f>Users!AW6*Tickets!L231</f>
        <v>64446.318213349281</v>
      </c>
      <c r="AE8" s="12">
        <f>Users!AX6*Tickets!M231</f>
        <v>66766.385669029856</v>
      </c>
      <c r="AF8" s="12">
        <f>Users!AY6*Tickets!N231</f>
        <v>69069.825974611391</v>
      </c>
      <c r="AG8" s="12">
        <f>Users!AZ6*Tickets!O231</f>
        <v>71349.130231773554</v>
      </c>
      <c r="AH8" s="12">
        <f>Users!BA6*Tickets!P231</f>
        <v>73703.651529422074</v>
      </c>
      <c r="AI8" s="12">
        <f>Users!BB6*Tickets!Q231</f>
        <v>76135.872029892998</v>
      </c>
      <c r="AJ8" s="12">
        <f>Users!BC6*Tickets!R231</f>
        <v>78648.355806879452</v>
      </c>
      <c r="AK8" s="12">
        <f>Users!BD6*Tickets!S231</f>
        <v>81243.751548506465</v>
      </c>
      <c r="AL8" s="12">
        <f>Users!BE6*Tickets!T231</f>
        <v>83924.795349607171</v>
      </c>
      <c r="AM8" s="12">
        <f>Users!BF6*Tickets!U231</f>
        <v>86694.313596144202</v>
      </c>
      <c r="AN8" s="12">
        <f>Users!BG6*Tickets!V231</f>
        <v>89728.614572009261</v>
      </c>
      <c r="AO8" s="12">
        <f>Users!BH6*Tickets!W231</f>
        <v>89728.614572009261</v>
      </c>
      <c r="AP8" s="12">
        <f>Users!BI6*Tickets!X231</f>
        <v>89728.614572009261</v>
      </c>
      <c r="AQ8" s="12">
        <f>Users!BJ6*Tickets!Y231</f>
        <v>89728.614572009261</v>
      </c>
      <c r="AR8" s="12">
        <f>Users!BK6*Tickets!Z231</f>
        <v>89728.614572009261</v>
      </c>
      <c r="AS8" s="12">
        <f>Users!BL6*Tickets!AA231</f>
        <v>89728.614572009261</v>
      </c>
      <c r="AT8" s="12">
        <f>Users!BM6*Tickets!AB231</f>
        <v>89728.614572009261</v>
      </c>
      <c r="AU8" s="12">
        <f>Users!BN6*Tickets!AC231</f>
        <v>89728.614572009261</v>
      </c>
      <c r="AV8" s="12">
        <f>Users!BO6*Tickets!AD231</f>
        <v>89728.614572009261</v>
      </c>
      <c r="AW8" s="12">
        <f>Users!BP6*Tickets!AE231</f>
        <v>89728.614572009261</v>
      </c>
      <c r="AX8" s="12">
        <f>Users!BQ6*Tickets!AF231</f>
        <v>89728.614572009261</v>
      </c>
      <c r="AY8" s="12">
        <f>Users!BR6*Tickets!AG231</f>
        <v>89728.614572009261</v>
      </c>
      <c r="AZ8" s="12">
        <f>Users!BS6*Tickets!AH231</f>
        <v>89728.614572009261</v>
      </c>
      <c r="BA8" s="12">
        <f>Users!BT6*Tickets!AI231</f>
        <v>89728.614572009261</v>
      </c>
      <c r="BB8" s="12">
        <f>Users!BU6*Tickets!AJ231</f>
        <v>89728.614572009261</v>
      </c>
      <c r="BC8" s="12">
        <f>Users!BV6*Tickets!AK231</f>
        <v>89728.614572009261</v>
      </c>
      <c r="BD8" s="12">
        <f>Users!BW6*Tickets!AL231</f>
        <v>89728.614572009261</v>
      </c>
      <c r="BE8" s="12">
        <f>Users!BX6*Tickets!AM231</f>
        <v>89728.614572009261</v>
      </c>
      <c r="BF8" s="12">
        <f>Users!BY6*Tickets!AN231</f>
        <v>89728.614572009261</v>
      </c>
      <c r="BG8" s="12">
        <f>Users!BZ6*Tickets!AO231</f>
        <v>89728.614572009261</v>
      </c>
      <c r="BH8" s="12">
        <f>Users!CA6*Tickets!AP231</f>
        <v>89728.614572009261</v>
      </c>
      <c r="BI8" s="12">
        <f>Users!CB6*Tickets!AQ231</f>
        <v>89728.614572009261</v>
      </c>
      <c r="BJ8" s="12">
        <f>Users!CC6*Tickets!AR231</f>
        <v>89728.614572009261</v>
      </c>
      <c r="BK8" s="12">
        <f>Users!CD6*Tickets!AS231</f>
        <v>89728.614572009261</v>
      </c>
      <c r="BL8" s="12">
        <f>Users!CE6*Tickets!AT231</f>
        <v>89728.614572009261</v>
      </c>
      <c r="BM8" s="12">
        <f>Users!CF6*Tickets!AU231</f>
        <v>89728.614572009261</v>
      </c>
      <c r="BN8" s="12">
        <f>Users!CG6*Tickets!AV231</f>
        <v>89728.614572009261</v>
      </c>
      <c r="BO8" s="12">
        <f>Users!CH6*Tickets!AW231</f>
        <v>89728.614572009261</v>
      </c>
      <c r="BP8" s="12">
        <f>Users!CI6*Tickets!AX231</f>
        <v>89728.614572009261</v>
      </c>
      <c r="BQ8" s="12">
        <f>Users!CJ6*Tickets!AY231</f>
        <v>89728.614572009261</v>
      </c>
      <c r="BR8" s="12">
        <f>Users!CK6*Tickets!AZ231</f>
        <v>89728.614572009261</v>
      </c>
      <c r="BS8" s="12">
        <f>Users!CL6*Tickets!BA231</f>
        <v>89728.614572009261</v>
      </c>
      <c r="BT8" s="12">
        <f>Users!CM6*Tickets!BB231</f>
        <v>89728.614572009261</v>
      </c>
      <c r="BU8" s="12">
        <f>Users!CN6*Tickets!BC231</f>
        <v>89728.614572009261</v>
      </c>
      <c r="BV8" s="12">
        <f>Users!CO6*Tickets!BD231</f>
        <v>89728.614572009261</v>
      </c>
      <c r="BW8" s="12">
        <f>Users!CP6*Tickets!BE231</f>
        <v>89728.614572009261</v>
      </c>
      <c r="BX8" s="12">
        <f>Users!CQ6*Tickets!BF231</f>
        <v>89728.614572009261</v>
      </c>
      <c r="BY8" s="12">
        <f>Users!CR6*Tickets!BG231</f>
        <v>89728.614572009261</v>
      </c>
      <c r="BZ8" s="12">
        <f>Users!CS6*Tickets!BH231</f>
        <v>89728.614572009261</v>
      </c>
      <c r="CA8" s="12">
        <f>Users!CT6*Tickets!BI231</f>
        <v>89728.614572009261</v>
      </c>
      <c r="CB8" s="12">
        <f>Users!CU6*Tickets!BJ231</f>
        <v>89728.614572009261</v>
      </c>
      <c r="CC8" s="12">
        <f>Users!CV6*Tickets!BK231</f>
        <v>89728.614572009261</v>
      </c>
    </row>
    <row r="9" spans="1:8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O9" s="12"/>
      <c r="P9" s="12"/>
      <c r="Q9" s="12" t="s">
        <v>233</v>
      </c>
      <c r="R9" s="12"/>
      <c r="S9" s="12"/>
      <c r="U9" s="12">
        <f>Users!AN7*Tickets!C232</f>
        <v>91487.566912747774</v>
      </c>
      <c r="V9" s="12">
        <f>Users!AO7*Tickets!D232</f>
        <v>95878.970124559666</v>
      </c>
      <c r="W9" s="12">
        <f>Users!AP7*Tickets!E232</f>
        <v>98851.218198421047</v>
      </c>
      <c r="X9" s="12">
        <f>Users!AQ7*Tickets!F232</f>
        <v>101619.05230797682</v>
      </c>
      <c r="Y9" s="12">
        <f>Users!AR7*Tickets!G232</f>
        <v>104362.76672029222</v>
      </c>
      <c r="Z9" s="12">
        <f>Users!AS7*Tickets!H232</f>
        <v>107806.73802206185</v>
      </c>
      <c r="AA9" s="12">
        <f>Users!AT7*Tickets!I232</f>
        <v>111687.78059085605</v>
      </c>
      <c r="AB9" s="12">
        <f>Users!AU7*Tickets!J232</f>
        <v>115931.91625330858</v>
      </c>
      <c r="AC9" s="12">
        <f>Users!AV7*Tickets!K232</f>
        <v>120453.26098718763</v>
      </c>
      <c r="AD9" s="12">
        <f>Users!AW7*Tickets!L232</f>
        <v>124970.25827420715</v>
      </c>
      <c r="AE9" s="12">
        <f>Users!AX7*Tickets!M232</f>
        <v>129469.1875720786</v>
      </c>
      <c r="AF9" s="12">
        <f>Users!AY7*Tickets!N232</f>
        <v>133935.87454331532</v>
      </c>
      <c r="AG9" s="12">
        <f>Users!AZ7*Tickets!O232</f>
        <v>138355.75840324469</v>
      </c>
      <c r="AH9" s="12">
        <f>Users!BA7*Tickets!P232</f>
        <v>142921.49843055179</v>
      </c>
      <c r="AI9" s="12">
        <f>Users!BB7*Tickets!Q232</f>
        <v>147637.90787875999</v>
      </c>
      <c r="AJ9" s="12">
        <f>Users!BC7*Tickets!R232</f>
        <v>152509.95883875908</v>
      </c>
      <c r="AK9" s="12">
        <f>Users!BD7*Tickets!S232</f>
        <v>157542.7874804381</v>
      </c>
      <c r="AL9" s="12">
        <f>Users!BE7*Tickets!T232</f>
        <v>162741.69946729258</v>
      </c>
      <c r="AM9" s="12">
        <f>Users!BF7*Tickets!U232</f>
        <v>168112.17554971323</v>
      </c>
      <c r="AN9" s="12">
        <f>Users!BG7*Tickets!V232</f>
        <v>173996.10169395321</v>
      </c>
      <c r="AO9" s="12">
        <f>Users!BH7*Tickets!W232</f>
        <v>173996.10169395321</v>
      </c>
      <c r="AP9" s="12">
        <f>Users!BI7*Tickets!X232</f>
        <v>173996.10169395321</v>
      </c>
      <c r="AQ9" s="12">
        <f>Users!BJ7*Tickets!Y232</f>
        <v>173996.10169395321</v>
      </c>
      <c r="AR9" s="12">
        <f>Users!BK7*Tickets!Z232</f>
        <v>173996.10169395321</v>
      </c>
      <c r="AS9" s="12">
        <f>Users!BL7*Tickets!AA232</f>
        <v>173996.10169395321</v>
      </c>
      <c r="AT9" s="12">
        <f>Users!BM7*Tickets!AB232</f>
        <v>173996.10169395321</v>
      </c>
      <c r="AU9" s="12">
        <f>Users!BN7*Tickets!AC232</f>
        <v>173996.10169395321</v>
      </c>
      <c r="AV9" s="12">
        <f>Users!BO7*Tickets!AD232</f>
        <v>173996.10169395321</v>
      </c>
      <c r="AW9" s="12">
        <f>Users!BP7*Tickets!AE232</f>
        <v>173996.10169395321</v>
      </c>
      <c r="AX9" s="12">
        <f>Users!BQ7*Tickets!AF232</f>
        <v>173996.10169395321</v>
      </c>
      <c r="AY9" s="12">
        <f>Users!BR7*Tickets!AG232</f>
        <v>173996.10169395321</v>
      </c>
      <c r="AZ9" s="12">
        <f>Users!BS7*Tickets!AH232</f>
        <v>173996.10169395321</v>
      </c>
      <c r="BA9" s="12">
        <f>Users!BT7*Tickets!AI232</f>
        <v>173996.10169395321</v>
      </c>
      <c r="BB9" s="12">
        <f>Users!BU7*Tickets!AJ232</f>
        <v>173996.10169395321</v>
      </c>
      <c r="BC9" s="12">
        <f>Users!BV7*Tickets!AK232</f>
        <v>173996.10169395321</v>
      </c>
      <c r="BD9" s="12">
        <f>Users!BW7*Tickets!AL232</f>
        <v>173996.10169395321</v>
      </c>
      <c r="BE9" s="12">
        <f>Users!BX7*Tickets!AM232</f>
        <v>173996.10169395321</v>
      </c>
      <c r="BF9" s="12">
        <f>Users!BY7*Tickets!AN232</f>
        <v>173996.10169395321</v>
      </c>
      <c r="BG9" s="12">
        <f>Users!BZ7*Tickets!AO232</f>
        <v>173996.10169395321</v>
      </c>
      <c r="BH9" s="12">
        <f>Users!CA7*Tickets!AP232</f>
        <v>173996.10169395321</v>
      </c>
      <c r="BI9" s="12">
        <f>Users!CB7*Tickets!AQ232</f>
        <v>173996.10169395321</v>
      </c>
      <c r="BJ9" s="12">
        <f>Users!CC7*Tickets!AR232</f>
        <v>173996.10169395321</v>
      </c>
      <c r="BK9" s="12">
        <f>Users!CD7*Tickets!AS232</f>
        <v>173996.10169395321</v>
      </c>
      <c r="BL9" s="12">
        <f>Users!CE7*Tickets!AT232</f>
        <v>173996.10169395321</v>
      </c>
      <c r="BM9" s="12">
        <f>Users!CF7*Tickets!AU232</f>
        <v>173996.10169395321</v>
      </c>
      <c r="BN9" s="12">
        <f>Users!CG7*Tickets!AV232</f>
        <v>173996.10169395321</v>
      </c>
      <c r="BO9" s="12">
        <f>Users!CH7*Tickets!AW232</f>
        <v>173996.10169395321</v>
      </c>
      <c r="BP9" s="12">
        <f>Users!CI7*Tickets!AX232</f>
        <v>173996.10169395321</v>
      </c>
      <c r="BQ9" s="12">
        <f>Users!CJ7*Tickets!AY232</f>
        <v>173996.10169395321</v>
      </c>
      <c r="BR9" s="12">
        <f>Users!CK7*Tickets!AZ232</f>
        <v>173996.10169395321</v>
      </c>
      <c r="BS9" s="12">
        <f>Users!CL7*Tickets!BA232</f>
        <v>173996.10169395321</v>
      </c>
      <c r="BT9" s="12">
        <f>Users!CM7*Tickets!BB232</f>
        <v>173996.10169395321</v>
      </c>
      <c r="BU9" s="12">
        <f>Users!CN7*Tickets!BC232</f>
        <v>173996.10169395321</v>
      </c>
      <c r="BV9" s="12">
        <f>Users!CO7*Tickets!BD232</f>
        <v>173996.10169395321</v>
      </c>
      <c r="BW9" s="12">
        <f>Users!CP7*Tickets!BE232</f>
        <v>173996.10169395321</v>
      </c>
      <c r="BX9" s="12">
        <f>Users!CQ7*Tickets!BF232</f>
        <v>173996.10169395321</v>
      </c>
      <c r="BY9" s="12">
        <f>Users!CR7*Tickets!BG232</f>
        <v>173996.10169395321</v>
      </c>
      <c r="BZ9" s="12">
        <f>Users!CS7*Tickets!BH232</f>
        <v>173996.10169395321</v>
      </c>
      <c r="CA9" s="12">
        <f>Users!CT7*Tickets!BI232</f>
        <v>173996.10169395321</v>
      </c>
      <c r="CB9" s="12">
        <f>Users!CU7*Tickets!BJ232</f>
        <v>173996.10169395321</v>
      </c>
      <c r="CC9" s="12">
        <f>Users!CV7*Tickets!BK232</f>
        <v>173996.10169395321</v>
      </c>
    </row>
    <row r="10" spans="1:83" s="12" customFormat="1">
      <c r="Q10" s="12" t="s">
        <v>234</v>
      </c>
      <c r="U10" s="12">
        <f>Users!AN8*Tickets!C233</f>
        <v>349896.7775950412</v>
      </c>
      <c r="V10" s="12">
        <f>Users!AO8*Tickets!D233</f>
        <v>366691.8229196032</v>
      </c>
      <c r="W10" s="12">
        <f>Users!AP8*Tickets!E233</f>
        <v>378059.26943011093</v>
      </c>
      <c r="X10" s="12">
        <f>Users!AQ8*Tickets!F233</f>
        <v>388644.92897415394</v>
      </c>
      <c r="Y10" s="12">
        <f>Users!AR8*Tickets!G233</f>
        <v>399138.34205645614</v>
      </c>
      <c r="Z10" s="12">
        <f>Users!AS8*Tickets!H233</f>
        <v>412309.90734431916</v>
      </c>
      <c r="AA10" s="12">
        <f>Users!AT8*Tickets!I233</f>
        <v>427153.06400871451</v>
      </c>
      <c r="AB10" s="12">
        <f>Users!AU8*Tickets!J233</f>
        <v>443384.88044104562</v>
      </c>
      <c r="AC10" s="12">
        <f>Users!AV8*Tickets!K233</f>
        <v>460676.89077824645</v>
      </c>
      <c r="AD10" s="12">
        <f>Users!AW8*Tickets!L233</f>
        <v>477952.2741824307</v>
      </c>
      <c r="AE10" s="12">
        <f>Users!AX8*Tickets!M233</f>
        <v>495158.55605299812</v>
      </c>
      <c r="AF10" s="12">
        <f>Users!AY8*Tickets!N233</f>
        <v>512241.5262368265</v>
      </c>
      <c r="AG10" s="12">
        <f>Users!AZ8*Tickets!O233</f>
        <v>529145.49660264177</v>
      </c>
      <c r="AH10" s="12">
        <f>Users!BA8*Tickets!P233</f>
        <v>546607.29799052887</v>
      </c>
      <c r="AI10" s="12">
        <f>Users!BB8*Tickets!Q233</f>
        <v>564645.33882421616</v>
      </c>
      <c r="AJ10" s="12">
        <f>Users!BC8*Tickets!R233</f>
        <v>583278.63500541518</v>
      </c>
      <c r="AK10" s="12">
        <f>Users!BD8*Tickets!S233</f>
        <v>602526.82996059395</v>
      </c>
      <c r="AL10" s="12">
        <f>Users!BE8*Tickets!T233</f>
        <v>622410.21534929355</v>
      </c>
      <c r="AM10" s="12">
        <f>Users!BF8*Tickets!U233</f>
        <v>642949.75245582021</v>
      </c>
      <c r="AN10" s="12">
        <f>Users!BG8*Tickets!V233</f>
        <v>665452.99379177403</v>
      </c>
      <c r="AO10" s="12">
        <f>Users!BH8*Tickets!W233</f>
        <v>665452.99379177403</v>
      </c>
      <c r="AP10" s="12">
        <f>Users!BI8*Tickets!X233</f>
        <v>665452.99379177403</v>
      </c>
      <c r="AQ10" s="12">
        <f>Users!BJ8*Tickets!Y233</f>
        <v>665452.99379177403</v>
      </c>
      <c r="AR10" s="12">
        <f>Users!BK8*Tickets!Z233</f>
        <v>665452.99379177403</v>
      </c>
      <c r="AS10" s="12">
        <f>Users!BL8*Tickets!AA233</f>
        <v>665452.99379177403</v>
      </c>
      <c r="AT10" s="12">
        <f>Users!BM8*Tickets!AB233</f>
        <v>665452.99379177403</v>
      </c>
      <c r="AU10" s="12">
        <f>Users!BN8*Tickets!AC233</f>
        <v>665452.99379177403</v>
      </c>
      <c r="AV10" s="12">
        <f>Users!BO8*Tickets!AD233</f>
        <v>665452.99379177403</v>
      </c>
      <c r="AW10" s="12">
        <f>Users!BP8*Tickets!AE233</f>
        <v>665452.99379177403</v>
      </c>
      <c r="AX10" s="12">
        <f>Users!BQ8*Tickets!AF233</f>
        <v>665452.99379177403</v>
      </c>
      <c r="AY10" s="12">
        <f>Users!BR8*Tickets!AG233</f>
        <v>665452.99379177403</v>
      </c>
      <c r="AZ10" s="12">
        <f>Users!BS8*Tickets!AH233</f>
        <v>665452.99379177403</v>
      </c>
      <c r="BA10" s="12">
        <f>Users!BT8*Tickets!AI233</f>
        <v>665452.99379177403</v>
      </c>
      <c r="BB10" s="12">
        <f>Users!BU8*Tickets!AJ233</f>
        <v>665452.99379177403</v>
      </c>
      <c r="BC10" s="12">
        <f>Users!BV8*Tickets!AK233</f>
        <v>665452.99379177403</v>
      </c>
      <c r="BD10" s="12">
        <f>Users!BW8*Tickets!AL233</f>
        <v>665452.99379177403</v>
      </c>
      <c r="BE10" s="12">
        <f>Users!BX8*Tickets!AM233</f>
        <v>665452.99379177403</v>
      </c>
      <c r="BF10" s="12">
        <f>Users!BY8*Tickets!AN233</f>
        <v>665452.99379177403</v>
      </c>
      <c r="BG10" s="12">
        <f>Users!BZ8*Tickets!AO233</f>
        <v>665452.99379177403</v>
      </c>
      <c r="BH10" s="12">
        <f>Users!CA8*Tickets!AP233</f>
        <v>665452.99379177403</v>
      </c>
      <c r="BI10" s="12">
        <f>Users!CB8*Tickets!AQ233</f>
        <v>665452.99379177403</v>
      </c>
      <c r="BJ10" s="12">
        <f>Users!CC8*Tickets!AR233</f>
        <v>665452.99379177403</v>
      </c>
      <c r="BK10" s="12">
        <f>Users!CD8*Tickets!AS233</f>
        <v>665452.99379177403</v>
      </c>
      <c r="BL10" s="12">
        <f>Users!CE8*Tickets!AT233</f>
        <v>665452.99379177403</v>
      </c>
      <c r="BM10" s="12">
        <f>Users!CF8*Tickets!AU233</f>
        <v>665452.99379177403</v>
      </c>
      <c r="BN10" s="12">
        <f>Users!CG8*Tickets!AV233</f>
        <v>665452.99379177403</v>
      </c>
      <c r="BO10" s="12">
        <f>Users!CH8*Tickets!AW233</f>
        <v>665452.99379177403</v>
      </c>
      <c r="BP10" s="12">
        <f>Users!CI8*Tickets!AX233</f>
        <v>665452.99379177403</v>
      </c>
      <c r="BQ10" s="12">
        <f>Users!CJ8*Tickets!AY233</f>
        <v>665452.99379177403</v>
      </c>
      <c r="BR10" s="12">
        <f>Users!CK8*Tickets!AZ233</f>
        <v>665452.99379177403</v>
      </c>
      <c r="BS10" s="12">
        <f>Users!CL8*Tickets!BA233</f>
        <v>665452.99379177403</v>
      </c>
      <c r="BT10" s="12">
        <f>Users!CM8*Tickets!BB233</f>
        <v>665452.99379177403</v>
      </c>
      <c r="BU10" s="12">
        <f>Users!CN8*Tickets!BC233</f>
        <v>665452.99379177403</v>
      </c>
      <c r="BV10" s="12">
        <f>Users!CO8*Tickets!BD233</f>
        <v>665452.99379177403</v>
      </c>
      <c r="BW10" s="12">
        <f>Users!CP8*Tickets!BE233</f>
        <v>665452.99379177403</v>
      </c>
      <c r="BX10" s="12">
        <f>Users!CQ8*Tickets!BF233</f>
        <v>665452.99379177403</v>
      </c>
      <c r="BY10" s="12">
        <f>Users!CR8*Tickets!BG233</f>
        <v>665452.99379177403</v>
      </c>
      <c r="BZ10" s="12">
        <f>Users!CS8*Tickets!BH233</f>
        <v>665452.99379177403</v>
      </c>
      <c r="CA10" s="12">
        <f>Users!CT8*Tickets!BI233</f>
        <v>665452.99379177403</v>
      </c>
      <c r="CB10" s="12">
        <f>Users!CU8*Tickets!BJ233</f>
        <v>665452.99379177403</v>
      </c>
      <c r="CC10" s="12">
        <f>Users!CV8*Tickets!BK233</f>
        <v>665452.99379177403</v>
      </c>
    </row>
    <row r="11" spans="1:83" s="12" customFormat="1">
      <c r="O11" s="12" t="s">
        <v>265</v>
      </c>
      <c r="Q11" s="12" t="s">
        <v>231</v>
      </c>
      <c r="U11" s="12">
        <f>Users!AN9*Tickets!C234</f>
        <v>79350.211506673179</v>
      </c>
      <c r="V11" s="12">
        <f>Users!AO9*Tickets!D234</f>
        <v>83159.021658993501</v>
      </c>
      <c r="W11" s="12">
        <f>Users!AP9*Tickets!E234</f>
        <v>85736.951330422307</v>
      </c>
      <c r="X11" s="12">
        <f>Users!AQ9*Tickets!F234</f>
        <v>88137.585967674138</v>
      </c>
      <c r="Y11" s="12">
        <f>Users!AR9*Tickets!G234</f>
        <v>90517.300788801338</v>
      </c>
      <c r="Z11" s="12">
        <f>Users!AS9*Tickets!H234</f>
        <v>93504.371714831796</v>
      </c>
      <c r="AA11" s="12">
        <f>Users!AT9*Tickets!I234</f>
        <v>96870.529096565719</v>
      </c>
      <c r="AB11" s="12">
        <f>Users!AU9*Tickets!J234</f>
        <v>100551.60920223521</v>
      </c>
      <c r="AC11" s="12">
        <f>Users!AV9*Tickets!K234</f>
        <v>104473.12196112239</v>
      </c>
      <c r="AD11" s="12">
        <f>Users!AW9*Tickets!L234</f>
        <v>108390.86403466447</v>
      </c>
      <c r="AE11" s="12">
        <f>Users!AX9*Tickets!M234</f>
        <v>112292.93513991237</v>
      </c>
      <c r="AF11" s="12">
        <f>Users!AY9*Tickets!N234</f>
        <v>116167.04140223935</v>
      </c>
      <c r="AG11" s="12">
        <f>Users!AZ9*Tickets!O234</f>
        <v>120000.55376851323</v>
      </c>
      <c r="AH11" s="12">
        <f>Users!BA9*Tickets!P234</f>
        <v>123960.57204287415</v>
      </c>
      <c r="AI11" s="12">
        <f>Users!BB9*Tickets!Q234</f>
        <v>128051.270920289</v>
      </c>
      <c r="AJ11" s="12">
        <f>Users!BC9*Tickets!R234</f>
        <v>132276.96286065853</v>
      </c>
      <c r="AK11" s="12">
        <f>Users!BD9*Tickets!S234</f>
        <v>136642.10263506026</v>
      </c>
      <c r="AL11" s="12">
        <f>Users!BE9*Tickets!T234</f>
        <v>141151.29202201727</v>
      </c>
      <c r="AM11" s="12">
        <f>Users!BF9*Tickets!U234</f>
        <v>145809.28465874383</v>
      </c>
      <c r="AN11" s="12">
        <f>Users!BG9*Tickets!V234</f>
        <v>150912.60962179987</v>
      </c>
      <c r="AO11" s="12">
        <f>Users!BH9*Tickets!W234</f>
        <v>150912.60962179987</v>
      </c>
      <c r="AP11" s="12">
        <f>Users!BI9*Tickets!X234</f>
        <v>150912.60962179987</v>
      </c>
      <c r="AQ11" s="12">
        <f>Users!BJ9*Tickets!Y234</f>
        <v>150912.60962179987</v>
      </c>
      <c r="AR11" s="12">
        <f>Users!BK9*Tickets!Z234</f>
        <v>150912.60962179987</v>
      </c>
      <c r="AS11" s="12">
        <f>Users!BL9*Tickets!AA234</f>
        <v>150912.60962179987</v>
      </c>
      <c r="AT11" s="12">
        <f>Users!BM9*Tickets!AB234</f>
        <v>150912.60962179987</v>
      </c>
      <c r="AU11" s="12">
        <f>Users!BN9*Tickets!AC234</f>
        <v>150912.60962179987</v>
      </c>
      <c r="AV11" s="12">
        <f>Users!BO9*Tickets!AD234</f>
        <v>150912.60962179987</v>
      </c>
      <c r="AW11" s="12">
        <f>Users!BP9*Tickets!AE234</f>
        <v>150912.60962179987</v>
      </c>
      <c r="AX11" s="12">
        <f>Users!BQ9*Tickets!AF234</f>
        <v>150912.60962179987</v>
      </c>
      <c r="AY11" s="12">
        <f>Users!BR9*Tickets!AG234</f>
        <v>150912.60962179987</v>
      </c>
      <c r="AZ11" s="12">
        <f>Users!BS9*Tickets!AH234</f>
        <v>150912.60962179987</v>
      </c>
      <c r="BA11" s="12">
        <f>Users!BT9*Tickets!AI234</f>
        <v>150912.60962179987</v>
      </c>
      <c r="BB11" s="12">
        <f>Users!BU9*Tickets!AJ234</f>
        <v>150912.60962179987</v>
      </c>
      <c r="BC11" s="12">
        <f>Users!BV9*Tickets!AK234</f>
        <v>150912.60962179987</v>
      </c>
      <c r="BD11" s="12">
        <f>Users!BW9*Tickets!AL234</f>
        <v>150912.60962179987</v>
      </c>
      <c r="BE11" s="12">
        <f>Users!BX9*Tickets!AM234</f>
        <v>150912.60962179987</v>
      </c>
      <c r="BF11" s="12">
        <f>Users!BY9*Tickets!AN234</f>
        <v>150912.60962179987</v>
      </c>
      <c r="BG11" s="12">
        <f>Users!BZ9*Tickets!AO234</f>
        <v>150912.60962179987</v>
      </c>
      <c r="BH11" s="12">
        <f>Users!CA9*Tickets!AP234</f>
        <v>150912.60962179987</v>
      </c>
      <c r="BI11" s="12">
        <f>Users!CB9*Tickets!AQ234</f>
        <v>150912.60962179987</v>
      </c>
      <c r="BJ11" s="12">
        <f>Users!CC9*Tickets!AR234</f>
        <v>150912.60962179987</v>
      </c>
      <c r="BK11" s="12">
        <f>Users!CD9*Tickets!AS234</f>
        <v>150912.60962179987</v>
      </c>
      <c r="BL11" s="12">
        <f>Users!CE9*Tickets!AT234</f>
        <v>150912.60962179987</v>
      </c>
      <c r="BM11" s="12">
        <f>Users!CF9*Tickets!AU234</f>
        <v>150912.60962179987</v>
      </c>
      <c r="BN11" s="12">
        <f>Users!CG9*Tickets!AV234</f>
        <v>150912.60962179987</v>
      </c>
      <c r="BO11" s="12">
        <f>Users!CH9*Tickets!AW234</f>
        <v>150912.60962179987</v>
      </c>
      <c r="BP11" s="12">
        <f>Users!CI9*Tickets!AX234</f>
        <v>150912.60962179987</v>
      </c>
      <c r="BQ11" s="12">
        <f>Users!CJ9*Tickets!AY234</f>
        <v>150912.60962179987</v>
      </c>
      <c r="BR11" s="12">
        <f>Users!CK9*Tickets!AZ234</f>
        <v>150912.60962179987</v>
      </c>
      <c r="BS11" s="12">
        <f>Users!CL9*Tickets!BA234</f>
        <v>150912.60962179987</v>
      </c>
      <c r="BT11" s="12">
        <f>Users!CM9*Tickets!BB234</f>
        <v>150912.60962179987</v>
      </c>
      <c r="BU11" s="12">
        <f>Users!CN9*Tickets!BC234</f>
        <v>150912.60962179987</v>
      </c>
      <c r="BV11" s="12">
        <f>Users!CO9*Tickets!BD234</f>
        <v>150912.60962179987</v>
      </c>
      <c r="BW11" s="12">
        <f>Users!CP9*Tickets!BE234</f>
        <v>150912.60962179987</v>
      </c>
      <c r="BX11" s="12">
        <f>Users!CQ9*Tickets!BF234</f>
        <v>150912.60962179987</v>
      </c>
      <c r="BY11" s="12">
        <f>Users!CR9*Tickets!BG234</f>
        <v>150912.60962179987</v>
      </c>
      <c r="BZ11" s="12">
        <f>Users!CS9*Tickets!BH234</f>
        <v>150912.60962179987</v>
      </c>
      <c r="CA11" s="12">
        <f>Users!CT9*Tickets!BI234</f>
        <v>150912.60962179987</v>
      </c>
      <c r="CB11" s="12">
        <f>Users!CU9*Tickets!BJ234</f>
        <v>150912.60962179987</v>
      </c>
      <c r="CC11" s="12">
        <f>Users!CV9*Tickets!BK234</f>
        <v>150912.60962179987</v>
      </c>
    </row>
    <row r="12" spans="1:83" s="12" customFormat="1">
      <c r="Q12" s="12" t="s">
        <v>232</v>
      </c>
      <c r="U12" s="12">
        <f>Users!AN10*Tickets!C235</f>
        <v>48870.326316375351</v>
      </c>
      <c r="V12" s="12">
        <f>Users!AO10*Tickets!D235</f>
        <v>51216.101979561376</v>
      </c>
      <c r="W12" s="12">
        <f>Users!AP10*Tickets!E235</f>
        <v>52803.801140927782</v>
      </c>
      <c r="X12" s="12">
        <f>Users!AQ10*Tickets!F235</f>
        <v>54282.307572873753</v>
      </c>
      <c r="Y12" s="12">
        <f>Users!AR10*Tickets!G235</f>
        <v>55747.929877341347</v>
      </c>
      <c r="Z12" s="12">
        <f>Users!AS10*Tickets!H235</f>
        <v>57587.611563293613</v>
      </c>
      <c r="AA12" s="12">
        <f>Users!AT10*Tickets!I235</f>
        <v>59660.765579572166</v>
      </c>
      <c r="AB12" s="12">
        <f>Users!AU10*Tickets!J235</f>
        <v>61927.874671595906</v>
      </c>
      <c r="AC12" s="12">
        <f>Users!AV10*Tickets!K235</f>
        <v>64343.061783788158</v>
      </c>
      <c r="AD12" s="12">
        <f>Users!AW10*Tickets!L235</f>
        <v>66755.926600680206</v>
      </c>
      <c r="AE12" s="12">
        <f>Users!AX10*Tickets!M235</f>
        <v>69159.139958304688</v>
      </c>
      <c r="AF12" s="12">
        <f>Users!AY10*Tickets!N235</f>
        <v>71545.130286866202</v>
      </c>
      <c r="AG12" s="12">
        <f>Users!AZ10*Tickets!O235</f>
        <v>73906.119586332788</v>
      </c>
      <c r="AH12" s="12">
        <f>Users!BA10*Tickets!P235</f>
        <v>76345.021532681756</v>
      </c>
      <c r="AI12" s="12">
        <f>Users!BB10*Tickets!Q235</f>
        <v>78864.407243260255</v>
      </c>
      <c r="AJ12" s="12">
        <f>Users!BC10*Tickets!R235</f>
        <v>81466.932682287836</v>
      </c>
      <c r="AK12" s="12">
        <f>Users!BD10*Tickets!S235</f>
        <v>84155.34146080332</v>
      </c>
      <c r="AL12" s="12">
        <f>Users!BE10*Tickets!T235</f>
        <v>86932.467729009819</v>
      </c>
      <c r="AM12" s="12">
        <f>Users!BF10*Tickets!U235</f>
        <v>89801.239164067141</v>
      </c>
      <c r="AN12" s="12">
        <f>Users!BG10*Tickets!V235</f>
        <v>92944.282534809507</v>
      </c>
      <c r="AO12" s="12">
        <f>Users!BH10*Tickets!W235</f>
        <v>92944.282534809507</v>
      </c>
      <c r="AP12" s="12">
        <f>Users!BI10*Tickets!X235</f>
        <v>92944.282534809507</v>
      </c>
      <c r="AQ12" s="12">
        <f>Users!BJ10*Tickets!Y235</f>
        <v>92944.282534809507</v>
      </c>
      <c r="AR12" s="12">
        <f>Users!BK10*Tickets!Z235</f>
        <v>92944.282534809507</v>
      </c>
      <c r="AS12" s="12">
        <f>Users!BL10*Tickets!AA235</f>
        <v>92944.282534809507</v>
      </c>
      <c r="AT12" s="12">
        <f>Users!BM10*Tickets!AB235</f>
        <v>92944.282534809507</v>
      </c>
      <c r="AU12" s="12">
        <f>Users!BN10*Tickets!AC235</f>
        <v>92944.282534809507</v>
      </c>
      <c r="AV12" s="12">
        <f>Users!BO10*Tickets!AD235</f>
        <v>92944.282534809507</v>
      </c>
      <c r="AW12" s="12">
        <f>Users!BP10*Tickets!AE235</f>
        <v>92944.282534809507</v>
      </c>
      <c r="AX12" s="12">
        <f>Users!BQ10*Tickets!AF235</f>
        <v>92944.282534809507</v>
      </c>
      <c r="AY12" s="12">
        <f>Users!BR10*Tickets!AG235</f>
        <v>92944.282534809507</v>
      </c>
      <c r="AZ12" s="12">
        <f>Users!BS10*Tickets!AH235</f>
        <v>92944.282534809507</v>
      </c>
      <c r="BA12" s="12">
        <f>Users!BT10*Tickets!AI235</f>
        <v>92944.282534809507</v>
      </c>
      <c r="BB12" s="12">
        <f>Users!BU10*Tickets!AJ235</f>
        <v>92944.282534809507</v>
      </c>
      <c r="BC12" s="12">
        <f>Users!BV10*Tickets!AK235</f>
        <v>92944.282534809507</v>
      </c>
      <c r="BD12" s="12">
        <f>Users!BW10*Tickets!AL235</f>
        <v>92944.282534809507</v>
      </c>
      <c r="BE12" s="12">
        <f>Users!BX10*Tickets!AM235</f>
        <v>92944.282534809507</v>
      </c>
      <c r="BF12" s="12">
        <f>Users!BY10*Tickets!AN235</f>
        <v>92944.282534809507</v>
      </c>
      <c r="BG12" s="12">
        <f>Users!BZ10*Tickets!AO235</f>
        <v>92944.282534809507</v>
      </c>
      <c r="BH12" s="12">
        <f>Users!CA10*Tickets!AP235</f>
        <v>92944.282534809507</v>
      </c>
      <c r="BI12" s="12">
        <f>Users!CB10*Tickets!AQ235</f>
        <v>92944.282534809507</v>
      </c>
      <c r="BJ12" s="12">
        <f>Users!CC10*Tickets!AR235</f>
        <v>92944.282534809507</v>
      </c>
      <c r="BK12" s="12">
        <f>Users!CD10*Tickets!AS235</f>
        <v>92944.282534809507</v>
      </c>
      <c r="BL12" s="12">
        <f>Users!CE10*Tickets!AT235</f>
        <v>92944.282534809507</v>
      </c>
      <c r="BM12" s="12">
        <f>Users!CF10*Tickets!AU235</f>
        <v>92944.282534809507</v>
      </c>
      <c r="BN12" s="12">
        <f>Users!CG10*Tickets!AV235</f>
        <v>92944.282534809507</v>
      </c>
      <c r="BO12" s="12">
        <f>Users!CH10*Tickets!AW235</f>
        <v>92944.282534809507</v>
      </c>
      <c r="BP12" s="12">
        <f>Users!CI10*Tickets!AX235</f>
        <v>92944.282534809507</v>
      </c>
      <c r="BQ12" s="12">
        <f>Users!CJ10*Tickets!AY235</f>
        <v>92944.282534809507</v>
      </c>
      <c r="BR12" s="12">
        <f>Users!CK10*Tickets!AZ235</f>
        <v>92944.282534809507</v>
      </c>
      <c r="BS12" s="12">
        <f>Users!CL10*Tickets!BA235</f>
        <v>92944.282534809507</v>
      </c>
      <c r="BT12" s="12">
        <f>Users!CM10*Tickets!BB235</f>
        <v>92944.282534809507</v>
      </c>
      <c r="BU12" s="12">
        <f>Users!CN10*Tickets!BC235</f>
        <v>92944.282534809507</v>
      </c>
      <c r="BV12" s="12">
        <f>Users!CO10*Tickets!BD235</f>
        <v>92944.282534809507</v>
      </c>
      <c r="BW12" s="12">
        <f>Users!CP10*Tickets!BE235</f>
        <v>92944.282534809507</v>
      </c>
      <c r="BX12" s="12">
        <f>Users!CQ10*Tickets!BF235</f>
        <v>92944.282534809507</v>
      </c>
      <c r="BY12" s="12">
        <f>Users!CR10*Tickets!BG235</f>
        <v>92944.282534809507</v>
      </c>
      <c r="BZ12" s="12">
        <f>Users!CS10*Tickets!BH235</f>
        <v>92944.282534809507</v>
      </c>
      <c r="CA12" s="12">
        <f>Users!CT10*Tickets!BI235</f>
        <v>92944.282534809507</v>
      </c>
      <c r="CB12" s="12">
        <f>Users!CU10*Tickets!BJ235</f>
        <v>92944.282534809507</v>
      </c>
      <c r="CC12" s="12">
        <f>Users!CV10*Tickets!BK235</f>
        <v>92944.282534809507</v>
      </c>
    </row>
    <row r="13" spans="1:8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O13" s="12"/>
      <c r="P13" s="12"/>
      <c r="Q13" s="12" t="s">
        <v>233</v>
      </c>
      <c r="R13" s="12"/>
      <c r="S13" s="12"/>
      <c r="U13" s="12">
        <f>Users!AN11*Tickets!C236</f>
        <v>70284.191008850757</v>
      </c>
      <c r="V13" s="12">
        <f>Users!AO11*Tickets!D236</f>
        <v>73657.832177275603</v>
      </c>
      <c r="W13" s="12">
        <f>Users!AP11*Tickets!E236</f>
        <v>75941.224974771161</v>
      </c>
      <c r="X13" s="12">
        <f>Users!AQ11*Tickets!F236</f>
        <v>78067.579274064745</v>
      </c>
      <c r="Y13" s="12">
        <f>Users!AR11*Tickets!G236</f>
        <v>80175.403914464492</v>
      </c>
      <c r="Z13" s="12">
        <f>Users!AS11*Tickets!H236</f>
        <v>82821.192243641824</v>
      </c>
      <c r="AA13" s="12">
        <f>Users!AT11*Tickets!I236</f>
        <v>85802.755164412927</v>
      </c>
      <c r="AB13" s="12">
        <f>Users!AU11*Tickets!J236</f>
        <v>89063.259860660604</v>
      </c>
      <c r="AC13" s="12">
        <f>Users!AV11*Tickets!K236</f>
        <v>92536.726995226389</v>
      </c>
      <c r="AD13" s="12">
        <f>Users!AW11*Tickets!L236</f>
        <v>96006.854257547355</v>
      </c>
      <c r="AE13" s="12">
        <f>Users!AX11*Tickets!M236</f>
        <v>99463.101010819038</v>
      </c>
      <c r="AF13" s="12">
        <f>Users!AY11*Tickets!N236</f>
        <v>102894.57799569229</v>
      </c>
      <c r="AG13" s="12">
        <f>Users!AZ11*Tickets!O236</f>
        <v>106290.09906955014</v>
      </c>
      <c r="AH13" s="12">
        <f>Users!BA11*Tickets!P236</f>
        <v>109797.67233884528</v>
      </c>
      <c r="AI13" s="12">
        <f>Users!BB11*Tickets!Q236</f>
        <v>113420.99552602717</v>
      </c>
      <c r="AJ13" s="12">
        <f>Users!BC11*Tickets!R236</f>
        <v>117163.88837838607</v>
      </c>
      <c r="AK13" s="12">
        <f>Users!BD11*Tickets!S236</f>
        <v>121030.2966948728</v>
      </c>
      <c r="AL13" s="12">
        <f>Users!BE11*Tickets!T236</f>
        <v>125024.2964858036</v>
      </c>
      <c r="AM13" s="12">
        <f>Users!BF11*Tickets!U236</f>
        <v>129150.09826983511</v>
      </c>
      <c r="AN13" s="12">
        <f>Users!BG11*Tickets!V236</f>
        <v>133670.35170927938</v>
      </c>
      <c r="AO13" s="12">
        <f>Users!BH11*Tickets!W236</f>
        <v>133670.35170927938</v>
      </c>
      <c r="AP13" s="12">
        <f>Users!BI11*Tickets!X236</f>
        <v>133670.35170927938</v>
      </c>
      <c r="AQ13" s="12">
        <f>Users!BJ11*Tickets!Y236</f>
        <v>133670.35170927938</v>
      </c>
      <c r="AR13" s="12">
        <f>Users!BK11*Tickets!Z236</f>
        <v>133670.35170927938</v>
      </c>
      <c r="AS13" s="12">
        <f>Users!BL11*Tickets!AA236</f>
        <v>133670.35170927938</v>
      </c>
      <c r="AT13" s="12">
        <f>Users!BM11*Tickets!AB236</f>
        <v>133670.35170927938</v>
      </c>
      <c r="AU13" s="12">
        <f>Users!BN11*Tickets!AC236</f>
        <v>133670.35170927938</v>
      </c>
      <c r="AV13" s="12">
        <f>Users!BO11*Tickets!AD236</f>
        <v>133670.35170927938</v>
      </c>
      <c r="AW13" s="12">
        <f>Users!BP11*Tickets!AE236</f>
        <v>133670.35170927938</v>
      </c>
      <c r="AX13" s="12">
        <f>Users!BQ11*Tickets!AF236</f>
        <v>133670.35170927938</v>
      </c>
      <c r="AY13" s="12">
        <f>Users!BR11*Tickets!AG236</f>
        <v>133670.35170927938</v>
      </c>
      <c r="AZ13" s="12">
        <f>Users!BS11*Tickets!AH236</f>
        <v>133670.35170927938</v>
      </c>
      <c r="BA13" s="12">
        <f>Users!BT11*Tickets!AI236</f>
        <v>133670.35170927938</v>
      </c>
      <c r="BB13" s="12">
        <f>Users!BU11*Tickets!AJ236</f>
        <v>133670.35170927938</v>
      </c>
      <c r="BC13" s="12">
        <f>Users!BV11*Tickets!AK236</f>
        <v>133670.35170927938</v>
      </c>
      <c r="BD13" s="12">
        <f>Users!BW11*Tickets!AL236</f>
        <v>133670.35170927938</v>
      </c>
      <c r="BE13" s="12">
        <f>Users!BX11*Tickets!AM236</f>
        <v>133670.35170927938</v>
      </c>
      <c r="BF13" s="12">
        <f>Users!BY11*Tickets!AN236</f>
        <v>133670.35170927938</v>
      </c>
      <c r="BG13" s="12">
        <f>Users!BZ11*Tickets!AO236</f>
        <v>133670.35170927938</v>
      </c>
      <c r="BH13" s="12">
        <f>Users!CA11*Tickets!AP236</f>
        <v>133670.35170927938</v>
      </c>
      <c r="BI13" s="12">
        <f>Users!CB11*Tickets!AQ236</f>
        <v>133670.35170927938</v>
      </c>
      <c r="BJ13" s="12">
        <f>Users!CC11*Tickets!AR236</f>
        <v>133670.35170927938</v>
      </c>
      <c r="BK13" s="12">
        <f>Users!CD11*Tickets!AS236</f>
        <v>133670.35170927938</v>
      </c>
      <c r="BL13" s="12">
        <f>Users!CE11*Tickets!AT236</f>
        <v>133670.35170927938</v>
      </c>
      <c r="BM13" s="12">
        <f>Users!CF11*Tickets!AU236</f>
        <v>133670.35170927938</v>
      </c>
      <c r="BN13" s="12">
        <f>Users!CG11*Tickets!AV236</f>
        <v>133670.35170927938</v>
      </c>
      <c r="BO13" s="12">
        <f>Users!CH11*Tickets!AW236</f>
        <v>133670.35170927938</v>
      </c>
      <c r="BP13" s="12">
        <f>Users!CI11*Tickets!AX236</f>
        <v>133670.35170927938</v>
      </c>
      <c r="BQ13" s="12">
        <f>Users!CJ11*Tickets!AY236</f>
        <v>133670.35170927938</v>
      </c>
      <c r="BR13" s="12">
        <f>Users!CK11*Tickets!AZ236</f>
        <v>133670.35170927938</v>
      </c>
      <c r="BS13" s="12">
        <f>Users!CL11*Tickets!BA236</f>
        <v>133670.35170927938</v>
      </c>
      <c r="BT13" s="12">
        <f>Users!CM11*Tickets!BB236</f>
        <v>133670.35170927938</v>
      </c>
      <c r="BU13" s="12">
        <f>Users!CN11*Tickets!BC236</f>
        <v>133670.35170927938</v>
      </c>
      <c r="BV13" s="12">
        <f>Users!CO11*Tickets!BD236</f>
        <v>133670.35170927938</v>
      </c>
      <c r="BW13" s="12">
        <f>Users!CP11*Tickets!BE236</f>
        <v>133670.35170927938</v>
      </c>
      <c r="BX13" s="12">
        <f>Users!CQ11*Tickets!BF236</f>
        <v>133670.35170927938</v>
      </c>
      <c r="BY13" s="12">
        <f>Users!CR11*Tickets!BG236</f>
        <v>133670.35170927938</v>
      </c>
      <c r="BZ13" s="12">
        <f>Users!CS11*Tickets!BH236</f>
        <v>133670.35170927938</v>
      </c>
      <c r="CA13" s="12">
        <f>Users!CT11*Tickets!BI236</f>
        <v>133670.35170927938</v>
      </c>
      <c r="CB13" s="12">
        <f>Users!CU11*Tickets!BJ236</f>
        <v>133670.35170927938</v>
      </c>
      <c r="CC13" s="12">
        <f>Users!CV11*Tickets!BK236</f>
        <v>133670.35170927938</v>
      </c>
    </row>
    <row r="14" spans="1:8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O14" s="12"/>
      <c r="P14" s="12"/>
      <c r="Q14" s="12" t="s">
        <v>234</v>
      </c>
      <c r="R14" s="12"/>
      <c r="S14" s="12"/>
      <c r="U14" s="12">
        <f>Users!AN12*Tickets!C237</f>
        <v>62696.59426235743</v>
      </c>
      <c r="V14" s="12">
        <f>Users!AO12*Tickets!D237</f>
        <v>65706.030786950592</v>
      </c>
      <c r="W14" s="12">
        <f>Users!AP12*Tickets!E237</f>
        <v>67742.917741346071</v>
      </c>
      <c r="X14" s="12">
        <f>Users!AQ12*Tickets!F237</f>
        <v>69639.719438103755</v>
      </c>
      <c r="Y14" s="12">
        <f>Users!AR12*Tickets!G237</f>
        <v>71519.991862932569</v>
      </c>
      <c r="Z14" s="12">
        <f>Users!AS12*Tickets!H237</f>
        <v>73880.151594409341</v>
      </c>
      <c r="AA14" s="12">
        <f>Users!AT12*Tickets!I237</f>
        <v>76539.837051808063</v>
      </c>
      <c r="AB14" s="12">
        <f>Users!AU12*Tickets!J237</f>
        <v>79448.350859776765</v>
      </c>
      <c r="AC14" s="12">
        <f>Users!AV12*Tickets!K237</f>
        <v>82546.836543308062</v>
      </c>
      <c r="AD14" s="12">
        <f>Users!AW12*Tickets!L237</f>
        <v>85642.342913682107</v>
      </c>
      <c r="AE14" s="12">
        <f>Users!AX12*Tickets!M237</f>
        <v>88725.46725857463</v>
      </c>
      <c r="AF14" s="12">
        <f>Users!AY12*Tickets!N237</f>
        <v>91786.495878995469</v>
      </c>
      <c r="AG14" s="12">
        <f>Users!AZ12*Tickets!O237</f>
        <v>94815.450243002313</v>
      </c>
      <c r="AH14" s="12">
        <f>Users!BA12*Tickets!P237</f>
        <v>97944.36010102139</v>
      </c>
      <c r="AI14" s="12">
        <f>Users!BB12*Tickets!Q237</f>
        <v>101176.52398435508</v>
      </c>
      <c r="AJ14" s="12">
        <f>Users!BC12*Tickets!R237</f>
        <v>104515.34927583879</v>
      </c>
      <c r="AK14" s="12">
        <f>Users!BD12*Tickets!S237</f>
        <v>107964.35580194145</v>
      </c>
      <c r="AL14" s="12">
        <f>Users!BE12*Tickets!T237</f>
        <v>111527.17954340551</v>
      </c>
      <c r="AM14" s="12">
        <f>Users!BF12*Tickets!U237</f>
        <v>115207.57646833789</v>
      </c>
      <c r="AN14" s="12">
        <f>Users!BG12*Tickets!V237</f>
        <v>119239.84164472972</v>
      </c>
      <c r="AO14" s="12">
        <f>Users!BH12*Tickets!W237</f>
        <v>119239.84164472972</v>
      </c>
      <c r="AP14" s="12">
        <f>Users!BI12*Tickets!X237</f>
        <v>119239.84164472972</v>
      </c>
      <c r="AQ14" s="12">
        <f>Users!BJ12*Tickets!Y237</f>
        <v>119239.84164472972</v>
      </c>
      <c r="AR14" s="12">
        <f>Users!BK12*Tickets!Z237</f>
        <v>119239.84164472972</v>
      </c>
      <c r="AS14" s="12">
        <f>Users!BL12*Tickets!AA237</f>
        <v>119239.84164472972</v>
      </c>
      <c r="AT14" s="12">
        <f>Users!BM12*Tickets!AB237</f>
        <v>119239.84164472972</v>
      </c>
      <c r="AU14" s="12">
        <f>Users!BN12*Tickets!AC237</f>
        <v>119239.84164472972</v>
      </c>
      <c r="AV14" s="12">
        <f>Users!BO12*Tickets!AD237</f>
        <v>119239.84164472972</v>
      </c>
      <c r="AW14" s="12">
        <f>Users!BP12*Tickets!AE237</f>
        <v>119239.84164472972</v>
      </c>
      <c r="AX14" s="12">
        <f>Users!BQ12*Tickets!AF237</f>
        <v>119239.84164472972</v>
      </c>
      <c r="AY14" s="12">
        <f>Users!BR12*Tickets!AG237</f>
        <v>119239.84164472972</v>
      </c>
      <c r="AZ14" s="12">
        <f>Users!BS12*Tickets!AH237</f>
        <v>119239.84164472972</v>
      </c>
      <c r="BA14" s="12">
        <f>Users!BT12*Tickets!AI237</f>
        <v>119239.84164472972</v>
      </c>
      <c r="BB14" s="12">
        <f>Users!BU12*Tickets!AJ237</f>
        <v>119239.84164472972</v>
      </c>
      <c r="BC14" s="12">
        <f>Users!BV12*Tickets!AK237</f>
        <v>119239.84164472972</v>
      </c>
      <c r="BD14" s="12">
        <f>Users!BW12*Tickets!AL237</f>
        <v>119239.84164472972</v>
      </c>
      <c r="BE14" s="12">
        <f>Users!BX12*Tickets!AM237</f>
        <v>119239.84164472972</v>
      </c>
      <c r="BF14" s="12">
        <f>Users!BY12*Tickets!AN237</f>
        <v>119239.84164472972</v>
      </c>
      <c r="BG14" s="12">
        <f>Users!BZ12*Tickets!AO237</f>
        <v>119239.84164472972</v>
      </c>
      <c r="BH14" s="12">
        <f>Users!CA12*Tickets!AP237</f>
        <v>119239.84164472972</v>
      </c>
      <c r="BI14" s="12">
        <f>Users!CB12*Tickets!AQ237</f>
        <v>119239.84164472972</v>
      </c>
      <c r="BJ14" s="12">
        <f>Users!CC12*Tickets!AR237</f>
        <v>119239.84164472972</v>
      </c>
      <c r="BK14" s="12">
        <f>Users!CD12*Tickets!AS237</f>
        <v>119239.84164472972</v>
      </c>
      <c r="BL14" s="12">
        <f>Users!CE12*Tickets!AT237</f>
        <v>119239.84164472972</v>
      </c>
      <c r="BM14" s="12">
        <f>Users!CF12*Tickets!AU237</f>
        <v>119239.84164472972</v>
      </c>
      <c r="BN14" s="12">
        <f>Users!CG12*Tickets!AV237</f>
        <v>119239.84164472972</v>
      </c>
      <c r="BO14" s="12">
        <f>Users!CH12*Tickets!AW237</f>
        <v>119239.84164472972</v>
      </c>
      <c r="BP14" s="12">
        <f>Users!CI12*Tickets!AX237</f>
        <v>119239.84164472972</v>
      </c>
      <c r="BQ14" s="12">
        <f>Users!CJ12*Tickets!AY237</f>
        <v>119239.84164472972</v>
      </c>
      <c r="BR14" s="12">
        <f>Users!CK12*Tickets!AZ237</f>
        <v>119239.84164472972</v>
      </c>
      <c r="BS14" s="12">
        <f>Users!CL12*Tickets!BA237</f>
        <v>119239.84164472972</v>
      </c>
      <c r="BT14" s="12">
        <f>Users!CM12*Tickets!BB237</f>
        <v>119239.84164472972</v>
      </c>
      <c r="BU14" s="12">
        <f>Users!CN12*Tickets!BC237</f>
        <v>119239.84164472972</v>
      </c>
      <c r="BV14" s="12">
        <f>Users!CO12*Tickets!BD237</f>
        <v>119239.84164472972</v>
      </c>
      <c r="BW14" s="12">
        <f>Users!CP12*Tickets!BE237</f>
        <v>119239.84164472972</v>
      </c>
      <c r="BX14" s="12">
        <f>Users!CQ12*Tickets!BF237</f>
        <v>119239.84164472972</v>
      </c>
      <c r="BY14" s="12">
        <f>Users!CR12*Tickets!BG237</f>
        <v>119239.84164472972</v>
      </c>
      <c r="BZ14" s="12">
        <f>Users!CS12*Tickets!BH237</f>
        <v>119239.84164472972</v>
      </c>
      <c r="CA14" s="12">
        <f>Users!CT12*Tickets!BI237</f>
        <v>119239.84164472972</v>
      </c>
      <c r="CB14" s="12">
        <f>Users!CU12*Tickets!BJ237</f>
        <v>119239.84164472972</v>
      </c>
      <c r="CC14" s="12">
        <f>Users!CV12*Tickets!BK237</f>
        <v>119239.84164472972</v>
      </c>
    </row>
    <row r="15" spans="1:8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Q15" s="12"/>
      <c r="R15" s="12"/>
      <c r="S15" s="12"/>
    </row>
    <row r="16" spans="1:83" s="12" customFormat="1">
      <c r="F16" s="17"/>
      <c r="G16" s="17"/>
      <c r="H16" s="17"/>
      <c r="I16" s="17"/>
      <c r="J16" s="17"/>
      <c r="K16" s="17"/>
    </row>
    <row r="17" spans="1:81" s="12" customFormat="1">
      <c r="Q17" s="12" t="s">
        <v>144</v>
      </c>
    </row>
    <row r="18" spans="1:8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O18" s="12"/>
      <c r="P18" s="12"/>
      <c r="Q18" s="12" t="s">
        <v>230</v>
      </c>
      <c r="R18" s="12"/>
      <c r="S18" s="12"/>
      <c r="U18">
        <f>Users!AN16*Tickets!C241</f>
        <v>8584906.7980795931</v>
      </c>
      <c r="V18" s="12">
        <f>Users!AO16*Tickets!D241</f>
        <v>8996982.3243874125</v>
      </c>
      <c r="W18" s="12">
        <f>Users!AP16*Tickets!E241</f>
        <v>9275888.7764434256</v>
      </c>
      <c r="X18" s="12">
        <f>Users!AQ16*Tickets!F241</f>
        <v>9535613.6621838398</v>
      </c>
      <c r="Y18" s="12">
        <f>Users!AR16*Tickets!G241</f>
        <v>9793075.2310628053</v>
      </c>
      <c r="Z18" s="12">
        <f>Users!AS16*Tickets!H241</f>
        <v>10116246.713687878</v>
      </c>
      <c r="AA18" s="12">
        <f>Users!AT16*Tickets!I241</f>
        <v>10480431.59538064</v>
      </c>
      <c r="AB18" s="12">
        <f>Users!AU16*Tickets!J241</f>
        <v>10878687.996005103</v>
      </c>
      <c r="AC18" s="12">
        <f>Users!AV16*Tickets!K241</f>
        <v>11302956.827849304</v>
      </c>
      <c r="AD18" s="12">
        <f>Users!AW16*Tickets!L241</f>
        <v>11726817.708893651</v>
      </c>
      <c r="AE18" s="12">
        <f>Users!AX16*Tickets!M241</f>
        <v>12148983.146413822</v>
      </c>
      <c r="AF18" s="12">
        <f>Users!AY16*Tickets!N241</f>
        <v>12568123.064965099</v>
      </c>
      <c r="AG18" s="12">
        <f>Users!AZ16*Tickets!O241</f>
        <v>12982871.126108946</v>
      </c>
      <c r="AH18" s="12">
        <f>Users!BA16*Tickets!P241</f>
        <v>13411305.873270541</v>
      </c>
      <c r="AI18" s="12">
        <f>Users!BB16*Tickets!Q241</f>
        <v>13853878.967088468</v>
      </c>
      <c r="AJ18" s="12">
        <f>Users!BC16*Tickets!R241</f>
        <v>14311056.973002387</v>
      </c>
      <c r="AK18" s="12">
        <f>Users!BD16*Tickets!S241</f>
        <v>14783321.853111466</v>
      </c>
      <c r="AL18" s="12">
        <f>Users!BE16*Tickets!T241</f>
        <v>15271171.474264145</v>
      </c>
      <c r="AM18" s="12">
        <f>Users!BF16*Tickets!U241</f>
        <v>15775120.132914862</v>
      </c>
      <c r="AN18" s="12">
        <f>Users!BG16*Tickets!V241</f>
        <v>16327249.337566882</v>
      </c>
      <c r="AO18" s="12">
        <f>Users!BH16*Tickets!W241</f>
        <v>16327249.337566882</v>
      </c>
      <c r="AP18" s="12">
        <f>Users!BI16*Tickets!X241</f>
        <v>16327249.337566882</v>
      </c>
      <c r="AQ18" s="12">
        <f>Users!BJ16*Tickets!Y241</f>
        <v>16327249.337566882</v>
      </c>
      <c r="AR18" s="12">
        <f>Users!BK16*Tickets!Z241</f>
        <v>16327249.337566882</v>
      </c>
      <c r="AS18" s="12">
        <f>Users!BL16*Tickets!AA241</f>
        <v>16327249.337566882</v>
      </c>
      <c r="AT18" s="12">
        <f>Users!BM16*Tickets!AB241</f>
        <v>16327249.337566882</v>
      </c>
      <c r="AU18" s="12">
        <f>Users!BN16*Tickets!AC241</f>
        <v>16327249.337566882</v>
      </c>
      <c r="AV18" s="12">
        <f>Users!BO16*Tickets!AD241</f>
        <v>16327249.337566882</v>
      </c>
      <c r="AW18" s="12">
        <f>Users!BP16*Tickets!AE241</f>
        <v>16327249.337566882</v>
      </c>
      <c r="AX18" s="12">
        <f>Users!BQ16*Tickets!AF241</f>
        <v>16327249.337566882</v>
      </c>
      <c r="AY18" s="12">
        <f>Users!BR16*Tickets!AG241</f>
        <v>16327249.337566882</v>
      </c>
      <c r="AZ18" s="12">
        <f>Users!BS16*Tickets!AH241</f>
        <v>16327249.337566882</v>
      </c>
      <c r="BA18" s="12">
        <f>Users!BT16*Tickets!AI241</f>
        <v>16327249.337566882</v>
      </c>
      <c r="BB18" s="12">
        <f>Users!BU16*Tickets!AJ241</f>
        <v>16327249.337566882</v>
      </c>
      <c r="BC18" s="12">
        <f>Users!BV16*Tickets!AK241</f>
        <v>16327249.337566882</v>
      </c>
      <c r="BD18" s="12">
        <f>Users!BW16*Tickets!AL241</f>
        <v>16327249.337566882</v>
      </c>
      <c r="BE18" s="12">
        <f>Users!BX16*Tickets!AM241</f>
        <v>16327249.337566882</v>
      </c>
      <c r="BF18" s="12">
        <f>Users!BY16*Tickets!AN241</f>
        <v>16327249.337566882</v>
      </c>
      <c r="BG18" s="12">
        <f>Users!BZ16*Tickets!AO241</f>
        <v>16327249.337566882</v>
      </c>
      <c r="BH18" s="12">
        <f>Users!CA16*Tickets!AP241</f>
        <v>16327249.337566882</v>
      </c>
      <c r="BI18" s="12">
        <f>Users!CB16*Tickets!AQ241</f>
        <v>16327249.337566882</v>
      </c>
      <c r="BJ18" s="12">
        <f>Users!CC16*Tickets!AR241</f>
        <v>16327249.337566882</v>
      </c>
      <c r="BK18" s="12">
        <f>Users!CD16*Tickets!AS241</f>
        <v>16327249.337566882</v>
      </c>
      <c r="BL18" s="12">
        <f>Users!CE16*Tickets!AT241</f>
        <v>16327249.337566882</v>
      </c>
      <c r="BM18" s="12">
        <f>Users!CF16*Tickets!AU241</f>
        <v>16327249.337566882</v>
      </c>
      <c r="BN18" s="12">
        <f>Users!CG16*Tickets!AV241</f>
        <v>16327249.337566882</v>
      </c>
      <c r="BO18" s="12">
        <f>Users!CH16*Tickets!AW241</f>
        <v>16327249.337566882</v>
      </c>
      <c r="BP18" s="12">
        <f>Users!CI16*Tickets!AX241</f>
        <v>16327249.337566882</v>
      </c>
      <c r="BQ18" s="12">
        <f>Users!CJ16*Tickets!AY241</f>
        <v>16327249.337566882</v>
      </c>
      <c r="BR18" s="12">
        <f>Users!CK16*Tickets!AZ241</f>
        <v>16327249.337566882</v>
      </c>
      <c r="BS18" s="12">
        <f>Users!CL16*Tickets!BA241</f>
        <v>16327249.337566882</v>
      </c>
      <c r="BT18" s="12">
        <f>Users!CM16*Tickets!BB241</f>
        <v>16327249.337566882</v>
      </c>
      <c r="BU18" s="12">
        <f>Users!CN16*Tickets!BC241</f>
        <v>16327249.337566882</v>
      </c>
      <c r="BV18" s="12">
        <f>Users!CO16*Tickets!BD241</f>
        <v>16327249.337566882</v>
      </c>
      <c r="BW18" s="12">
        <f>Users!CP16*Tickets!BE241</f>
        <v>16327249.337566882</v>
      </c>
      <c r="BX18" s="12">
        <f>Users!CQ16*Tickets!BF241</f>
        <v>16327249.337566882</v>
      </c>
      <c r="BY18" s="12">
        <f>Users!CR16*Tickets!BG241</f>
        <v>16327249.337566882</v>
      </c>
      <c r="BZ18" s="12">
        <f>Users!CS16*Tickets!BH241</f>
        <v>16327249.337566882</v>
      </c>
      <c r="CA18" s="12">
        <f>Users!CT16*Tickets!BI241</f>
        <v>16327249.337566882</v>
      </c>
      <c r="CB18" s="12">
        <f>Users!CU16*Tickets!BJ241</f>
        <v>16327249.337566882</v>
      </c>
      <c r="CC18" s="12">
        <f>Users!CV16*Tickets!BK241</f>
        <v>16327249.337566882</v>
      </c>
    </row>
    <row r="19" spans="1:81">
      <c r="A19" s="12"/>
      <c r="B19" s="12"/>
      <c r="C19" s="12"/>
      <c r="D19" s="12"/>
      <c r="E19" s="12"/>
      <c r="F19" s="17"/>
      <c r="G19" s="17"/>
      <c r="H19" s="17"/>
      <c r="I19" s="17"/>
      <c r="J19" s="17"/>
      <c r="K19" s="12"/>
      <c r="L19" s="12"/>
      <c r="O19" s="12"/>
      <c r="P19" s="12"/>
      <c r="Q19" s="12" t="s">
        <v>231</v>
      </c>
      <c r="R19" s="12"/>
      <c r="S19" s="12"/>
      <c r="U19" s="12">
        <f>Users!AN17*Tickets!C242</f>
        <v>0</v>
      </c>
      <c r="V19" s="12">
        <f>Users!AO17*Tickets!D242</f>
        <v>0</v>
      </c>
      <c r="W19" s="12">
        <f>Users!AP17*Tickets!E242</f>
        <v>0</v>
      </c>
      <c r="X19" s="12">
        <f>Users!AQ17*Tickets!F242</f>
        <v>0</v>
      </c>
      <c r="Y19" s="12">
        <f>Users!AR17*Tickets!G242</f>
        <v>0</v>
      </c>
      <c r="Z19" s="12">
        <f>Users!AS17*Tickets!H242</f>
        <v>0</v>
      </c>
      <c r="AA19" s="12">
        <f>Users!AT17*Tickets!I242</f>
        <v>0</v>
      </c>
      <c r="AB19" s="12">
        <f>Users!AU17*Tickets!J242</f>
        <v>0</v>
      </c>
      <c r="AC19" s="12">
        <f>Users!AV17*Tickets!K242</f>
        <v>0</v>
      </c>
      <c r="AD19" s="12">
        <f>Users!AW17*Tickets!L242</f>
        <v>0</v>
      </c>
      <c r="AE19" s="12">
        <f>Users!AX17*Tickets!M242</f>
        <v>0</v>
      </c>
      <c r="AF19" s="12">
        <f>Users!AY17*Tickets!N242</f>
        <v>0</v>
      </c>
      <c r="AG19" s="12">
        <f>Users!AZ17*Tickets!O242</f>
        <v>0</v>
      </c>
      <c r="AH19" s="12">
        <f>Users!BA17*Tickets!P242</f>
        <v>0</v>
      </c>
      <c r="AI19" s="12">
        <f>Users!BB17*Tickets!Q242</f>
        <v>0</v>
      </c>
      <c r="AJ19" s="12">
        <f>Users!BC17*Tickets!R242</f>
        <v>0</v>
      </c>
      <c r="AK19" s="12">
        <f>Users!BD17*Tickets!S242</f>
        <v>0</v>
      </c>
      <c r="AL19" s="12">
        <f>Users!BE17*Tickets!T242</f>
        <v>0</v>
      </c>
      <c r="AM19" s="12">
        <f>Users!BF17*Tickets!U242</f>
        <v>0</v>
      </c>
      <c r="AN19" s="12">
        <f>Users!BG17*Tickets!V242</f>
        <v>0</v>
      </c>
      <c r="AO19" s="12">
        <f>Users!BH17*Tickets!W242</f>
        <v>0</v>
      </c>
      <c r="AP19" s="12">
        <f>Users!BI17*Tickets!X242</f>
        <v>0</v>
      </c>
      <c r="AQ19" s="12">
        <f>Users!BJ17*Tickets!Y242</f>
        <v>0</v>
      </c>
      <c r="AR19" s="12">
        <f>Users!BK17*Tickets!Z242</f>
        <v>0</v>
      </c>
      <c r="AS19" s="12">
        <f>Users!BL17*Tickets!AA242</f>
        <v>0</v>
      </c>
      <c r="AT19" s="12">
        <f>Users!BM17*Tickets!AB242</f>
        <v>0</v>
      </c>
      <c r="AU19" s="12">
        <f>Users!BN17*Tickets!AC242</f>
        <v>0</v>
      </c>
      <c r="AV19" s="12">
        <f>Users!BO17*Tickets!AD242</f>
        <v>0</v>
      </c>
      <c r="AW19" s="12">
        <f>Users!BP17*Tickets!AE242</f>
        <v>0</v>
      </c>
      <c r="AX19" s="12">
        <f>Users!BQ17*Tickets!AF242</f>
        <v>0</v>
      </c>
      <c r="AY19" s="12">
        <f>Users!BR17*Tickets!AG242</f>
        <v>0</v>
      </c>
      <c r="AZ19" s="12">
        <f>Users!BS17*Tickets!AH242</f>
        <v>0</v>
      </c>
      <c r="BA19" s="12">
        <f>Users!BT17*Tickets!AI242</f>
        <v>0</v>
      </c>
      <c r="BB19" s="12">
        <f>Users!BU17*Tickets!AJ242</f>
        <v>0</v>
      </c>
      <c r="BC19" s="12">
        <f>Users!BV17*Tickets!AK242</f>
        <v>0</v>
      </c>
      <c r="BD19" s="12">
        <f>Users!BW17*Tickets!AL242</f>
        <v>0</v>
      </c>
      <c r="BE19" s="12">
        <f>Users!BX17*Tickets!AM242</f>
        <v>0</v>
      </c>
      <c r="BF19" s="12">
        <f>Users!BY17*Tickets!AN242</f>
        <v>0</v>
      </c>
      <c r="BG19" s="12">
        <f>Users!BZ17*Tickets!AO242</f>
        <v>0</v>
      </c>
      <c r="BH19" s="12">
        <f>Users!CA17*Tickets!AP242</f>
        <v>0</v>
      </c>
      <c r="BI19" s="12">
        <f>Users!CB17*Tickets!AQ242</f>
        <v>0</v>
      </c>
      <c r="BJ19" s="12">
        <f>Users!CC17*Tickets!AR242</f>
        <v>0</v>
      </c>
      <c r="BK19" s="12">
        <f>Users!CD17*Tickets!AS242</f>
        <v>0</v>
      </c>
      <c r="BL19" s="12">
        <f>Users!CE17*Tickets!AT242</f>
        <v>0</v>
      </c>
      <c r="BM19" s="12">
        <f>Users!CF17*Tickets!AU242</f>
        <v>0</v>
      </c>
      <c r="BN19" s="12">
        <f>Users!CG17*Tickets!AV242</f>
        <v>0</v>
      </c>
      <c r="BO19" s="12">
        <f>Users!CH17*Tickets!AW242</f>
        <v>0</v>
      </c>
      <c r="BP19" s="12">
        <f>Users!CI17*Tickets!AX242</f>
        <v>0</v>
      </c>
      <c r="BQ19" s="12">
        <f>Users!CJ17*Tickets!AY242</f>
        <v>0</v>
      </c>
      <c r="BR19" s="12">
        <f>Users!CK17*Tickets!AZ242</f>
        <v>0</v>
      </c>
      <c r="BS19" s="12">
        <f>Users!CL17*Tickets!BA242</f>
        <v>0</v>
      </c>
      <c r="BT19" s="12">
        <f>Users!CM17*Tickets!BB242</f>
        <v>0</v>
      </c>
      <c r="BU19" s="12">
        <f>Users!CN17*Tickets!BC242</f>
        <v>0</v>
      </c>
      <c r="BV19" s="12">
        <f>Users!CO17*Tickets!BD242</f>
        <v>0</v>
      </c>
      <c r="BW19" s="12">
        <f>Users!CP17*Tickets!BE242</f>
        <v>0</v>
      </c>
      <c r="BX19" s="12">
        <f>Users!CQ17*Tickets!BF242</f>
        <v>0</v>
      </c>
      <c r="BY19" s="12">
        <f>Users!CR17*Tickets!BG242</f>
        <v>0</v>
      </c>
      <c r="BZ19" s="12">
        <f>Users!CS17*Tickets!BH242</f>
        <v>0</v>
      </c>
      <c r="CA19" s="12">
        <f>Users!CT17*Tickets!BI242</f>
        <v>0</v>
      </c>
      <c r="CB19" s="12">
        <f>Users!CU17*Tickets!BJ242</f>
        <v>0</v>
      </c>
      <c r="CC19" s="12">
        <f>Users!CV17*Tickets!BK242</f>
        <v>0</v>
      </c>
    </row>
    <row r="20" spans="1:8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O20" s="12"/>
      <c r="P20" s="12"/>
      <c r="Q20" s="12" t="s">
        <v>232</v>
      </c>
      <c r="R20" s="12"/>
      <c r="S20" s="12"/>
      <c r="U20" s="12">
        <f>Users!AN18*Tickets!C243</f>
        <v>392475.60311674769</v>
      </c>
      <c r="V20" s="12">
        <f>Users!AO18*Tickets!D243</f>
        <v>411314.43206635158</v>
      </c>
      <c r="W20" s="12">
        <f>Users!AP18*Tickets!E243</f>
        <v>424065.17946040857</v>
      </c>
      <c r="X20" s="12">
        <f>Users!AQ18*Tickets!F243</f>
        <v>435939.00448529987</v>
      </c>
      <c r="Y20" s="12">
        <f>Users!AR18*Tickets!G243</f>
        <v>447709.35760640301</v>
      </c>
      <c r="Z20" s="12">
        <f>Users!AS18*Tickets!H243</f>
        <v>462483.76640741428</v>
      </c>
      <c r="AA20" s="12">
        <f>Users!AT18*Tickets!I243</f>
        <v>479133.18199808116</v>
      </c>
      <c r="AB20" s="12">
        <f>Users!AU18*Tickets!J243</f>
        <v>497340.24291400821</v>
      </c>
      <c r="AC20" s="12">
        <f>Users!AV18*Tickets!K243</f>
        <v>516736.51238765457</v>
      </c>
      <c r="AD20" s="12">
        <f>Users!AW18*Tickets!L243</f>
        <v>536114.13160219148</v>
      </c>
      <c r="AE20" s="12">
        <f>Users!AX18*Tickets!M243</f>
        <v>555414.24033987022</v>
      </c>
      <c r="AF20" s="12">
        <f>Users!AY18*Tickets!N243</f>
        <v>574576.0316315958</v>
      </c>
      <c r="AG20" s="12">
        <f>Users!AZ18*Tickets!O243</f>
        <v>593537.04067543847</v>
      </c>
      <c r="AH20" s="12">
        <f>Users!BA18*Tickets!P243</f>
        <v>613123.76301772776</v>
      </c>
      <c r="AI20" s="12">
        <f>Users!BB18*Tickets!Q243</f>
        <v>633356.84719731286</v>
      </c>
      <c r="AJ20" s="12">
        <f>Users!BC18*Tickets!R243</f>
        <v>654257.62315482413</v>
      </c>
      <c r="AK20" s="12">
        <f>Users!BD18*Tickets!S243</f>
        <v>675848.12471893325</v>
      </c>
      <c r="AL20" s="12">
        <f>Users!BE18*Tickets!T243</f>
        <v>698151.11283465812</v>
      </c>
      <c r="AM20" s="12">
        <f>Users!BF18*Tickets!U243</f>
        <v>721190.09955820173</v>
      </c>
      <c r="AN20" s="12">
        <f>Users!BG18*Tickets!V243</f>
        <v>746431.75304273888</v>
      </c>
      <c r="AO20" s="12">
        <f>Users!BH18*Tickets!W243</f>
        <v>746431.75304273888</v>
      </c>
      <c r="AP20" s="12">
        <f>Users!BI18*Tickets!X243</f>
        <v>746431.75304273888</v>
      </c>
      <c r="AQ20" s="12">
        <f>Users!BJ18*Tickets!Y243</f>
        <v>746431.75304273888</v>
      </c>
      <c r="AR20" s="12">
        <f>Users!BK18*Tickets!Z243</f>
        <v>746431.75304273888</v>
      </c>
      <c r="AS20" s="12">
        <f>Users!BL18*Tickets!AA243</f>
        <v>746431.75304273888</v>
      </c>
      <c r="AT20" s="12">
        <f>Users!BM18*Tickets!AB243</f>
        <v>746431.75304273888</v>
      </c>
      <c r="AU20" s="12">
        <f>Users!BN18*Tickets!AC243</f>
        <v>746431.75304273888</v>
      </c>
      <c r="AV20" s="12">
        <f>Users!BO18*Tickets!AD243</f>
        <v>746431.75304273888</v>
      </c>
      <c r="AW20" s="12">
        <f>Users!BP18*Tickets!AE243</f>
        <v>746431.75304273888</v>
      </c>
      <c r="AX20" s="12">
        <f>Users!BQ18*Tickets!AF243</f>
        <v>746431.75304273888</v>
      </c>
      <c r="AY20" s="12">
        <f>Users!BR18*Tickets!AG243</f>
        <v>746431.75304273888</v>
      </c>
      <c r="AZ20" s="12">
        <f>Users!BS18*Tickets!AH243</f>
        <v>746431.75304273888</v>
      </c>
      <c r="BA20" s="12">
        <f>Users!BT18*Tickets!AI243</f>
        <v>746431.75304273888</v>
      </c>
      <c r="BB20" s="12">
        <f>Users!BU18*Tickets!AJ243</f>
        <v>746431.75304273888</v>
      </c>
      <c r="BC20" s="12">
        <f>Users!BV18*Tickets!AK243</f>
        <v>746431.75304273888</v>
      </c>
      <c r="BD20" s="12">
        <f>Users!BW18*Tickets!AL243</f>
        <v>746431.75304273888</v>
      </c>
      <c r="BE20" s="12">
        <f>Users!BX18*Tickets!AM243</f>
        <v>746431.75304273888</v>
      </c>
      <c r="BF20" s="12">
        <f>Users!BY18*Tickets!AN243</f>
        <v>746431.75304273888</v>
      </c>
      <c r="BG20" s="12">
        <f>Users!BZ18*Tickets!AO243</f>
        <v>746431.75304273888</v>
      </c>
      <c r="BH20" s="12">
        <f>Users!CA18*Tickets!AP243</f>
        <v>746431.75304273888</v>
      </c>
      <c r="BI20" s="12">
        <f>Users!CB18*Tickets!AQ243</f>
        <v>746431.75304273888</v>
      </c>
      <c r="BJ20" s="12">
        <f>Users!CC18*Tickets!AR243</f>
        <v>746431.75304273888</v>
      </c>
      <c r="BK20" s="12">
        <f>Users!CD18*Tickets!AS243</f>
        <v>746431.75304273888</v>
      </c>
      <c r="BL20" s="12">
        <f>Users!CE18*Tickets!AT243</f>
        <v>746431.75304273888</v>
      </c>
      <c r="BM20" s="12">
        <f>Users!CF18*Tickets!AU243</f>
        <v>746431.75304273888</v>
      </c>
      <c r="BN20" s="12">
        <f>Users!CG18*Tickets!AV243</f>
        <v>746431.75304273888</v>
      </c>
      <c r="BO20" s="12">
        <f>Users!CH18*Tickets!AW243</f>
        <v>746431.75304273888</v>
      </c>
      <c r="BP20" s="12">
        <f>Users!CI18*Tickets!AX243</f>
        <v>746431.75304273888</v>
      </c>
      <c r="BQ20" s="12">
        <f>Users!CJ18*Tickets!AY243</f>
        <v>746431.75304273888</v>
      </c>
      <c r="BR20" s="12">
        <f>Users!CK18*Tickets!AZ243</f>
        <v>746431.75304273888</v>
      </c>
      <c r="BS20" s="12">
        <f>Users!CL18*Tickets!BA243</f>
        <v>746431.75304273888</v>
      </c>
      <c r="BT20" s="12">
        <f>Users!CM18*Tickets!BB243</f>
        <v>746431.75304273888</v>
      </c>
      <c r="BU20" s="12">
        <f>Users!CN18*Tickets!BC243</f>
        <v>746431.75304273888</v>
      </c>
      <c r="BV20" s="12">
        <f>Users!CO18*Tickets!BD243</f>
        <v>746431.75304273888</v>
      </c>
      <c r="BW20" s="12">
        <f>Users!CP18*Tickets!BE243</f>
        <v>746431.75304273888</v>
      </c>
      <c r="BX20" s="12">
        <f>Users!CQ18*Tickets!BF243</f>
        <v>746431.75304273888</v>
      </c>
      <c r="BY20" s="12">
        <f>Users!CR18*Tickets!BG243</f>
        <v>746431.75304273888</v>
      </c>
      <c r="BZ20" s="12">
        <f>Users!CS18*Tickets!BH243</f>
        <v>746431.75304273888</v>
      </c>
      <c r="CA20" s="12">
        <f>Users!CT18*Tickets!BI243</f>
        <v>746431.75304273888</v>
      </c>
      <c r="CB20" s="12">
        <f>Users!CU18*Tickets!BJ243</f>
        <v>746431.75304273888</v>
      </c>
      <c r="CC20" s="12">
        <f>Users!CV18*Tickets!BK243</f>
        <v>746431.75304273888</v>
      </c>
    </row>
    <row r="21" spans="1:8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O21" s="12"/>
      <c r="P21" s="12"/>
      <c r="Q21" s="12" t="s">
        <v>233</v>
      </c>
      <c r="R21" s="12"/>
      <c r="S21" s="12"/>
      <c r="U21" s="12">
        <f>Users!AN19*Tickets!C244</f>
        <v>196048.2893046664</v>
      </c>
      <c r="V21" s="12">
        <f>Users!AO19*Tickets!D244</f>
        <v>205458.60719129039</v>
      </c>
      <c r="W21" s="12">
        <f>Users!AP19*Tickets!E244</f>
        <v>211827.82401422042</v>
      </c>
      <c r="X21" s="12">
        <f>Users!AQ19*Tickets!F244</f>
        <v>217759.00308661856</v>
      </c>
      <c r="Y21" s="12">
        <f>Users!AR19*Tickets!G244</f>
        <v>223638.49616995727</v>
      </c>
      <c r="Z21" s="12">
        <f>Users!AS19*Tickets!H244</f>
        <v>231018.56654356586</v>
      </c>
      <c r="AA21" s="12">
        <f>Users!AT19*Tickets!I244</f>
        <v>239335.23493913416</v>
      </c>
      <c r="AB21" s="12">
        <f>Users!AU19*Tickets!J244</f>
        <v>248429.97386682124</v>
      </c>
      <c r="AC21" s="12">
        <f>Users!AV19*Tickets!K244</f>
        <v>258118.74284762729</v>
      </c>
      <c r="AD21" s="12">
        <f>Users!AW19*Tickets!L244</f>
        <v>267798.19570441329</v>
      </c>
      <c r="AE21" s="12">
        <f>Users!AX19*Tickets!M244</f>
        <v>277438.93074977206</v>
      </c>
      <c r="AF21" s="12">
        <f>Users!AY19*Tickets!N244</f>
        <v>287010.57386063924</v>
      </c>
      <c r="AG21" s="12">
        <f>Users!AZ19*Tickets!O244</f>
        <v>296481.92279804026</v>
      </c>
      <c r="AH21" s="12">
        <f>Users!BA19*Tickets!P244</f>
        <v>306265.8262503756</v>
      </c>
      <c r="AI21" s="12">
        <f>Users!BB19*Tickets!Q244</f>
        <v>316372.59851663798</v>
      </c>
      <c r="AJ21" s="12">
        <f>Users!BC19*Tickets!R244</f>
        <v>326812.89426768699</v>
      </c>
      <c r="AK21" s="12">
        <f>Users!BD19*Tickets!S244</f>
        <v>337597.71977852064</v>
      </c>
      <c r="AL21" s="12">
        <f>Users!BE19*Tickets!T244</f>
        <v>348738.4445312118</v>
      </c>
      <c r="AM21" s="12">
        <f>Users!BF19*Tickets!U244</f>
        <v>360246.81320074177</v>
      </c>
      <c r="AN21" s="12">
        <f>Users!BG19*Tickets!V244</f>
        <v>372855.45166276779</v>
      </c>
      <c r="AO21" s="12">
        <f>Users!BH19*Tickets!W244</f>
        <v>372855.45166276779</v>
      </c>
      <c r="AP21" s="12">
        <f>Users!BI19*Tickets!X244</f>
        <v>372855.45166276779</v>
      </c>
      <c r="AQ21" s="12">
        <f>Users!BJ19*Tickets!Y244</f>
        <v>372855.45166276779</v>
      </c>
      <c r="AR21" s="12">
        <f>Users!BK19*Tickets!Z244</f>
        <v>372855.45166276779</v>
      </c>
      <c r="AS21" s="12">
        <f>Users!BL19*Tickets!AA244</f>
        <v>372855.45166276779</v>
      </c>
      <c r="AT21" s="12">
        <f>Users!BM19*Tickets!AB244</f>
        <v>372855.45166276779</v>
      </c>
      <c r="AU21" s="12">
        <f>Users!BN19*Tickets!AC244</f>
        <v>372855.45166276779</v>
      </c>
      <c r="AV21" s="12">
        <f>Users!BO19*Tickets!AD244</f>
        <v>372855.45166276779</v>
      </c>
      <c r="AW21" s="12">
        <f>Users!BP19*Tickets!AE244</f>
        <v>372855.45166276779</v>
      </c>
      <c r="AX21" s="12">
        <f>Users!BQ19*Tickets!AF244</f>
        <v>372855.45166276779</v>
      </c>
      <c r="AY21" s="12">
        <f>Users!BR19*Tickets!AG244</f>
        <v>372855.45166276779</v>
      </c>
      <c r="AZ21" s="12">
        <f>Users!BS19*Tickets!AH244</f>
        <v>372855.45166276779</v>
      </c>
      <c r="BA21" s="12">
        <f>Users!BT19*Tickets!AI244</f>
        <v>372855.45166276779</v>
      </c>
      <c r="BB21" s="12">
        <f>Users!BU19*Tickets!AJ244</f>
        <v>372855.45166276779</v>
      </c>
      <c r="BC21" s="12">
        <f>Users!BV19*Tickets!AK244</f>
        <v>372855.45166276779</v>
      </c>
      <c r="BD21" s="12">
        <f>Users!BW19*Tickets!AL244</f>
        <v>372855.45166276779</v>
      </c>
      <c r="BE21" s="12">
        <f>Users!BX19*Tickets!AM244</f>
        <v>372855.45166276779</v>
      </c>
      <c r="BF21" s="12">
        <f>Users!BY19*Tickets!AN244</f>
        <v>372855.45166276779</v>
      </c>
      <c r="BG21" s="12">
        <f>Users!BZ19*Tickets!AO244</f>
        <v>372855.45166276779</v>
      </c>
      <c r="BH21" s="12">
        <f>Users!CA19*Tickets!AP244</f>
        <v>372855.45166276779</v>
      </c>
      <c r="BI21" s="12">
        <f>Users!CB19*Tickets!AQ244</f>
        <v>372855.45166276779</v>
      </c>
      <c r="BJ21" s="12">
        <f>Users!CC19*Tickets!AR244</f>
        <v>372855.45166276779</v>
      </c>
      <c r="BK21" s="12">
        <f>Users!CD19*Tickets!AS244</f>
        <v>372855.45166276779</v>
      </c>
      <c r="BL21" s="12">
        <f>Users!CE19*Tickets!AT244</f>
        <v>372855.45166276779</v>
      </c>
      <c r="BM21" s="12">
        <f>Users!CF19*Tickets!AU244</f>
        <v>372855.45166276779</v>
      </c>
      <c r="BN21" s="12">
        <f>Users!CG19*Tickets!AV244</f>
        <v>372855.45166276779</v>
      </c>
      <c r="BO21" s="12">
        <f>Users!CH19*Tickets!AW244</f>
        <v>372855.45166276779</v>
      </c>
      <c r="BP21" s="12">
        <f>Users!CI19*Tickets!AX244</f>
        <v>372855.45166276779</v>
      </c>
      <c r="BQ21" s="12">
        <f>Users!CJ19*Tickets!AY244</f>
        <v>372855.45166276779</v>
      </c>
      <c r="BR21" s="12">
        <f>Users!CK19*Tickets!AZ244</f>
        <v>372855.45166276779</v>
      </c>
      <c r="BS21" s="12">
        <f>Users!CL19*Tickets!BA244</f>
        <v>372855.45166276779</v>
      </c>
      <c r="BT21" s="12">
        <f>Users!CM19*Tickets!BB244</f>
        <v>372855.45166276779</v>
      </c>
      <c r="BU21" s="12">
        <f>Users!CN19*Tickets!BC244</f>
        <v>372855.45166276779</v>
      </c>
      <c r="BV21" s="12">
        <f>Users!CO19*Tickets!BD244</f>
        <v>372855.45166276779</v>
      </c>
      <c r="BW21" s="12">
        <f>Users!CP19*Tickets!BE244</f>
        <v>372855.45166276779</v>
      </c>
      <c r="BX21" s="12">
        <f>Users!CQ19*Tickets!BF244</f>
        <v>372855.45166276779</v>
      </c>
      <c r="BY21" s="12">
        <f>Users!CR19*Tickets!BG244</f>
        <v>372855.45166276779</v>
      </c>
      <c r="BZ21" s="12">
        <f>Users!CS19*Tickets!BH244</f>
        <v>372855.45166276779</v>
      </c>
      <c r="CA21" s="12">
        <f>Users!CT19*Tickets!BI244</f>
        <v>372855.45166276779</v>
      </c>
      <c r="CB21" s="12">
        <f>Users!CU19*Tickets!BJ244</f>
        <v>372855.45166276779</v>
      </c>
      <c r="CC21" s="12">
        <f>Users!CV19*Tickets!BK244</f>
        <v>372855.45166276779</v>
      </c>
    </row>
    <row r="22" spans="1:81" s="12" customFormat="1">
      <c r="Q22" s="12" t="s">
        <v>234</v>
      </c>
      <c r="U22" s="12">
        <f>Users!AN20*Tickets!C245</f>
        <v>176634.26196235427</v>
      </c>
      <c r="V22" s="12">
        <f>Users!AO20*Tickets!D245</f>
        <v>185112.70653654728</v>
      </c>
      <c r="W22" s="12">
        <f>Users!AP20*Tickets!E245</f>
        <v>190851.20043918028</v>
      </c>
      <c r="X22" s="12">
        <f>Users!AQ20*Tickets!F245</f>
        <v>196195.03405147727</v>
      </c>
      <c r="Y22" s="12">
        <f>Users!AR20*Tickets!G245</f>
        <v>201492.2999708672</v>
      </c>
      <c r="Z22" s="12">
        <f>Users!AS20*Tickets!H245</f>
        <v>208141.54586990579</v>
      </c>
      <c r="AA22" s="12">
        <f>Users!AT20*Tickets!I245</f>
        <v>215634.64152122234</v>
      </c>
      <c r="AB22" s="12">
        <f>Users!AU20*Tickets!J245</f>
        <v>223828.75789902874</v>
      </c>
      <c r="AC22" s="12">
        <f>Users!AV20*Tickets!K245</f>
        <v>232558.07945709091</v>
      </c>
      <c r="AD22" s="12">
        <f>Users!AW20*Tickets!L245</f>
        <v>241279.00743673177</v>
      </c>
      <c r="AE22" s="12">
        <f>Users!AX20*Tickets!M245</f>
        <v>249965.05170445409</v>
      </c>
      <c r="AF22" s="12">
        <f>Users!AY20*Tickets!N245</f>
        <v>258588.84598825776</v>
      </c>
      <c r="AG22" s="12">
        <f>Users!AZ20*Tickets!O245</f>
        <v>267122.27790587023</v>
      </c>
      <c r="AH22" s="12">
        <f>Users!BA20*Tickets!P245</f>
        <v>275937.31307676394</v>
      </c>
      <c r="AI22" s="12">
        <f>Users!BB20*Tickets!Q245</f>
        <v>285043.24440829712</v>
      </c>
      <c r="AJ22" s="12">
        <f>Users!BC20*Tickets!R245</f>
        <v>294449.67147377093</v>
      </c>
      <c r="AK22" s="12">
        <f>Users!BD20*Tickets!S245</f>
        <v>304166.51063240535</v>
      </c>
      <c r="AL22" s="12">
        <f>Users!BE20*Tickets!T245</f>
        <v>314204.0054832747</v>
      </c>
      <c r="AM22" s="12">
        <f>Users!BF20*Tickets!U245</f>
        <v>324572.73766422266</v>
      </c>
      <c r="AN22" s="12">
        <f>Users!BG20*Tickets!V245</f>
        <v>335932.78348247055</v>
      </c>
      <c r="AO22" s="12">
        <f>Users!BH20*Tickets!W245</f>
        <v>335932.78348247055</v>
      </c>
      <c r="AP22" s="12">
        <f>Users!BI20*Tickets!X245</f>
        <v>335932.78348247055</v>
      </c>
      <c r="AQ22" s="12">
        <f>Users!BJ20*Tickets!Y245</f>
        <v>335932.78348247055</v>
      </c>
      <c r="AR22" s="12">
        <f>Users!BK20*Tickets!Z245</f>
        <v>335932.78348247055</v>
      </c>
      <c r="AS22" s="12">
        <f>Users!BL20*Tickets!AA245</f>
        <v>335932.78348247055</v>
      </c>
      <c r="AT22" s="12">
        <f>Users!BM20*Tickets!AB245</f>
        <v>335932.78348247055</v>
      </c>
      <c r="AU22" s="12">
        <f>Users!BN20*Tickets!AC245</f>
        <v>335932.78348247055</v>
      </c>
      <c r="AV22" s="12">
        <f>Users!BO20*Tickets!AD245</f>
        <v>335932.78348247055</v>
      </c>
      <c r="AW22" s="12">
        <f>Users!BP20*Tickets!AE245</f>
        <v>335932.78348247055</v>
      </c>
      <c r="AX22" s="12">
        <f>Users!BQ20*Tickets!AF245</f>
        <v>335932.78348247055</v>
      </c>
      <c r="AY22" s="12">
        <f>Users!BR20*Tickets!AG245</f>
        <v>335932.78348247055</v>
      </c>
      <c r="AZ22" s="12">
        <f>Users!BS20*Tickets!AH245</f>
        <v>335932.78348247055</v>
      </c>
      <c r="BA22" s="12">
        <f>Users!BT20*Tickets!AI245</f>
        <v>335932.78348247055</v>
      </c>
      <c r="BB22" s="12">
        <f>Users!BU20*Tickets!AJ245</f>
        <v>335932.78348247055</v>
      </c>
      <c r="BC22" s="12">
        <f>Users!BV20*Tickets!AK245</f>
        <v>335932.78348247055</v>
      </c>
      <c r="BD22" s="12">
        <f>Users!BW20*Tickets!AL245</f>
        <v>335932.78348247055</v>
      </c>
      <c r="BE22" s="12">
        <f>Users!BX20*Tickets!AM245</f>
        <v>335932.78348247055</v>
      </c>
      <c r="BF22" s="12">
        <f>Users!BY20*Tickets!AN245</f>
        <v>335932.78348247055</v>
      </c>
      <c r="BG22" s="12">
        <f>Users!BZ20*Tickets!AO245</f>
        <v>335932.78348247055</v>
      </c>
      <c r="BH22" s="12">
        <f>Users!CA20*Tickets!AP245</f>
        <v>335932.78348247055</v>
      </c>
      <c r="BI22" s="12">
        <f>Users!CB20*Tickets!AQ245</f>
        <v>335932.78348247055</v>
      </c>
      <c r="BJ22" s="12">
        <f>Users!CC20*Tickets!AR245</f>
        <v>335932.78348247055</v>
      </c>
      <c r="BK22" s="12">
        <f>Users!CD20*Tickets!AS245</f>
        <v>335932.78348247055</v>
      </c>
      <c r="BL22" s="12">
        <f>Users!CE20*Tickets!AT245</f>
        <v>335932.78348247055</v>
      </c>
      <c r="BM22" s="12">
        <f>Users!CF20*Tickets!AU245</f>
        <v>335932.78348247055</v>
      </c>
      <c r="BN22" s="12">
        <f>Users!CG20*Tickets!AV245</f>
        <v>335932.78348247055</v>
      </c>
      <c r="BO22" s="12">
        <f>Users!CH20*Tickets!AW245</f>
        <v>335932.78348247055</v>
      </c>
      <c r="BP22" s="12">
        <f>Users!CI20*Tickets!AX245</f>
        <v>335932.78348247055</v>
      </c>
      <c r="BQ22" s="12">
        <f>Users!CJ20*Tickets!AY245</f>
        <v>335932.78348247055</v>
      </c>
      <c r="BR22" s="12">
        <f>Users!CK20*Tickets!AZ245</f>
        <v>335932.78348247055</v>
      </c>
      <c r="BS22" s="12">
        <f>Users!CL20*Tickets!BA245</f>
        <v>335932.78348247055</v>
      </c>
      <c r="BT22" s="12">
        <f>Users!CM20*Tickets!BB245</f>
        <v>335932.78348247055</v>
      </c>
      <c r="BU22" s="12">
        <f>Users!CN20*Tickets!BC245</f>
        <v>335932.78348247055</v>
      </c>
      <c r="BV22" s="12">
        <f>Users!CO20*Tickets!BD245</f>
        <v>335932.78348247055</v>
      </c>
      <c r="BW22" s="12">
        <f>Users!CP20*Tickets!BE245</f>
        <v>335932.78348247055</v>
      </c>
      <c r="BX22" s="12">
        <f>Users!CQ20*Tickets!BF245</f>
        <v>335932.78348247055</v>
      </c>
      <c r="BY22" s="12">
        <f>Users!CR20*Tickets!BG245</f>
        <v>335932.78348247055</v>
      </c>
      <c r="BZ22" s="12">
        <f>Users!CS20*Tickets!BH245</f>
        <v>335932.78348247055</v>
      </c>
      <c r="CA22" s="12">
        <f>Users!CT20*Tickets!BI245</f>
        <v>335932.78348247055</v>
      </c>
      <c r="CB22" s="12">
        <f>Users!CU20*Tickets!BJ245</f>
        <v>335932.78348247055</v>
      </c>
      <c r="CC22" s="12">
        <f>Users!CV20*Tickets!BK245</f>
        <v>335932.78348247055</v>
      </c>
    </row>
    <row r="23" spans="1:81" s="12" customFormat="1">
      <c r="O23" s="12" t="s">
        <v>265</v>
      </c>
      <c r="Q23" s="12" t="s">
        <v>231</v>
      </c>
      <c r="U23" s="12">
        <f>Users!AN21*Tickets!C246</f>
        <v>335043.63622079918</v>
      </c>
      <c r="V23" s="12">
        <f>Users!AO21*Tickets!D246</f>
        <v>351125.73075939756</v>
      </c>
      <c r="W23" s="12">
        <f>Users!AP21*Tickets!E246</f>
        <v>362010.62841293891</v>
      </c>
      <c r="X23" s="12">
        <f>Users!AQ21*Tickets!F246</f>
        <v>372146.92600850115</v>
      </c>
      <c r="Y23" s="12">
        <f>Users!AR21*Tickets!G246</f>
        <v>382194.89301073074</v>
      </c>
      <c r="Z23" s="12">
        <f>Users!AS21*Tickets!H246</f>
        <v>394807.32448008488</v>
      </c>
      <c r="AA23" s="12">
        <f>Users!AT21*Tickets!I246</f>
        <v>409020.38816136785</v>
      </c>
      <c r="AB23" s="12">
        <f>Users!AU21*Tickets!J246</f>
        <v>424563.16291149979</v>
      </c>
      <c r="AC23" s="12">
        <f>Users!AV21*Tickets!K246</f>
        <v>441121.12626504834</v>
      </c>
      <c r="AD23" s="12">
        <f>Users!AW21*Tickets!L246</f>
        <v>457663.16849998757</v>
      </c>
      <c r="AE23" s="12">
        <f>Users!AX21*Tickets!M246</f>
        <v>474139.04256598704</v>
      </c>
      <c r="AF23" s="12">
        <f>Users!AY21*Tickets!N246</f>
        <v>490496.83953451359</v>
      </c>
      <c r="AG23" s="12">
        <f>Users!AZ21*Tickets!O246</f>
        <v>506683.23523915251</v>
      </c>
      <c r="AH23" s="12">
        <f>Users!BA21*Tickets!P246</f>
        <v>523403.78200204455</v>
      </c>
      <c r="AI23" s="12">
        <f>Users!BB21*Tickets!Q246</f>
        <v>540676.106808112</v>
      </c>
      <c r="AJ23" s="12">
        <f>Users!BC21*Tickets!R246</f>
        <v>558518.41833277955</v>
      </c>
      <c r="AK23" s="12">
        <f>Users!BD21*Tickets!S246</f>
        <v>576949.52613776119</v>
      </c>
      <c r="AL23" s="12">
        <f>Users!BE21*Tickets!T246</f>
        <v>595988.86050030729</v>
      </c>
      <c r="AM23" s="12">
        <f>Users!BF21*Tickets!U246</f>
        <v>615656.49289681739</v>
      </c>
      <c r="AN23" s="12">
        <f>Users!BG21*Tickets!V246</f>
        <v>637204.47014820599</v>
      </c>
      <c r="AO23" s="12">
        <f>Users!BH21*Tickets!W246</f>
        <v>637204.47014820599</v>
      </c>
      <c r="AP23" s="12">
        <f>Users!BI21*Tickets!X246</f>
        <v>637204.47014820599</v>
      </c>
      <c r="AQ23" s="12">
        <f>Users!BJ21*Tickets!Y246</f>
        <v>637204.47014820599</v>
      </c>
      <c r="AR23" s="12">
        <f>Users!BK21*Tickets!Z246</f>
        <v>637204.47014820599</v>
      </c>
      <c r="AS23" s="12">
        <f>Users!BL21*Tickets!AA246</f>
        <v>637204.47014820599</v>
      </c>
      <c r="AT23" s="12">
        <f>Users!BM21*Tickets!AB246</f>
        <v>637204.47014820599</v>
      </c>
      <c r="AU23" s="12">
        <f>Users!BN21*Tickets!AC246</f>
        <v>637204.47014820599</v>
      </c>
      <c r="AV23" s="12">
        <f>Users!BO21*Tickets!AD246</f>
        <v>637204.47014820599</v>
      </c>
      <c r="AW23" s="12">
        <f>Users!BP21*Tickets!AE246</f>
        <v>637204.47014820599</v>
      </c>
      <c r="AX23" s="12">
        <f>Users!BQ21*Tickets!AF246</f>
        <v>637204.47014820599</v>
      </c>
      <c r="AY23" s="12">
        <f>Users!BR21*Tickets!AG246</f>
        <v>637204.47014820599</v>
      </c>
      <c r="AZ23" s="12">
        <f>Users!BS21*Tickets!AH246</f>
        <v>637204.47014820599</v>
      </c>
      <c r="BA23" s="12">
        <f>Users!BT21*Tickets!AI246</f>
        <v>637204.47014820599</v>
      </c>
      <c r="BB23" s="12">
        <f>Users!BU21*Tickets!AJ246</f>
        <v>637204.47014820599</v>
      </c>
      <c r="BC23" s="12">
        <f>Users!BV21*Tickets!AK246</f>
        <v>637204.47014820599</v>
      </c>
      <c r="BD23" s="12">
        <f>Users!BW21*Tickets!AL246</f>
        <v>637204.47014820599</v>
      </c>
      <c r="BE23" s="12">
        <f>Users!BX21*Tickets!AM246</f>
        <v>637204.47014820599</v>
      </c>
      <c r="BF23" s="12">
        <f>Users!BY21*Tickets!AN246</f>
        <v>637204.47014820599</v>
      </c>
      <c r="BG23" s="12">
        <f>Users!BZ21*Tickets!AO246</f>
        <v>637204.47014820599</v>
      </c>
      <c r="BH23" s="12">
        <f>Users!CA21*Tickets!AP246</f>
        <v>637204.47014820599</v>
      </c>
      <c r="BI23" s="12">
        <f>Users!CB21*Tickets!AQ246</f>
        <v>637204.47014820599</v>
      </c>
      <c r="BJ23" s="12">
        <f>Users!CC21*Tickets!AR246</f>
        <v>637204.47014820599</v>
      </c>
      <c r="BK23" s="12">
        <f>Users!CD21*Tickets!AS246</f>
        <v>637204.47014820599</v>
      </c>
      <c r="BL23" s="12">
        <f>Users!CE21*Tickets!AT246</f>
        <v>637204.47014820599</v>
      </c>
      <c r="BM23" s="12">
        <f>Users!CF21*Tickets!AU246</f>
        <v>637204.47014820599</v>
      </c>
      <c r="BN23" s="12">
        <f>Users!CG21*Tickets!AV246</f>
        <v>637204.47014820599</v>
      </c>
      <c r="BO23" s="12">
        <f>Users!CH21*Tickets!AW246</f>
        <v>637204.47014820599</v>
      </c>
      <c r="BP23" s="12">
        <f>Users!CI21*Tickets!AX246</f>
        <v>637204.47014820599</v>
      </c>
      <c r="BQ23" s="12">
        <f>Users!CJ21*Tickets!AY246</f>
        <v>637204.47014820599</v>
      </c>
      <c r="BR23" s="12">
        <f>Users!CK21*Tickets!AZ246</f>
        <v>637204.47014820599</v>
      </c>
      <c r="BS23" s="12">
        <f>Users!CL21*Tickets!BA246</f>
        <v>637204.47014820599</v>
      </c>
      <c r="BT23" s="12">
        <f>Users!CM21*Tickets!BB246</f>
        <v>637204.47014820599</v>
      </c>
      <c r="BU23" s="12">
        <f>Users!CN21*Tickets!BC246</f>
        <v>637204.47014820599</v>
      </c>
      <c r="BV23" s="12">
        <f>Users!CO21*Tickets!BD246</f>
        <v>637204.47014820599</v>
      </c>
      <c r="BW23" s="12">
        <f>Users!CP21*Tickets!BE246</f>
        <v>637204.47014820599</v>
      </c>
      <c r="BX23" s="12">
        <f>Users!CQ21*Tickets!BF246</f>
        <v>637204.47014820599</v>
      </c>
      <c r="BY23" s="12">
        <f>Users!CR21*Tickets!BG246</f>
        <v>637204.47014820599</v>
      </c>
      <c r="BZ23" s="12">
        <f>Users!CS21*Tickets!BH246</f>
        <v>637204.47014820599</v>
      </c>
      <c r="CA23" s="12">
        <f>Users!CT21*Tickets!BI246</f>
        <v>637204.47014820599</v>
      </c>
      <c r="CB23" s="12">
        <f>Users!CU21*Tickets!BJ246</f>
        <v>637204.47014820599</v>
      </c>
      <c r="CC23" s="12">
        <f>Users!CV21*Tickets!BK246</f>
        <v>637204.47014820599</v>
      </c>
    </row>
    <row r="24" spans="1:81" s="12" customFormat="1">
      <c r="Q24" s="12" t="s">
        <v>232</v>
      </c>
      <c r="U24" s="12">
        <f>Users!AN22*Tickets!C247</f>
        <v>304033.80614863959</v>
      </c>
      <c r="V24" s="12">
        <f>Users!AO22*Tickets!D247</f>
        <v>318627.42884377425</v>
      </c>
      <c r="W24" s="12">
        <f>Users!AP22*Tickets!E247</f>
        <v>328504.87913793133</v>
      </c>
      <c r="X24" s="12">
        <f>Users!AQ22*Tickets!F247</f>
        <v>337703.0157537933</v>
      </c>
      <c r="Y24" s="12">
        <f>Users!AR22*Tickets!G247</f>
        <v>346820.99717914569</v>
      </c>
      <c r="Z24" s="12">
        <f>Users!AS22*Tickets!H247</f>
        <v>358266.09008605755</v>
      </c>
      <c r="AA24" s="12">
        <f>Users!AT22*Tickets!I247</f>
        <v>371163.66932915553</v>
      </c>
      <c r="AB24" s="12">
        <f>Users!AU22*Tickets!J247</f>
        <v>385267.88876366336</v>
      </c>
      <c r="AC24" s="12">
        <f>Users!AV22*Tickets!K247</f>
        <v>400293.33642544632</v>
      </c>
      <c r="AD24" s="12">
        <f>Users!AW22*Tickets!L247</f>
        <v>415304.33654140052</v>
      </c>
      <c r="AE24" s="12">
        <f>Users!AX22*Tickets!M247</f>
        <v>430255.29265689087</v>
      </c>
      <c r="AF24" s="12">
        <f>Users!AY22*Tickets!N247</f>
        <v>445099.1002535536</v>
      </c>
      <c r="AG24" s="12">
        <f>Users!AZ22*Tickets!O247</f>
        <v>459787.37056192086</v>
      </c>
      <c r="AH24" s="12">
        <f>Users!BA22*Tickets!P247</f>
        <v>474960.35379046423</v>
      </c>
      <c r="AI24" s="12">
        <f>Users!BB22*Tickets!Q247</f>
        <v>490634.04546554951</v>
      </c>
      <c r="AJ24" s="12">
        <f>Users!BC22*Tickets!R247</f>
        <v>506824.96896591265</v>
      </c>
      <c r="AK24" s="12">
        <f>Users!BD22*Tickets!S247</f>
        <v>523550.19294178777</v>
      </c>
      <c r="AL24" s="12">
        <f>Users!BE22*Tickets!T247</f>
        <v>540827.34930886677</v>
      </c>
      <c r="AM24" s="12">
        <f>Users!BF22*Tickets!U247</f>
        <v>558674.65183605929</v>
      </c>
      <c r="AN24" s="12">
        <f>Users!BG22*Tickets!V247</f>
        <v>578228.26465032145</v>
      </c>
      <c r="AO24" s="12">
        <f>Users!BH22*Tickets!W247</f>
        <v>578228.26465032145</v>
      </c>
      <c r="AP24" s="12">
        <f>Users!BI22*Tickets!X247</f>
        <v>578228.26465032145</v>
      </c>
      <c r="AQ24" s="12">
        <f>Users!BJ22*Tickets!Y247</f>
        <v>578228.26465032145</v>
      </c>
      <c r="AR24" s="12">
        <f>Users!BK22*Tickets!Z247</f>
        <v>578228.26465032145</v>
      </c>
      <c r="AS24" s="12">
        <f>Users!BL22*Tickets!AA247</f>
        <v>578228.26465032145</v>
      </c>
      <c r="AT24" s="12">
        <f>Users!BM22*Tickets!AB247</f>
        <v>578228.26465032145</v>
      </c>
      <c r="AU24" s="12">
        <f>Users!BN22*Tickets!AC247</f>
        <v>578228.26465032145</v>
      </c>
      <c r="AV24" s="12">
        <f>Users!BO22*Tickets!AD247</f>
        <v>578228.26465032145</v>
      </c>
      <c r="AW24" s="12">
        <f>Users!BP22*Tickets!AE247</f>
        <v>578228.26465032145</v>
      </c>
      <c r="AX24" s="12">
        <f>Users!BQ22*Tickets!AF247</f>
        <v>578228.26465032145</v>
      </c>
      <c r="AY24" s="12">
        <f>Users!BR22*Tickets!AG247</f>
        <v>578228.26465032145</v>
      </c>
      <c r="AZ24" s="12">
        <f>Users!BS22*Tickets!AH247</f>
        <v>578228.26465032145</v>
      </c>
      <c r="BA24" s="12">
        <f>Users!BT22*Tickets!AI247</f>
        <v>578228.26465032145</v>
      </c>
      <c r="BB24" s="12">
        <f>Users!BU22*Tickets!AJ247</f>
        <v>578228.26465032145</v>
      </c>
      <c r="BC24" s="12">
        <f>Users!BV22*Tickets!AK247</f>
        <v>578228.26465032145</v>
      </c>
      <c r="BD24" s="12">
        <f>Users!BW22*Tickets!AL247</f>
        <v>578228.26465032145</v>
      </c>
      <c r="BE24" s="12">
        <f>Users!BX22*Tickets!AM247</f>
        <v>578228.26465032145</v>
      </c>
      <c r="BF24" s="12">
        <f>Users!BY22*Tickets!AN247</f>
        <v>578228.26465032145</v>
      </c>
      <c r="BG24" s="12">
        <f>Users!BZ22*Tickets!AO247</f>
        <v>578228.26465032145</v>
      </c>
      <c r="BH24" s="12">
        <f>Users!CA22*Tickets!AP247</f>
        <v>578228.26465032145</v>
      </c>
      <c r="BI24" s="12">
        <f>Users!CB22*Tickets!AQ247</f>
        <v>578228.26465032145</v>
      </c>
      <c r="BJ24" s="12">
        <f>Users!CC22*Tickets!AR247</f>
        <v>578228.26465032145</v>
      </c>
      <c r="BK24" s="12">
        <f>Users!CD22*Tickets!AS247</f>
        <v>578228.26465032145</v>
      </c>
      <c r="BL24" s="12">
        <f>Users!CE22*Tickets!AT247</f>
        <v>578228.26465032145</v>
      </c>
      <c r="BM24" s="12">
        <f>Users!CF22*Tickets!AU247</f>
        <v>578228.26465032145</v>
      </c>
      <c r="BN24" s="12">
        <f>Users!CG22*Tickets!AV247</f>
        <v>578228.26465032145</v>
      </c>
      <c r="BO24" s="12">
        <f>Users!CH22*Tickets!AW247</f>
        <v>578228.26465032145</v>
      </c>
      <c r="BP24" s="12">
        <f>Users!CI22*Tickets!AX247</f>
        <v>578228.26465032145</v>
      </c>
      <c r="BQ24" s="12">
        <f>Users!CJ22*Tickets!AY247</f>
        <v>578228.26465032145</v>
      </c>
      <c r="BR24" s="12">
        <f>Users!CK22*Tickets!AZ247</f>
        <v>578228.26465032145</v>
      </c>
      <c r="BS24" s="12">
        <f>Users!CL22*Tickets!BA247</f>
        <v>578228.26465032145</v>
      </c>
      <c r="BT24" s="12">
        <f>Users!CM22*Tickets!BB247</f>
        <v>578228.26465032145</v>
      </c>
      <c r="BU24" s="12">
        <f>Users!CN22*Tickets!BC247</f>
        <v>578228.26465032145</v>
      </c>
      <c r="BV24" s="12">
        <f>Users!CO22*Tickets!BD247</f>
        <v>578228.26465032145</v>
      </c>
      <c r="BW24" s="12">
        <f>Users!CP22*Tickets!BE247</f>
        <v>578228.26465032145</v>
      </c>
      <c r="BX24" s="12">
        <f>Users!CQ22*Tickets!BF247</f>
        <v>578228.26465032145</v>
      </c>
      <c r="BY24" s="12">
        <f>Users!CR22*Tickets!BG247</f>
        <v>578228.26465032145</v>
      </c>
      <c r="BZ24" s="12">
        <f>Users!CS22*Tickets!BH247</f>
        <v>578228.26465032145</v>
      </c>
      <c r="CA24" s="12">
        <f>Users!CT22*Tickets!BI247</f>
        <v>578228.26465032145</v>
      </c>
      <c r="CB24" s="12">
        <f>Users!CU22*Tickets!BJ247</f>
        <v>578228.26465032145</v>
      </c>
      <c r="CC24" s="12">
        <f>Users!CV22*Tickets!BK247</f>
        <v>578228.26465032145</v>
      </c>
    </row>
    <row r="25" spans="1:8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O25" s="12"/>
      <c r="P25" s="12"/>
      <c r="Q25" s="12" t="s">
        <v>233</v>
      </c>
      <c r="R25" s="12"/>
      <c r="S25" s="12"/>
      <c r="U25" s="12">
        <f>Users!AN23*Tickets!C248</f>
        <v>173875.71611519757</v>
      </c>
      <c r="V25" s="12">
        <f>Users!AO23*Tickets!D248</f>
        <v>182221.75048872706</v>
      </c>
      <c r="W25" s="12">
        <f>Users!AP23*Tickets!E248</f>
        <v>187870.62475387767</v>
      </c>
      <c r="X25" s="12">
        <f>Users!AQ23*Tickets!F248</f>
        <v>193131.0022469862</v>
      </c>
      <c r="Y25" s="12">
        <f>Users!AR23*Tickets!G248</f>
        <v>198345.53930765486</v>
      </c>
      <c r="Z25" s="12">
        <f>Users!AS23*Tickets!H248</f>
        <v>204890.94210480744</v>
      </c>
      <c r="AA25" s="12">
        <f>Users!AT23*Tickets!I248</f>
        <v>212267.01602058049</v>
      </c>
      <c r="AB25" s="12">
        <f>Users!AU23*Tickets!J248</f>
        <v>220333.16262936252</v>
      </c>
      <c r="AC25" s="12">
        <f>Users!AV23*Tickets!K248</f>
        <v>228926.15597190769</v>
      </c>
      <c r="AD25" s="12">
        <f>Users!AW23*Tickets!L248</f>
        <v>237510.88682085421</v>
      </c>
      <c r="AE25" s="12">
        <f>Users!AX23*Tickets!M248</f>
        <v>246061.27874640492</v>
      </c>
      <c r="AF25" s="12">
        <f>Users!AY23*Tickets!N248</f>
        <v>254550.3928631559</v>
      </c>
      <c r="AG25" s="12">
        <f>Users!AZ23*Tickets!O248</f>
        <v>262950.55582764006</v>
      </c>
      <c r="AH25" s="12">
        <f>Users!BA23*Tickets!P248</f>
        <v>271627.92416995211</v>
      </c>
      <c r="AI25" s="12">
        <f>Users!BB23*Tickets!Q248</f>
        <v>280591.64566756057</v>
      </c>
      <c r="AJ25" s="12">
        <f>Users!BC23*Tickets!R248</f>
        <v>289851.16997459001</v>
      </c>
      <c r="AK25" s="12">
        <f>Users!BD23*Tickets!S248</f>
        <v>299416.25858375151</v>
      </c>
      <c r="AL25" s="12">
        <f>Users!BE23*Tickets!T248</f>
        <v>309296.99511701521</v>
      </c>
      <c r="AM25" s="12">
        <f>Users!BF23*Tickets!U248</f>
        <v>319503.7959558767</v>
      </c>
      <c r="AN25" s="12">
        <f>Users!BG23*Tickets!V248</f>
        <v>330686.42881433247</v>
      </c>
      <c r="AO25" s="12">
        <f>Users!BH23*Tickets!W248</f>
        <v>330686.42881433247</v>
      </c>
      <c r="AP25" s="12">
        <f>Users!BI23*Tickets!X248</f>
        <v>330686.42881433247</v>
      </c>
      <c r="AQ25" s="12">
        <f>Users!BJ23*Tickets!Y248</f>
        <v>330686.42881433247</v>
      </c>
      <c r="AR25" s="12">
        <f>Users!BK23*Tickets!Z248</f>
        <v>330686.42881433247</v>
      </c>
      <c r="AS25" s="12">
        <f>Users!BL23*Tickets!AA248</f>
        <v>330686.42881433247</v>
      </c>
      <c r="AT25" s="12">
        <f>Users!BM23*Tickets!AB248</f>
        <v>330686.42881433247</v>
      </c>
      <c r="AU25" s="12">
        <f>Users!BN23*Tickets!AC248</f>
        <v>330686.42881433247</v>
      </c>
      <c r="AV25" s="12">
        <f>Users!BO23*Tickets!AD248</f>
        <v>330686.42881433247</v>
      </c>
      <c r="AW25" s="12">
        <f>Users!BP23*Tickets!AE248</f>
        <v>330686.42881433247</v>
      </c>
      <c r="AX25" s="12">
        <f>Users!BQ23*Tickets!AF248</f>
        <v>330686.42881433247</v>
      </c>
      <c r="AY25" s="12">
        <f>Users!BR23*Tickets!AG248</f>
        <v>330686.42881433247</v>
      </c>
      <c r="AZ25" s="12">
        <f>Users!BS23*Tickets!AH248</f>
        <v>330686.42881433247</v>
      </c>
      <c r="BA25" s="12">
        <f>Users!BT23*Tickets!AI248</f>
        <v>330686.42881433247</v>
      </c>
      <c r="BB25" s="12">
        <f>Users!BU23*Tickets!AJ248</f>
        <v>330686.42881433247</v>
      </c>
      <c r="BC25" s="12">
        <f>Users!BV23*Tickets!AK248</f>
        <v>330686.42881433247</v>
      </c>
      <c r="BD25" s="12">
        <f>Users!BW23*Tickets!AL248</f>
        <v>330686.42881433247</v>
      </c>
      <c r="BE25" s="12">
        <f>Users!BX23*Tickets!AM248</f>
        <v>330686.42881433247</v>
      </c>
      <c r="BF25" s="12">
        <f>Users!BY23*Tickets!AN248</f>
        <v>330686.42881433247</v>
      </c>
      <c r="BG25" s="12">
        <f>Users!BZ23*Tickets!AO248</f>
        <v>330686.42881433247</v>
      </c>
      <c r="BH25" s="12">
        <f>Users!CA23*Tickets!AP248</f>
        <v>330686.42881433247</v>
      </c>
      <c r="BI25" s="12">
        <f>Users!CB23*Tickets!AQ248</f>
        <v>330686.42881433247</v>
      </c>
      <c r="BJ25" s="12">
        <f>Users!CC23*Tickets!AR248</f>
        <v>330686.42881433247</v>
      </c>
      <c r="BK25" s="12">
        <f>Users!CD23*Tickets!AS248</f>
        <v>330686.42881433247</v>
      </c>
      <c r="BL25" s="12">
        <f>Users!CE23*Tickets!AT248</f>
        <v>330686.42881433247</v>
      </c>
      <c r="BM25" s="12">
        <f>Users!CF23*Tickets!AU248</f>
        <v>330686.42881433247</v>
      </c>
      <c r="BN25" s="12">
        <f>Users!CG23*Tickets!AV248</f>
        <v>330686.42881433247</v>
      </c>
      <c r="BO25" s="12">
        <f>Users!CH23*Tickets!AW248</f>
        <v>330686.42881433247</v>
      </c>
      <c r="BP25" s="12">
        <f>Users!CI23*Tickets!AX248</f>
        <v>330686.42881433247</v>
      </c>
      <c r="BQ25" s="12">
        <f>Users!CJ23*Tickets!AY248</f>
        <v>330686.42881433247</v>
      </c>
      <c r="BR25" s="12">
        <f>Users!CK23*Tickets!AZ248</f>
        <v>330686.42881433247</v>
      </c>
      <c r="BS25" s="12">
        <f>Users!CL23*Tickets!BA248</f>
        <v>330686.42881433247</v>
      </c>
      <c r="BT25" s="12">
        <f>Users!CM23*Tickets!BB248</f>
        <v>330686.42881433247</v>
      </c>
      <c r="BU25" s="12">
        <f>Users!CN23*Tickets!BC248</f>
        <v>330686.42881433247</v>
      </c>
      <c r="BV25" s="12">
        <f>Users!CO23*Tickets!BD248</f>
        <v>330686.42881433247</v>
      </c>
      <c r="BW25" s="12">
        <f>Users!CP23*Tickets!BE248</f>
        <v>330686.42881433247</v>
      </c>
      <c r="BX25" s="12">
        <f>Users!CQ23*Tickets!BF248</f>
        <v>330686.42881433247</v>
      </c>
      <c r="BY25" s="12">
        <f>Users!CR23*Tickets!BG248</f>
        <v>330686.42881433247</v>
      </c>
      <c r="BZ25" s="12">
        <f>Users!CS23*Tickets!BH248</f>
        <v>330686.42881433247</v>
      </c>
      <c r="CA25" s="12">
        <f>Users!CT23*Tickets!BI248</f>
        <v>330686.42881433247</v>
      </c>
      <c r="CB25" s="12">
        <f>Users!CU23*Tickets!BJ248</f>
        <v>330686.42881433247</v>
      </c>
      <c r="CC25" s="12">
        <f>Users!CV23*Tickets!BK248</f>
        <v>330686.42881433247</v>
      </c>
    </row>
    <row r="26" spans="1:8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O26" s="12"/>
      <c r="P26" s="12"/>
      <c r="Q26" s="12" t="s">
        <v>234</v>
      </c>
      <c r="R26" s="12"/>
      <c r="S26" s="12"/>
      <c r="U26" s="12">
        <f>Users!AN24*Tickets!C249</f>
        <v>40048.131736526942</v>
      </c>
      <c r="V26" s="12">
        <f>Users!AO24*Tickets!D249</f>
        <v>41970.442059880246</v>
      </c>
      <c r="W26" s="12">
        <f>Users!AP24*Tickets!E249</f>
        <v>43271.525763736543</v>
      </c>
      <c r="X26" s="12">
        <f>Users!AQ24*Tickets!F249</f>
        <v>44483.12848512116</v>
      </c>
      <c r="Y26" s="12">
        <f>Users!AR24*Tickets!G249</f>
        <v>45684.172954219444</v>
      </c>
      <c r="Z26" s="12">
        <f>Users!AS24*Tickets!H249</f>
        <v>47191.750661708684</v>
      </c>
      <c r="AA26" s="12">
        <f>Users!AT24*Tickets!I249</f>
        <v>48890.653685530189</v>
      </c>
      <c r="AB26" s="12">
        <f>Users!AU24*Tickets!J249</f>
        <v>50748.498525580326</v>
      </c>
      <c r="AC26" s="12">
        <f>Users!AV24*Tickets!K249</f>
        <v>52727.689968077968</v>
      </c>
      <c r="AD26" s="12">
        <f>Users!AW24*Tickets!L249</f>
        <v>54704.978341880887</v>
      </c>
      <c r="AE26" s="12">
        <f>Users!AX24*Tickets!M249</f>
        <v>56674.35756218859</v>
      </c>
      <c r="AF26" s="12">
        <f>Users!AY24*Tickets!N249</f>
        <v>58629.622898084104</v>
      </c>
      <c r="AG26" s="12">
        <f>Users!AZ24*Tickets!O249</f>
        <v>60564.400453720875</v>
      </c>
      <c r="AH26" s="12">
        <f>Users!BA24*Tickets!P249</f>
        <v>62563.025668693663</v>
      </c>
      <c r="AI26" s="12">
        <f>Users!BB24*Tickets!Q249</f>
        <v>64627.605515760551</v>
      </c>
      <c r="AJ26" s="12">
        <f>Users!BC24*Tickets!R249</f>
        <v>66760.316497780645</v>
      </c>
      <c r="AK26" s="12">
        <f>Users!BD24*Tickets!S249</f>
        <v>68963.40694220741</v>
      </c>
      <c r="AL26" s="12">
        <f>Users!BE24*Tickets!T249</f>
        <v>71239.199371300245</v>
      </c>
      <c r="AM26" s="12">
        <f>Users!BF24*Tickets!U249</f>
        <v>73590.092950553168</v>
      </c>
      <c r="AN26" s="12">
        <f>Users!BG24*Tickets!V249</f>
        <v>76165.746203822535</v>
      </c>
      <c r="AO26" s="12">
        <f>Users!BH24*Tickets!W249</f>
        <v>76165.746203822535</v>
      </c>
      <c r="AP26" s="12">
        <f>Users!BI24*Tickets!X249</f>
        <v>76165.746203822535</v>
      </c>
      <c r="AQ26" s="12">
        <f>Users!BJ24*Tickets!Y249</f>
        <v>76165.746203822535</v>
      </c>
      <c r="AR26" s="12">
        <f>Users!BK24*Tickets!Z249</f>
        <v>76165.746203822535</v>
      </c>
      <c r="AS26" s="12">
        <f>Users!BL24*Tickets!AA249</f>
        <v>76165.746203822535</v>
      </c>
      <c r="AT26" s="12">
        <f>Users!BM24*Tickets!AB249</f>
        <v>76165.746203822535</v>
      </c>
      <c r="AU26" s="12">
        <f>Users!BN24*Tickets!AC249</f>
        <v>76165.746203822535</v>
      </c>
      <c r="AV26" s="12">
        <f>Users!BO24*Tickets!AD249</f>
        <v>76165.746203822535</v>
      </c>
      <c r="AW26" s="12">
        <f>Users!BP24*Tickets!AE249</f>
        <v>76165.746203822535</v>
      </c>
      <c r="AX26" s="12">
        <f>Users!BQ24*Tickets!AF249</f>
        <v>76165.746203822535</v>
      </c>
      <c r="AY26" s="12">
        <f>Users!BR24*Tickets!AG249</f>
        <v>76165.746203822535</v>
      </c>
      <c r="AZ26" s="12">
        <f>Users!BS24*Tickets!AH249</f>
        <v>76165.746203822535</v>
      </c>
      <c r="BA26" s="12">
        <f>Users!BT24*Tickets!AI249</f>
        <v>76165.746203822535</v>
      </c>
      <c r="BB26" s="12">
        <f>Users!BU24*Tickets!AJ249</f>
        <v>76165.746203822535</v>
      </c>
      <c r="BC26" s="12">
        <f>Users!BV24*Tickets!AK249</f>
        <v>76165.746203822535</v>
      </c>
      <c r="BD26" s="12">
        <f>Users!BW24*Tickets!AL249</f>
        <v>76165.746203822535</v>
      </c>
      <c r="BE26" s="12">
        <f>Users!BX24*Tickets!AM249</f>
        <v>76165.746203822535</v>
      </c>
      <c r="BF26" s="12">
        <f>Users!BY24*Tickets!AN249</f>
        <v>76165.746203822535</v>
      </c>
      <c r="BG26" s="12">
        <f>Users!BZ24*Tickets!AO249</f>
        <v>76165.746203822535</v>
      </c>
      <c r="BH26" s="12">
        <f>Users!CA24*Tickets!AP249</f>
        <v>76165.746203822535</v>
      </c>
      <c r="BI26" s="12">
        <f>Users!CB24*Tickets!AQ249</f>
        <v>76165.746203822535</v>
      </c>
      <c r="BJ26" s="12">
        <f>Users!CC24*Tickets!AR249</f>
        <v>76165.746203822535</v>
      </c>
      <c r="BK26" s="12">
        <f>Users!CD24*Tickets!AS249</f>
        <v>76165.746203822535</v>
      </c>
      <c r="BL26" s="12">
        <f>Users!CE24*Tickets!AT249</f>
        <v>76165.746203822535</v>
      </c>
      <c r="BM26" s="12">
        <f>Users!CF24*Tickets!AU249</f>
        <v>76165.746203822535</v>
      </c>
      <c r="BN26" s="12">
        <f>Users!CG24*Tickets!AV249</f>
        <v>76165.746203822535</v>
      </c>
      <c r="BO26" s="12">
        <f>Users!CH24*Tickets!AW249</f>
        <v>76165.746203822535</v>
      </c>
      <c r="BP26" s="12">
        <f>Users!CI24*Tickets!AX249</f>
        <v>76165.746203822535</v>
      </c>
      <c r="BQ26" s="12">
        <f>Users!CJ24*Tickets!AY249</f>
        <v>76165.746203822535</v>
      </c>
      <c r="BR26" s="12">
        <f>Users!CK24*Tickets!AZ249</f>
        <v>76165.746203822535</v>
      </c>
      <c r="BS26" s="12">
        <f>Users!CL24*Tickets!BA249</f>
        <v>76165.746203822535</v>
      </c>
      <c r="BT26" s="12">
        <f>Users!CM24*Tickets!BB249</f>
        <v>76165.746203822535</v>
      </c>
      <c r="BU26" s="12">
        <f>Users!CN24*Tickets!BC249</f>
        <v>76165.746203822535</v>
      </c>
      <c r="BV26" s="12">
        <f>Users!CO24*Tickets!BD249</f>
        <v>76165.746203822535</v>
      </c>
      <c r="BW26" s="12">
        <f>Users!CP24*Tickets!BE249</f>
        <v>76165.746203822535</v>
      </c>
      <c r="BX26" s="12">
        <f>Users!CQ24*Tickets!BF249</f>
        <v>76165.746203822535</v>
      </c>
      <c r="BY26" s="12">
        <f>Users!CR24*Tickets!BG249</f>
        <v>76165.746203822535</v>
      </c>
      <c r="BZ26" s="12">
        <f>Users!CS24*Tickets!BH249</f>
        <v>76165.746203822535</v>
      </c>
      <c r="CA26" s="12">
        <f>Users!CT24*Tickets!BI249</f>
        <v>76165.746203822535</v>
      </c>
      <c r="CB26" s="12">
        <f>Users!CU24*Tickets!BJ249</f>
        <v>76165.746203822535</v>
      </c>
      <c r="CC26" s="12">
        <f>Users!CV24*Tickets!BK249</f>
        <v>76165.746203822535</v>
      </c>
    </row>
    <row r="27" spans="1:8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Q27" s="12"/>
      <c r="R27" s="12"/>
      <c r="S27" s="12"/>
    </row>
    <row r="28" spans="1:8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Q28" s="12"/>
      <c r="R28" s="12"/>
      <c r="S28" s="12"/>
    </row>
    <row r="29" spans="1:8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Q29" s="12" t="s">
        <v>145</v>
      </c>
      <c r="R29" s="12"/>
      <c r="S29" s="12"/>
    </row>
    <row r="30" spans="1:8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O30" s="12"/>
      <c r="P30" s="12"/>
      <c r="Q30" s="12" t="s">
        <v>230</v>
      </c>
      <c r="R30" s="12"/>
      <c r="S30" s="12"/>
      <c r="U30">
        <f>Users!AN28*Tickets!C254</f>
        <v>20136255.473912269</v>
      </c>
      <c r="V30" s="12">
        <f>Users!AO28*Tickets!D254</f>
        <v>21102795.73666006</v>
      </c>
      <c r="W30" s="12">
        <f>Users!AP28*Tickets!E254</f>
        <v>21756982.404496521</v>
      </c>
      <c r="X30" s="12">
        <f>Users!AQ28*Tickets!F254</f>
        <v>22366177.91182242</v>
      </c>
      <c r="Y30" s="12">
        <f>Users!AR28*Tickets!G254</f>
        <v>22970064.715441629</v>
      </c>
      <c r="Z30" s="12">
        <f>Users!AS28*Tickets!H254</f>
        <v>23728076.8510512</v>
      </c>
      <c r="AA30" s="12">
        <f>Users!AT28*Tickets!I254</f>
        <v>24582287.617689036</v>
      </c>
      <c r="AB30" s="12">
        <f>Users!AU28*Tickets!J254</f>
        <v>25516414.547161214</v>
      </c>
      <c r="AC30" s="12">
        <f>Users!AV28*Tickets!K254</f>
        <v>26511554.714500505</v>
      </c>
      <c r="AD30" s="12">
        <f>Users!AW28*Tickets!L254</f>
        <v>27505738.016294274</v>
      </c>
      <c r="AE30" s="12">
        <f>Users!AX28*Tickets!M254</f>
        <v>28495944.584880866</v>
      </c>
      <c r="AF30" s="12">
        <f>Users!AY28*Tickets!N254</f>
        <v>29479054.673059255</v>
      </c>
      <c r="AG30" s="12">
        <f>Users!AZ28*Tickets!O254</f>
        <v>30451863.477270208</v>
      </c>
      <c r="AH30" s="12">
        <f>Users!BA28*Tickets!P254</f>
        <v>31456774.972020127</v>
      </c>
      <c r="AI30" s="12">
        <f>Users!BB28*Tickets!Q254</f>
        <v>32494848.546096791</v>
      </c>
      <c r="AJ30" s="12">
        <f>Users!BC28*Tickets!R254</f>
        <v>33567178.54811798</v>
      </c>
      <c r="AK30" s="12">
        <f>Users!BD28*Tickets!S254</f>
        <v>34674895.44020588</v>
      </c>
      <c r="AL30" s="12">
        <f>Users!BE28*Tickets!T254</f>
        <v>35819166.989732668</v>
      </c>
      <c r="AM30" s="12">
        <f>Users!BF28*Tickets!U254</f>
        <v>37001199.500393845</v>
      </c>
      <c r="AN30" s="12">
        <f>Users!BG28*Tickets!V254</f>
        <v>38296241.482907631</v>
      </c>
      <c r="AO30" s="12">
        <f>Users!BH28*Tickets!W254</f>
        <v>38296241.482907631</v>
      </c>
      <c r="AP30" s="12">
        <f>Users!BI28*Tickets!X254</f>
        <v>38296241.482907631</v>
      </c>
      <c r="AQ30" s="12">
        <f>Users!BJ28*Tickets!Y254</f>
        <v>38296241.482907631</v>
      </c>
      <c r="AR30" s="12">
        <f>Users!BK28*Tickets!Z254</f>
        <v>38296241.482907631</v>
      </c>
      <c r="AS30" s="12">
        <f>Users!BL28*Tickets!AA254</f>
        <v>38296241.482907631</v>
      </c>
      <c r="AT30" s="12">
        <f>Users!BM28*Tickets!AB254</f>
        <v>38296241.482907631</v>
      </c>
      <c r="AU30" s="12">
        <f>Users!BN28*Tickets!AC254</f>
        <v>38296241.482907631</v>
      </c>
      <c r="AV30" s="12">
        <f>Users!BO28*Tickets!AD254</f>
        <v>38296241.482907631</v>
      </c>
      <c r="AW30" s="12">
        <f>Users!BP28*Tickets!AE254</f>
        <v>38296241.482907631</v>
      </c>
      <c r="AX30" s="12">
        <f>Users!BQ28*Tickets!AF254</f>
        <v>38296241.482907631</v>
      </c>
      <c r="AY30" s="12">
        <f>Users!BR28*Tickets!AG254</f>
        <v>38296241.482907631</v>
      </c>
      <c r="AZ30" s="12">
        <f>Users!BS28*Tickets!AH254</f>
        <v>38296241.482907631</v>
      </c>
      <c r="BA30" s="12">
        <f>Users!BT28*Tickets!AI254</f>
        <v>38296241.482907631</v>
      </c>
      <c r="BB30" s="12">
        <f>Users!BU28*Tickets!AJ254</f>
        <v>38296241.482907631</v>
      </c>
      <c r="BC30" s="12">
        <f>Users!BV28*Tickets!AK254</f>
        <v>38296241.482907631</v>
      </c>
      <c r="BD30" s="12">
        <f>Users!BW28*Tickets!AL254</f>
        <v>38296241.482907631</v>
      </c>
      <c r="BE30" s="12">
        <f>Users!BX28*Tickets!AM254</f>
        <v>38296241.482907631</v>
      </c>
      <c r="BF30" s="12">
        <f>Users!BY28*Tickets!AN254</f>
        <v>38296241.482907631</v>
      </c>
      <c r="BG30" s="12">
        <f>Users!BZ28*Tickets!AO254</f>
        <v>38296241.482907631</v>
      </c>
      <c r="BH30" s="12">
        <f>Users!CA28*Tickets!AP254</f>
        <v>38296241.482907631</v>
      </c>
      <c r="BI30" s="12">
        <f>Users!CB28*Tickets!AQ254</f>
        <v>38296241.482907631</v>
      </c>
      <c r="BJ30" s="12">
        <f>Users!CC28*Tickets!AR254</f>
        <v>38296241.482907631</v>
      </c>
      <c r="BK30" s="12">
        <f>Users!CD28*Tickets!AS254</f>
        <v>38296241.482907631</v>
      </c>
      <c r="BL30" s="12">
        <f>Users!CE28*Tickets!AT254</f>
        <v>38296241.482907631</v>
      </c>
      <c r="BM30" s="12">
        <f>Users!CF28*Tickets!AU254</f>
        <v>38296241.482907631</v>
      </c>
      <c r="BN30" s="12">
        <f>Users!CG28*Tickets!AV254</f>
        <v>38296241.482907631</v>
      </c>
      <c r="BO30" s="12">
        <f>Users!CH28*Tickets!AW254</f>
        <v>38296241.482907631</v>
      </c>
      <c r="BP30" s="12">
        <f>Users!CI28*Tickets!AX254</f>
        <v>38296241.482907631</v>
      </c>
      <c r="BQ30" s="12">
        <f>Users!CJ28*Tickets!AY254</f>
        <v>38296241.482907631</v>
      </c>
      <c r="BR30" s="12">
        <f>Users!CK28*Tickets!AZ254</f>
        <v>38296241.482907631</v>
      </c>
      <c r="BS30" s="12">
        <f>Users!CL28*Tickets!BA254</f>
        <v>38296241.482907631</v>
      </c>
      <c r="BT30" s="12">
        <f>Users!CM28*Tickets!BB254</f>
        <v>38296241.482907631</v>
      </c>
      <c r="BU30" s="12">
        <f>Users!CN28*Tickets!BC254</f>
        <v>38296241.482907631</v>
      </c>
      <c r="BV30" s="12">
        <f>Users!CO28*Tickets!BD254</f>
        <v>38296241.482907631</v>
      </c>
      <c r="BW30" s="12">
        <f>Users!CP28*Tickets!BE254</f>
        <v>38296241.482907631</v>
      </c>
      <c r="BX30" s="12">
        <f>Users!CQ28*Tickets!BF254</f>
        <v>38296241.482907631</v>
      </c>
      <c r="BY30" s="12">
        <f>Users!CR28*Tickets!BG254</f>
        <v>38296241.482907631</v>
      </c>
      <c r="BZ30" s="12">
        <f>Users!CS28*Tickets!BH254</f>
        <v>38296241.482907631</v>
      </c>
      <c r="CA30" s="12">
        <f>Users!CT28*Tickets!BI254</f>
        <v>38296241.482907631</v>
      </c>
      <c r="CB30" s="12">
        <f>Users!CU28*Tickets!BJ254</f>
        <v>38296241.482907631</v>
      </c>
      <c r="CC30" s="12">
        <f>Users!CV28*Tickets!BK254</f>
        <v>38296241.482907631</v>
      </c>
    </row>
    <row r="31" spans="1:8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O31" s="12"/>
      <c r="P31" s="12"/>
      <c r="Q31" s="12" t="s">
        <v>231</v>
      </c>
      <c r="R31" s="12"/>
      <c r="S31" s="12"/>
      <c r="U31" s="12">
        <f>Users!AN29*Tickets!C255</f>
        <v>0</v>
      </c>
      <c r="V31" s="12">
        <f>Users!AO29*Tickets!D255</f>
        <v>0</v>
      </c>
      <c r="W31" s="12">
        <f>Users!AP29*Tickets!E255</f>
        <v>0</v>
      </c>
      <c r="X31" s="12">
        <f>Users!AQ29*Tickets!F255</f>
        <v>0</v>
      </c>
      <c r="Y31" s="12">
        <f>Users!AR29*Tickets!G255</f>
        <v>0</v>
      </c>
      <c r="Z31" s="12">
        <f>Users!AS29*Tickets!H255</f>
        <v>0</v>
      </c>
      <c r="AA31" s="12">
        <f>Users!AT29*Tickets!I255</f>
        <v>0</v>
      </c>
      <c r="AB31" s="12">
        <f>Users!AU29*Tickets!J255</f>
        <v>0</v>
      </c>
      <c r="AC31" s="12">
        <f>Users!AV29*Tickets!K255</f>
        <v>0</v>
      </c>
      <c r="AD31" s="12">
        <f>Users!AW29*Tickets!L255</f>
        <v>0</v>
      </c>
      <c r="AE31" s="12">
        <f>Users!AX29*Tickets!M255</f>
        <v>0</v>
      </c>
      <c r="AF31" s="12">
        <f>Users!AY29*Tickets!N255</f>
        <v>0</v>
      </c>
      <c r="AG31" s="12">
        <f>Users!AZ29*Tickets!O255</f>
        <v>0</v>
      </c>
      <c r="AH31" s="12">
        <f>Users!BA29*Tickets!P255</f>
        <v>0</v>
      </c>
      <c r="AI31" s="12">
        <f>Users!BB29*Tickets!Q255</f>
        <v>0</v>
      </c>
      <c r="AJ31" s="12">
        <f>Users!BC29*Tickets!R255</f>
        <v>0</v>
      </c>
      <c r="AK31" s="12">
        <f>Users!BD29*Tickets!S255</f>
        <v>0</v>
      </c>
      <c r="AL31" s="12">
        <f>Users!BE29*Tickets!T255</f>
        <v>0</v>
      </c>
      <c r="AM31" s="12">
        <f>Users!BF29*Tickets!U255</f>
        <v>0</v>
      </c>
      <c r="AN31" s="12">
        <f>Users!BG29*Tickets!V255</f>
        <v>0</v>
      </c>
      <c r="AO31" s="12">
        <f>Users!BH29*Tickets!W255</f>
        <v>0</v>
      </c>
      <c r="AP31" s="12">
        <f>Users!BI29*Tickets!X255</f>
        <v>0</v>
      </c>
      <c r="AQ31" s="12">
        <f>Users!BJ29*Tickets!Y255</f>
        <v>0</v>
      </c>
      <c r="AR31" s="12">
        <f>Users!BK29*Tickets!Z255</f>
        <v>0</v>
      </c>
      <c r="AS31" s="12">
        <f>Users!BL29*Tickets!AA255</f>
        <v>0</v>
      </c>
      <c r="AT31" s="12">
        <f>Users!BM29*Tickets!AB255</f>
        <v>0</v>
      </c>
      <c r="AU31" s="12">
        <f>Users!BN29*Tickets!AC255</f>
        <v>0</v>
      </c>
      <c r="AV31" s="12">
        <f>Users!BO29*Tickets!AD255</f>
        <v>0</v>
      </c>
      <c r="AW31" s="12">
        <f>Users!BP29*Tickets!AE255</f>
        <v>0</v>
      </c>
      <c r="AX31" s="12">
        <f>Users!BQ29*Tickets!AF255</f>
        <v>0</v>
      </c>
      <c r="AY31" s="12">
        <f>Users!BR29*Tickets!AG255</f>
        <v>0</v>
      </c>
      <c r="AZ31" s="12">
        <f>Users!BS29*Tickets!AH255</f>
        <v>0</v>
      </c>
      <c r="BA31" s="12">
        <f>Users!BT29*Tickets!AI255</f>
        <v>0</v>
      </c>
      <c r="BB31" s="12">
        <f>Users!BU29*Tickets!AJ255</f>
        <v>0</v>
      </c>
      <c r="BC31" s="12">
        <f>Users!BV29*Tickets!AK255</f>
        <v>0</v>
      </c>
      <c r="BD31" s="12">
        <f>Users!BW29*Tickets!AL255</f>
        <v>0</v>
      </c>
      <c r="BE31" s="12">
        <f>Users!BX29*Tickets!AM255</f>
        <v>0</v>
      </c>
      <c r="BF31" s="12">
        <f>Users!BY29*Tickets!AN255</f>
        <v>0</v>
      </c>
      <c r="BG31" s="12">
        <f>Users!BZ29*Tickets!AO255</f>
        <v>0</v>
      </c>
      <c r="BH31" s="12">
        <f>Users!CA29*Tickets!AP255</f>
        <v>0</v>
      </c>
      <c r="BI31" s="12">
        <f>Users!CB29*Tickets!AQ255</f>
        <v>0</v>
      </c>
      <c r="BJ31" s="12">
        <f>Users!CC29*Tickets!AR255</f>
        <v>0</v>
      </c>
      <c r="BK31" s="12">
        <f>Users!CD29*Tickets!AS255</f>
        <v>0</v>
      </c>
      <c r="BL31" s="12">
        <f>Users!CE29*Tickets!AT255</f>
        <v>0</v>
      </c>
      <c r="BM31" s="12">
        <f>Users!CF29*Tickets!AU255</f>
        <v>0</v>
      </c>
      <c r="BN31" s="12">
        <f>Users!CG29*Tickets!AV255</f>
        <v>0</v>
      </c>
      <c r="BO31" s="12">
        <f>Users!CH29*Tickets!AW255</f>
        <v>0</v>
      </c>
      <c r="BP31" s="12">
        <f>Users!CI29*Tickets!AX255</f>
        <v>0</v>
      </c>
      <c r="BQ31" s="12">
        <f>Users!CJ29*Tickets!AY255</f>
        <v>0</v>
      </c>
      <c r="BR31" s="12">
        <f>Users!CK29*Tickets!AZ255</f>
        <v>0</v>
      </c>
      <c r="BS31" s="12">
        <f>Users!CL29*Tickets!BA255</f>
        <v>0</v>
      </c>
      <c r="BT31" s="12">
        <f>Users!CM29*Tickets!BB255</f>
        <v>0</v>
      </c>
      <c r="BU31" s="12">
        <f>Users!CN29*Tickets!BC255</f>
        <v>0</v>
      </c>
      <c r="BV31" s="12">
        <f>Users!CO29*Tickets!BD255</f>
        <v>0</v>
      </c>
      <c r="BW31" s="12">
        <f>Users!CP29*Tickets!BE255</f>
        <v>0</v>
      </c>
      <c r="BX31" s="12">
        <f>Users!CQ29*Tickets!BF255</f>
        <v>0</v>
      </c>
      <c r="BY31" s="12">
        <f>Users!CR29*Tickets!BG255</f>
        <v>0</v>
      </c>
      <c r="BZ31" s="12">
        <f>Users!CS29*Tickets!BH255</f>
        <v>0</v>
      </c>
      <c r="CA31" s="12">
        <f>Users!CT29*Tickets!BI255</f>
        <v>0</v>
      </c>
      <c r="CB31" s="12">
        <f>Users!CU29*Tickets!BJ255</f>
        <v>0</v>
      </c>
      <c r="CC31" s="12">
        <f>Users!CV29*Tickets!BK255</f>
        <v>0</v>
      </c>
    </row>
    <row r="32" spans="1:81">
      <c r="A32" s="12"/>
      <c r="B32" s="12"/>
      <c r="C32" s="12"/>
      <c r="D32" s="12"/>
      <c r="E32" s="12"/>
      <c r="F32" s="17"/>
      <c r="G32" s="17"/>
      <c r="H32" s="17"/>
      <c r="I32" s="17"/>
      <c r="J32" s="17"/>
      <c r="K32" s="17"/>
      <c r="L32" s="12"/>
      <c r="O32" s="12"/>
      <c r="P32" s="12"/>
      <c r="Q32" s="12" t="s">
        <v>232</v>
      </c>
      <c r="R32" s="12"/>
      <c r="S32" s="12"/>
      <c r="U32" s="12">
        <f>Users!AN30*Tickets!C256</f>
        <v>392807.41326601384</v>
      </c>
      <c r="V32" s="12">
        <f>Users!AO30*Tickets!D256</f>
        <v>411662.1691027825</v>
      </c>
      <c r="W32" s="12">
        <f>Users!AP30*Tickets!E256</f>
        <v>424423.6963449688</v>
      </c>
      <c r="X32" s="12">
        <f>Users!AQ30*Tickets!F256</f>
        <v>436307.55984262784</v>
      </c>
      <c r="Y32" s="12">
        <f>Users!AR30*Tickets!G256</f>
        <v>448087.86395837879</v>
      </c>
      <c r="Z32" s="12">
        <f>Users!AS30*Tickets!H256</f>
        <v>462874.76346900524</v>
      </c>
      <c r="AA32" s="12">
        <f>Users!AT30*Tickets!I256</f>
        <v>479538.25495388929</v>
      </c>
      <c r="AB32" s="12">
        <f>Users!AU30*Tickets!J256</f>
        <v>497760.70864213706</v>
      </c>
      <c r="AC32" s="12">
        <f>Users!AV30*Tickets!K256</f>
        <v>517173.37627918052</v>
      </c>
      <c r="AD32" s="12">
        <f>Users!AW30*Tickets!L256</f>
        <v>536567.37788964971</v>
      </c>
      <c r="AE32" s="12">
        <f>Users!AX30*Tickets!M256</f>
        <v>555883.80349367706</v>
      </c>
      <c r="AF32" s="12">
        <f>Users!AY30*Tickets!N256</f>
        <v>575061.79471420893</v>
      </c>
      <c r="AG32" s="12">
        <f>Users!AZ30*Tickets!O256</f>
        <v>594038.83393977792</v>
      </c>
      <c r="AH32" s="12">
        <f>Users!BA30*Tickets!P256</f>
        <v>613642.11545979057</v>
      </c>
      <c r="AI32" s="12">
        <f>Users!BB30*Tickets!Q256</f>
        <v>633892.30526996369</v>
      </c>
      <c r="AJ32" s="12">
        <f>Users!BC30*Tickets!R256</f>
        <v>654810.7513438724</v>
      </c>
      <c r="AK32" s="12">
        <f>Users!BD30*Tickets!S256</f>
        <v>676419.5061382202</v>
      </c>
      <c r="AL32" s="12">
        <f>Users!BE30*Tickets!T256</f>
        <v>698741.34984078142</v>
      </c>
      <c r="AM32" s="12">
        <f>Users!BF30*Tickets!U256</f>
        <v>721799.81438552705</v>
      </c>
      <c r="AN32" s="12">
        <f>Users!BG30*Tickets!V256</f>
        <v>747062.80788902054</v>
      </c>
      <c r="AO32" s="12">
        <f>Users!BH30*Tickets!W256</f>
        <v>747062.80788902054</v>
      </c>
      <c r="AP32" s="12">
        <f>Users!BI30*Tickets!X256</f>
        <v>747062.80788902054</v>
      </c>
      <c r="AQ32" s="12">
        <f>Users!BJ30*Tickets!Y256</f>
        <v>747062.80788902054</v>
      </c>
      <c r="AR32" s="12">
        <f>Users!BK30*Tickets!Z256</f>
        <v>747062.80788902054</v>
      </c>
      <c r="AS32" s="12">
        <f>Users!BL30*Tickets!AA256</f>
        <v>747062.80788902054</v>
      </c>
      <c r="AT32" s="12">
        <f>Users!BM30*Tickets!AB256</f>
        <v>747062.80788902054</v>
      </c>
      <c r="AU32" s="12">
        <f>Users!BN30*Tickets!AC256</f>
        <v>747062.80788902054</v>
      </c>
      <c r="AV32" s="12">
        <f>Users!BO30*Tickets!AD256</f>
        <v>747062.80788902054</v>
      </c>
      <c r="AW32" s="12">
        <f>Users!BP30*Tickets!AE256</f>
        <v>747062.80788902054</v>
      </c>
      <c r="AX32" s="12">
        <f>Users!BQ30*Tickets!AF256</f>
        <v>747062.80788902054</v>
      </c>
      <c r="AY32" s="12">
        <f>Users!BR30*Tickets!AG256</f>
        <v>747062.80788902054</v>
      </c>
      <c r="AZ32" s="12">
        <f>Users!BS30*Tickets!AH256</f>
        <v>747062.80788902054</v>
      </c>
      <c r="BA32" s="12">
        <f>Users!BT30*Tickets!AI256</f>
        <v>747062.80788902054</v>
      </c>
      <c r="BB32" s="12">
        <f>Users!BU30*Tickets!AJ256</f>
        <v>747062.80788902054</v>
      </c>
      <c r="BC32" s="12">
        <f>Users!BV30*Tickets!AK256</f>
        <v>747062.80788902054</v>
      </c>
      <c r="BD32" s="12">
        <f>Users!BW30*Tickets!AL256</f>
        <v>747062.80788902054</v>
      </c>
      <c r="BE32" s="12">
        <f>Users!BX30*Tickets!AM256</f>
        <v>747062.80788902054</v>
      </c>
      <c r="BF32" s="12">
        <f>Users!BY30*Tickets!AN256</f>
        <v>747062.80788902054</v>
      </c>
      <c r="BG32" s="12">
        <f>Users!BZ30*Tickets!AO256</f>
        <v>747062.80788902054</v>
      </c>
      <c r="BH32" s="12">
        <f>Users!CA30*Tickets!AP256</f>
        <v>747062.80788902054</v>
      </c>
      <c r="BI32" s="12">
        <f>Users!CB30*Tickets!AQ256</f>
        <v>747062.80788902054</v>
      </c>
      <c r="BJ32" s="12">
        <f>Users!CC30*Tickets!AR256</f>
        <v>747062.80788902054</v>
      </c>
      <c r="BK32" s="12">
        <f>Users!CD30*Tickets!AS256</f>
        <v>747062.80788902054</v>
      </c>
      <c r="BL32" s="12">
        <f>Users!CE30*Tickets!AT256</f>
        <v>747062.80788902054</v>
      </c>
      <c r="BM32" s="12">
        <f>Users!CF30*Tickets!AU256</f>
        <v>747062.80788902054</v>
      </c>
      <c r="BN32" s="12">
        <f>Users!CG30*Tickets!AV256</f>
        <v>747062.80788902054</v>
      </c>
      <c r="BO32" s="12">
        <f>Users!CH30*Tickets!AW256</f>
        <v>747062.80788902054</v>
      </c>
      <c r="BP32" s="12">
        <f>Users!CI30*Tickets!AX256</f>
        <v>747062.80788902054</v>
      </c>
      <c r="BQ32" s="12">
        <f>Users!CJ30*Tickets!AY256</f>
        <v>747062.80788902054</v>
      </c>
      <c r="BR32" s="12">
        <f>Users!CK30*Tickets!AZ256</f>
        <v>747062.80788902054</v>
      </c>
      <c r="BS32" s="12">
        <f>Users!CL30*Tickets!BA256</f>
        <v>747062.80788902054</v>
      </c>
      <c r="BT32" s="12">
        <f>Users!CM30*Tickets!BB256</f>
        <v>747062.80788902054</v>
      </c>
      <c r="BU32" s="12">
        <f>Users!CN30*Tickets!BC256</f>
        <v>747062.80788902054</v>
      </c>
      <c r="BV32" s="12">
        <f>Users!CO30*Tickets!BD256</f>
        <v>747062.80788902054</v>
      </c>
      <c r="BW32" s="12">
        <f>Users!CP30*Tickets!BE256</f>
        <v>747062.80788902054</v>
      </c>
      <c r="BX32" s="12">
        <f>Users!CQ30*Tickets!BF256</f>
        <v>747062.80788902054</v>
      </c>
      <c r="BY32" s="12">
        <f>Users!CR30*Tickets!BG256</f>
        <v>747062.80788902054</v>
      </c>
      <c r="BZ32" s="12">
        <f>Users!CS30*Tickets!BH256</f>
        <v>747062.80788902054</v>
      </c>
      <c r="CA32" s="12">
        <f>Users!CT30*Tickets!BI256</f>
        <v>747062.80788902054</v>
      </c>
      <c r="CB32" s="12">
        <f>Users!CU30*Tickets!BJ256</f>
        <v>747062.80788902054</v>
      </c>
      <c r="CC32" s="12">
        <f>Users!CV30*Tickets!BK256</f>
        <v>747062.80788902054</v>
      </c>
    </row>
    <row r="33" spans="1:8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O33" s="12"/>
      <c r="P33" s="12"/>
      <c r="Q33" s="12" t="s">
        <v>233</v>
      </c>
      <c r="R33" s="12"/>
      <c r="S33" s="12"/>
      <c r="U33" s="12">
        <f>Users!AN31*Tickets!C257</f>
        <v>2120452.5773037593</v>
      </c>
      <c r="V33" s="12">
        <f>Users!AO31*Tickets!D257</f>
        <v>2222234.30101434</v>
      </c>
      <c r="W33" s="12">
        <f>Users!AP31*Tickets!E257</f>
        <v>2291123.564345785</v>
      </c>
      <c r="X33" s="12">
        <f>Users!AQ31*Tickets!F257</f>
        <v>2355275.0241474668</v>
      </c>
      <c r="Y33" s="12">
        <f>Users!AR31*Tickets!G257</f>
        <v>2418867.4497994487</v>
      </c>
      <c r="Z33" s="12">
        <f>Users!AS31*Tickets!H257</f>
        <v>2498690.0756428307</v>
      </c>
      <c r="AA33" s="12">
        <f>Users!AT31*Tickets!I257</f>
        <v>2588642.9183659717</v>
      </c>
      <c r="AB33" s="12">
        <f>Users!AU31*Tickets!J257</f>
        <v>2687011.3492638785</v>
      </c>
      <c r="AC33" s="12">
        <f>Users!AV31*Tickets!K257</f>
        <v>2791804.7918851702</v>
      </c>
      <c r="AD33" s="12">
        <f>Users!AW31*Tickets!L257</f>
        <v>2896497.4715808635</v>
      </c>
      <c r="AE33" s="12">
        <f>Users!AX31*Tickets!M257</f>
        <v>3000771.3805577746</v>
      </c>
      <c r="AF33" s="12">
        <f>Users!AY31*Tickets!N257</f>
        <v>3104297.9931870177</v>
      </c>
      <c r="AG33" s="12">
        <f>Users!AZ31*Tickets!O257</f>
        <v>3206739.8269621893</v>
      </c>
      <c r="AH33" s="12">
        <f>Users!BA31*Tickets!P257</f>
        <v>3312562.2412519408</v>
      </c>
      <c r="AI33" s="12">
        <f>Users!BB31*Tickets!Q257</f>
        <v>3421876.7952132542</v>
      </c>
      <c r="AJ33" s="12">
        <f>Users!BC31*Tickets!R257</f>
        <v>3534798.7294552913</v>
      </c>
      <c r="AK33" s="12">
        <f>Users!BD31*Tickets!S257</f>
        <v>3651447.0875273161</v>
      </c>
      <c r="AL33" s="12">
        <f>Users!BE31*Tickets!T257</f>
        <v>3771944.8414157173</v>
      </c>
      <c r="AM33" s="12">
        <f>Users!BF31*Tickets!U257</f>
        <v>3896419.021182436</v>
      </c>
      <c r="AN33" s="12">
        <f>Users!BG31*Tickets!V257</f>
        <v>4032793.6869238215</v>
      </c>
      <c r="AO33" s="12">
        <f>Users!BH31*Tickets!W257</f>
        <v>4032793.6869238215</v>
      </c>
      <c r="AP33" s="12">
        <f>Users!BI31*Tickets!X257</f>
        <v>4032793.6869238215</v>
      </c>
      <c r="AQ33" s="12">
        <f>Users!BJ31*Tickets!Y257</f>
        <v>4032793.6869238215</v>
      </c>
      <c r="AR33" s="12">
        <f>Users!BK31*Tickets!Z257</f>
        <v>4032793.6869238215</v>
      </c>
      <c r="AS33" s="12">
        <f>Users!BL31*Tickets!AA257</f>
        <v>4032793.6869238215</v>
      </c>
      <c r="AT33" s="12">
        <f>Users!BM31*Tickets!AB257</f>
        <v>4032793.6869238215</v>
      </c>
      <c r="AU33" s="12">
        <f>Users!BN31*Tickets!AC257</f>
        <v>4032793.6869238215</v>
      </c>
      <c r="AV33" s="12">
        <f>Users!BO31*Tickets!AD257</f>
        <v>4032793.6869238215</v>
      </c>
      <c r="AW33" s="12">
        <f>Users!BP31*Tickets!AE257</f>
        <v>4032793.6869238215</v>
      </c>
      <c r="AX33" s="12">
        <f>Users!BQ31*Tickets!AF257</f>
        <v>4032793.6869238215</v>
      </c>
      <c r="AY33" s="12">
        <f>Users!BR31*Tickets!AG257</f>
        <v>4032793.6869238215</v>
      </c>
      <c r="AZ33" s="12">
        <f>Users!BS31*Tickets!AH257</f>
        <v>4032793.6869238215</v>
      </c>
      <c r="BA33" s="12">
        <f>Users!BT31*Tickets!AI257</f>
        <v>4032793.6869238215</v>
      </c>
      <c r="BB33" s="12">
        <f>Users!BU31*Tickets!AJ257</f>
        <v>4032793.6869238215</v>
      </c>
      <c r="BC33" s="12">
        <f>Users!BV31*Tickets!AK257</f>
        <v>4032793.6869238215</v>
      </c>
      <c r="BD33" s="12">
        <f>Users!BW31*Tickets!AL257</f>
        <v>4032793.6869238215</v>
      </c>
      <c r="BE33" s="12">
        <f>Users!BX31*Tickets!AM257</f>
        <v>4032793.6869238215</v>
      </c>
      <c r="BF33" s="12">
        <f>Users!BY31*Tickets!AN257</f>
        <v>4032793.6869238215</v>
      </c>
      <c r="BG33" s="12">
        <f>Users!BZ31*Tickets!AO257</f>
        <v>4032793.6869238215</v>
      </c>
      <c r="BH33" s="12">
        <f>Users!CA31*Tickets!AP257</f>
        <v>4032793.6869238215</v>
      </c>
      <c r="BI33" s="12">
        <f>Users!CB31*Tickets!AQ257</f>
        <v>4032793.6869238215</v>
      </c>
      <c r="BJ33" s="12">
        <f>Users!CC31*Tickets!AR257</f>
        <v>4032793.6869238215</v>
      </c>
      <c r="BK33" s="12">
        <f>Users!CD31*Tickets!AS257</f>
        <v>4032793.6869238215</v>
      </c>
      <c r="BL33" s="12">
        <f>Users!CE31*Tickets!AT257</f>
        <v>4032793.6869238215</v>
      </c>
      <c r="BM33" s="12">
        <f>Users!CF31*Tickets!AU257</f>
        <v>4032793.6869238215</v>
      </c>
      <c r="BN33" s="12">
        <f>Users!CG31*Tickets!AV257</f>
        <v>4032793.6869238215</v>
      </c>
      <c r="BO33" s="12">
        <f>Users!CH31*Tickets!AW257</f>
        <v>4032793.6869238215</v>
      </c>
      <c r="BP33" s="12">
        <f>Users!CI31*Tickets!AX257</f>
        <v>4032793.6869238215</v>
      </c>
      <c r="BQ33" s="12">
        <f>Users!CJ31*Tickets!AY257</f>
        <v>4032793.6869238215</v>
      </c>
      <c r="BR33" s="12">
        <f>Users!CK31*Tickets!AZ257</f>
        <v>4032793.6869238215</v>
      </c>
      <c r="BS33" s="12">
        <f>Users!CL31*Tickets!BA257</f>
        <v>4032793.6869238215</v>
      </c>
      <c r="BT33" s="12">
        <f>Users!CM31*Tickets!BB257</f>
        <v>4032793.6869238215</v>
      </c>
      <c r="BU33" s="12">
        <f>Users!CN31*Tickets!BC257</f>
        <v>4032793.6869238215</v>
      </c>
      <c r="BV33" s="12">
        <f>Users!CO31*Tickets!BD257</f>
        <v>4032793.6869238215</v>
      </c>
      <c r="BW33" s="12">
        <f>Users!CP31*Tickets!BE257</f>
        <v>4032793.6869238215</v>
      </c>
      <c r="BX33" s="12">
        <f>Users!CQ31*Tickets!BF257</f>
        <v>4032793.6869238215</v>
      </c>
      <c r="BY33" s="12">
        <f>Users!CR31*Tickets!BG257</f>
        <v>4032793.6869238215</v>
      </c>
      <c r="BZ33" s="12">
        <f>Users!CS31*Tickets!BH257</f>
        <v>4032793.6869238215</v>
      </c>
      <c r="CA33" s="12">
        <f>Users!CT31*Tickets!BI257</f>
        <v>4032793.6869238215</v>
      </c>
      <c r="CB33" s="12">
        <f>Users!CU31*Tickets!BJ257</f>
        <v>4032793.6869238215</v>
      </c>
      <c r="CC33" s="12">
        <f>Users!CV31*Tickets!BK257</f>
        <v>4032793.6869238215</v>
      </c>
    </row>
    <row r="34" spans="1:81" s="12" customFormat="1">
      <c r="Q34" s="12" t="s">
        <v>234</v>
      </c>
      <c r="U34" s="12">
        <f>Users!AN32*Tickets!C258</f>
        <v>892578.43338188611</v>
      </c>
      <c r="V34" s="12">
        <f>Users!AO32*Tickets!D258</f>
        <v>935422.19818421663</v>
      </c>
      <c r="W34" s="12">
        <f>Users!AP32*Tickets!E258</f>
        <v>964420.28632792749</v>
      </c>
      <c r="X34" s="12">
        <f>Users!AQ32*Tickets!F258</f>
        <v>991424.05434510927</v>
      </c>
      <c r="Y34" s="12">
        <f>Users!AR32*Tickets!G258</f>
        <v>1018192.5038124273</v>
      </c>
      <c r="Z34" s="12">
        <f>Users!AS32*Tickets!H258</f>
        <v>1051792.8564382372</v>
      </c>
      <c r="AA34" s="12">
        <f>Users!AT32*Tickets!I258</f>
        <v>1089657.3992700137</v>
      </c>
      <c r="AB34" s="12">
        <f>Users!AU32*Tickets!J258</f>
        <v>1131064.3804422743</v>
      </c>
      <c r="AC34" s="12">
        <f>Users!AV32*Tickets!K258</f>
        <v>1175175.891279523</v>
      </c>
      <c r="AD34" s="12">
        <f>Users!AW32*Tickets!L258</f>
        <v>1219244.9872025051</v>
      </c>
      <c r="AE34" s="12">
        <f>Users!AX32*Tickets!M258</f>
        <v>1263137.806741795</v>
      </c>
      <c r="AF34" s="12">
        <f>Users!AY32*Tickets!N258</f>
        <v>1306716.0610743868</v>
      </c>
      <c r="AG34" s="12">
        <f>Users!AZ32*Tickets!O258</f>
        <v>1349837.6910898413</v>
      </c>
      <c r="AH34" s="12">
        <f>Users!BA32*Tickets!P258</f>
        <v>1394382.3348958059</v>
      </c>
      <c r="AI34" s="12">
        <f>Users!BB32*Tickets!Q258</f>
        <v>1440396.9519473675</v>
      </c>
      <c r="AJ34" s="12">
        <f>Users!BC32*Tickets!R258</f>
        <v>1487930.0513616304</v>
      </c>
      <c r="AK34" s="12">
        <f>Users!BD32*Tickets!S258</f>
        <v>1537031.7430565644</v>
      </c>
      <c r="AL34" s="12">
        <f>Users!BE32*Tickets!T258</f>
        <v>1587753.7905774307</v>
      </c>
      <c r="AM34" s="12">
        <f>Users!BF32*Tickets!U258</f>
        <v>1640149.6656664859</v>
      </c>
      <c r="AN34" s="12">
        <f>Users!BG32*Tickets!V258</f>
        <v>1697554.9039648129</v>
      </c>
      <c r="AO34" s="12">
        <f>Users!BH32*Tickets!W258</f>
        <v>1697554.9039648129</v>
      </c>
      <c r="AP34" s="12">
        <f>Users!BI32*Tickets!X258</f>
        <v>1697554.9039648129</v>
      </c>
      <c r="AQ34" s="12">
        <f>Users!BJ32*Tickets!Y258</f>
        <v>1697554.9039648129</v>
      </c>
      <c r="AR34" s="12">
        <f>Users!BK32*Tickets!Z258</f>
        <v>1697554.9039648129</v>
      </c>
      <c r="AS34" s="12">
        <f>Users!BL32*Tickets!AA258</f>
        <v>1697554.9039648129</v>
      </c>
      <c r="AT34" s="12">
        <f>Users!BM32*Tickets!AB258</f>
        <v>1697554.9039648129</v>
      </c>
      <c r="AU34" s="12">
        <f>Users!BN32*Tickets!AC258</f>
        <v>1697554.9039648129</v>
      </c>
      <c r="AV34" s="12">
        <f>Users!BO32*Tickets!AD258</f>
        <v>1697554.9039648129</v>
      </c>
      <c r="AW34" s="12">
        <f>Users!BP32*Tickets!AE258</f>
        <v>1697554.9039648129</v>
      </c>
      <c r="AX34" s="12">
        <f>Users!BQ32*Tickets!AF258</f>
        <v>1697554.9039648129</v>
      </c>
      <c r="AY34" s="12">
        <f>Users!BR32*Tickets!AG258</f>
        <v>1697554.9039648129</v>
      </c>
      <c r="AZ34" s="12">
        <f>Users!BS32*Tickets!AH258</f>
        <v>1697554.9039648129</v>
      </c>
      <c r="BA34" s="12">
        <f>Users!BT32*Tickets!AI258</f>
        <v>1697554.9039648129</v>
      </c>
      <c r="BB34" s="12">
        <f>Users!BU32*Tickets!AJ258</f>
        <v>1697554.9039648129</v>
      </c>
      <c r="BC34" s="12">
        <f>Users!BV32*Tickets!AK258</f>
        <v>1697554.9039648129</v>
      </c>
      <c r="BD34" s="12">
        <f>Users!BW32*Tickets!AL258</f>
        <v>1697554.9039648129</v>
      </c>
      <c r="BE34" s="12">
        <f>Users!BX32*Tickets!AM258</f>
        <v>1697554.9039648129</v>
      </c>
      <c r="BF34" s="12">
        <f>Users!BY32*Tickets!AN258</f>
        <v>1697554.9039648129</v>
      </c>
      <c r="BG34" s="12">
        <f>Users!BZ32*Tickets!AO258</f>
        <v>1697554.9039648129</v>
      </c>
      <c r="BH34" s="12">
        <f>Users!CA32*Tickets!AP258</f>
        <v>1697554.9039648129</v>
      </c>
      <c r="BI34" s="12">
        <f>Users!CB32*Tickets!AQ258</f>
        <v>1697554.9039648129</v>
      </c>
      <c r="BJ34" s="12">
        <f>Users!CC32*Tickets!AR258</f>
        <v>1697554.9039648129</v>
      </c>
      <c r="BK34" s="12">
        <f>Users!CD32*Tickets!AS258</f>
        <v>1697554.9039648129</v>
      </c>
      <c r="BL34" s="12">
        <f>Users!CE32*Tickets!AT258</f>
        <v>1697554.9039648129</v>
      </c>
      <c r="BM34" s="12">
        <f>Users!CF32*Tickets!AU258</f>
        <v>1697554.9039648129</v>
      </c>
      <c r="BN34" s="12">
        <f>Users!CG32*Tickets!AV258</f>
        <v>1697554.9039648129</v>
      </c>
      <c r="BO34" s="12">
        <f>Users!CH32*Tickets!AW258</f>
        <v>1697554.9039648129</v>
      </c>
      <c r="BP34" s="12">
        <f>Users!CI32*Tickets!AX258</f>
        <v>1697554.9039648129</v>
      </c>
      <c r="BQ34" s="12">
        <f>Users!CJ32*Tickets!AY258</f>
        <v>1697554.9039648129</v>
      </c>
      <c r="BR34" s="12">
        <f>Users!CK32*Tickets!AZ258</f>
        <v>1697554.9039648129</v>
      </c>
      <c r="BS34" s="12">
        <f>Users!CL32*Tickets!BA258</f>
        <v>1697554.9039648129</v>
      </c>
      <c r="BT34" s="12">
        <f>Users!CM32*Tickets!BB258</f>
        <v>1697554.9039648129</v>
      </c>
      <c r="BU34" s="12">
        <f>Users!CN32*Tickets!BC258</f>
        <v>1697554.9039648129</v>
      </c>
      <c r="BV34" s="12">
        <f>Users!CO32*Tickets!BD258</f>
        <v>1697554.9039648129</v>
      </c>
      <c r="BW34" s="12">
        <f>Users!CP32*Tickets!BE258</f>
        <v>1697554.9039648129</v>
      </c>
      <c r="BX34" s="12">
        <f>Users!CQ32*Tickets!BF258</f>
        <v>1697554.9039648129</v>
      </c>
      <c r="BY34" s="12">
        <f>Users!CR32*Tickets!BG258</f>
        <v>1697554.9039648129</v>
      </c>
      <c r="BZ34" s="12">
        <f>Users!CS32*Tickets!BH258</f>
        <v>1697554.9039648129</v>
      </c>
      <c r="CA34" s="12">
        <f>Users!CT32*Tickets!BI258</f>
        <v>1697554.9039648129</v>
      </c>
      <c r="CB34" s="12">
        <f>Users!CU32*Tickets!BJ258</f>
        <v>1697554.9039648129</v>
      </c>
      <c r="CC34" s="12">
        <f>Users!CV32*Tickets!BK258</f>
        <v>1697554.9039648129</v>
      </c>
    </row>
    <row r="35" spans="1:81" s="12" customFormat="1">
      <c r="O35" s="12" t="s">
        <v>265</v>
      </c>
      <c r="Q35" s="12" t="s">
        <v>231</v>
      </c>
      <c r="U35" s="12">
        <f>Users!AN33*Tickets!C259</f>
        <v>360742.2781489591</v>
      </c>
      <c r="V35" s="12">
        <f>Users!AO33*Tickets!D259</f>
        <v>378057.90750010917</v>
      </c>
      <c r="W35" s="12">
        <f>Users!AP33*Tickets!E259</f>
        <v>389777.70263261261</v>
      </c>
      <c r="X35" s="12">
        <f>Users!AQ33*Tickets!F259</f>
        <v>400691.47830632573</v>
      </c>
      <c r="Y35" s="12">
        <f>Users!AR33*Tickets!G259</f>
        <v>411510.14822059654</v>
      </c>
      <c r="Z35" s="12">
        <f>Users!AS33*Tickets!H259</f>
        <v>425089.98311187624</v>
      </c>
      <c r="AA35" s="12">
        <f>Users!AT33*Tickets!I259</f>
        <v>440393.22250390367</v>
      </c>
      <c r="AB35" s="12">
        <f>Users!AU33*Tickets!J259</f>
        <v>457128.16495905194</v>
      </c>
      <c r="AC35" s="12">
        <f>Users!AV33*Tickets!K259</f>
        <v>474956.16339245503</v>
      </c>
      <c r="AD35" s="12">
        <f>Users!AW33*Tickets!L259</f>
        <v>492767.01951967203</v>
      </c>
      <c r="AE35" s="12">
        <f>Users!AX33*Tickets!M259</f>
        <v>510506.63222238014</v>
      </c>
      <c r="AF35" s="12">
        <f>Users!AY33*Tickets!N259</f>
        <v>528119.11103405221</v>
      </c>
      <c r="AG35" s="12">
        <f>Users!AZ33*Tickets!O259</f>
        <v>545547.04169817595</v>
      </c>
      <c r="AH35" s="12">
        <f>Users!BA33*Tickets!P259</f>
        <v>563550.09407421562</v>
      </c>
      <c r="AI35" s="12">
        <f>Users!BB33*Tickets!Q259</f>
        <v>582147.24717866466</v>
      </c>
      <c r="AJ35" s="12">
        <f>Users!BC33*Tickets!R259</f>
        <v>601358.10633556067</v>
      </c>
      <c r="AK35" s="12">
        <f>Users!BD33*Tickets!S259</f>
        <v>621202.92384463409</v>
      </c>
      <c r="AL35" s="12">
        <f>Users!BE33*Tickets!T259</f>
        <v>641702.62033150694</v>
      </c>
      <c r="AM35" s="12">
        <f>Users!BF33*Tickets!U259</f>
        <v>662878.8068024466</v>
      </c>
      <c r="AN35" s="12">
        <f>Users!BG33*Tickets!V259</f>
        <v>686079.56504053227</v>
      </c>
      <c r="AO35" s="12">
        <f>Users!BH33*Tickets!W259</f>
        <v>686079.56504053227</v>
      </c>
      <c r="AP35" s="12">
        <f>Users!BI33*Tickets!X259</f>
        <v>686079.56504053227</v>
      </c>
      <c r="AQ35" s="12">
        <f>Users!BJ33*Tickets!Y259</f>
        <v>686079.56504053227</v>
      </c>
      <c r="AR35" s="12">
        <f>Users!BK33*Tickets!Z259</f>
        <v>686079.56504053227</v>
      </c>
      <c r="AS35" s="12">
        <f>Users!BL33*Tickets!AA259</f>
        <v>686079.56504053227</v>
      </c>
      <c r="AT35" s="12">
        <f>Users!BM33*Tickets!AB259</f>
        <v>686079.56504053227</v>
      </c>
      <c r="AU35" s="12">
        <f>Users!BN33*Tickets!AC259</f>
        <v>686079.56504053227</v>
      </c>
      <c r="AV35" s="12">
        <f>Users!BO33*Tickets!AD259</f>
        <v>686079.56504053227</v>
      </c>
      <c r="AW35" s="12">
        <f>Users!BP33*Tickets!AE259</f>
        <v>686079.56504053227</v>
      </c>
      <c r="AX35" s="12">
        <f>Users!BQ33*Tickets!AF259</f>
        <v>686079.56504053227</v>
      </c>
      <c r="AY35" s="12">
        <f>Users!BR33*Tickets!AG259</f>
        <v>686079.56504053227</v>
      </c>
      <c r="AZ35" s="12">
        <f>Users!BS33*Tickets!AH259</f>
        <v>686079.56504053227</v>
      </c>
      <c r="BA35" s="12">
        <f>Users!BT33*Tickets!AI259</f>
        <v>686079.56504053227</v>
      </c>
      <c r="BB35" s="12">
        <f>Users!BU33*Tickets!AJ259</f>
        <v>686079.56504053227</v>
      </c>
      <c r="BC35" s="12">
        <f>Users!BV33*Tickets!AK259</f>
        <v>686079.56504053227</v>
      </c>
      <c r="BD35" s="12">
        <f>Users!BW33*Tickets!AL259</f>
        <v>686079.56504053227</v>
      </c>
      <c r="BE35" s="12">
        <f>Users!BX33*Tickets!AM259</f>
        <v>686079.56504053227</v>
      </c>
      <c r="BF35" s="12">
        <f>Users!BY33*Tickets!AN259</f>
        <v>686079.56504053227</v>
      </c>
      <c r="BG35" s="12">
        <f>Users!BZ33*Tickets!AO259</f>
        <v>686079.56504053227</v>
      </c>
      <c r="BH35" s="12">
        <f>Users!CA33*Tickets!AP259</f>
        <v>686079.56504053227</v>
      </c>
      <c r="BI35" s="12">
        <f>Users!CB33*Tickets!AQ259</f>
        <v>686079.56504053227</v>
      </c>
      <c r="BJ35" s="12">
        <f>Users!CC33*Tickets!AR259</f>
        <v>686079.56504053227</v>
      </c>
      <c r="BK35" s="12">
        <f>Users!CD33*Tickets!AS259</f>
        <v>686079.56504053227</v>
      </c>
      <c r="BL35" s="12">
        <f>Users!CE33*Tickets!AT259</f>
        <v>686079.56504053227</v>
      </c>
      <c r="BM35" s="12">
        <f>Users!CF33*Tickets!AU259</f>
        <v>686079.56504053227</v>
      </c>
      <c r="BN35" s="12">
        <f>Users!CG33*Tickets!AV259</f>
        <v>686079.56504053227</v>
      </c>
      <c r="BO35" s="12">
        <f>Users!CH33*Tickets!AW259</f>
        <v>686079.56504053227</v>
      </c>
      <c r="BP35" s="12">
        <f>Users!CI33*Tickets!AX259</f>
        <v>686079.56504053227</v>
      </c>
      <c r="BQ35" s="12">
        <f>Users!CJ33*Tickets!AY259</f>
        <v>686079.56504053227</v>
      </c>
      <c r="BR35" s="12">
        <f>Users!CK33*Tickets!AZ259</f>
        <v>686079.56504053227</v>
      </c>
      <c r="BS35" s="12">
        <f>Users!CL33*Tickets!BA259</f>
        <v>686079.56504053227</v>
      </c>
      <c r="BT35" s="12">
        <f>Users!CM33*Tickets!BB259</f>
        <v>686079.56504053227</v>
      </c>
      <c r="BU35" s="12">
        <f>Users!CN33*Tickets!BC259</f>
        <v>686079.56504053227</v>
      </c>
      <c r="BV35" s="12">
        <f>Users!CO33*Tickets!BD259</f>
        <v>686079.56504053227</v>
      </c>
      <c r="BW35" s="12">
        <f>Users!CP33*Tickets!BE259</f>
        <v>686079.56504053227</v>
      </c>
      <c r="BX35" s="12">
        <f>Users!CQ33*Tickets!BF259</f>
        <v>686079.56504053227</v>
      </c>
      <c r="BY35" s="12">
        <f>Users!CR33*Tickets!BG259</f>
        <v>686079.56504053227</v>
      </c>
      <c r="BZ35" s="12">
        <f>Users!CS33*Tickets!BH259</f>
        <v>686079.56504053227</v>
      </c>
      <c r="CA35" s="12">
        <f>Users!CT33*Tickets!BI259</f>
        <v>686079.56504053227</v>
      </c>
      <c r="CB35" s="12">
        <f>Users!CU33*Tickets!BJ259</f>
        <v>686079.56504053227</v>
      </c>
      <c r="CC35" s="12">
        <f>Users!CV33*Tickets!BK259</f>
        <v>686079.56504053227</v>
      </c>
    </row>
    <row r="36" spans="1:81" s="12" customFormat="1">
      <c r="Q36" s="12" t="s">
        <v>232</v>
      </c>
      <c r="U36" s="12">
        <f>Users!AN34*Tickets!C260</f>
        <v>343279.2561122012</v>
      </c>
      <c r="V36" s="12">
        <f>Users!AO34*Tickets!D260</f>
        <v>359756.66040558694</v>
      </c>
      <c r="W36" s="12">
        <f>Users!AP34*Tickets!E260</f>
        <v>370909.11687816016</v>
      </c>
      <c r="X36" s="12">
        <f>Users!AQ34*Tickets!F260</f>
        <v>381294.57215074863</v>
      </c>
      <c r="Y36" s="12">
        <f>Users!AR34*Tickets!G260</f>
        <v>391589.52559881884</v>
      </c>
      <c r="Z36" s="12">
        <f>Users!AS34*Tickets!H260</f>
        <v>404511.97994357988</v>
      </c>
      <c r="AA36" s="12">
        <f>Users!AT34*Tickets!I260</f>
        <v>419074.41122154862</v>
      </c>
      <c r="AB36" s="12">
        <f>Users!AU34*Tickets!J260</f>
        <v>434999.23884796747</v>
      </c>
      <c r="AC36" s="12">
        <f>Users!AV34*Tickets!K260</f>
        <v>451964.20916303823</v>
      </c>
      <c r="AD36" s="12">
        <f>Users!AW34*Tickets!L260</f>
        <v>468912.86700665217</v>
      </c>
      <c r="AE36" s="12">
        <f>Users!AX34*Tickets!M260</f>
        <v>485793.73021889158</v>
      </c>
      <c r="AF36" s="12">
        <f>Users!AY34*Tickets!N260</f>
        <v>502553.61391144339</v>
      </c>
      <c r="AG36" s="12">
        <f>Users!AZ34*Tickets!O260</f>
        <v>519137.88317052094</v>
      </c>
      <c r="AH36" s="12">
        <f>Users!BA34*Tickets!P260</f>
        <v>536269.43331514811</v>
      </c>
      <c r="AI36" s="12">
        <f>Users!BB34*Tickets!Q260</f>
        <v>553966.32461454789</v>
      </c>
      <c r="AJ36" s="12">
        <f>Users!BC34*Tickets!R260</f>
        <v>572247.21332682797</v>
      </c>
      <c r="AK36" s="12">
        <f>Users!BD34*Tickets!S260</f>
        <v>591131.37136661331</v>
      </c>
      <c r="AL36" s="12">
        <f>Users!BE34*Tickets!T260</f>
        <v>610638.70662171149</v>
      </c>
      <c r="AM36" s="12">
        <f>Users!BF34*Tickets!U260</f>
        <v>630789.78394022782</v>
      </c>
      <c r="AN36" s="12">
        <f>Users!BG34*Tickets!V260</f>
        <v>652867.42637813604</v>
      </c>
      <c r="AO36" s="12">
        <f>Users!BH34*Tickets!W260</f>
        <v>652867.42637813604</v>
      </c>
      <c r="AP36" s="12">
        <f>Users!BI34*Tickets!X260</f>
        <v>652867.42637813604</v>
      </c>
      <c r="AQ36" s="12">
        <f>Users!BJ34*Tickets!Y260</f>
        <v>652867.42637813604</v>
      </c>
      <c r="AR36" s="12">
        <f>Users!BK34*Tickets!Z260</f>
        <v>652867.42637813604</v>
      </c>
      <c r="AS36" s="12">
        <f>Users!BL34*Tickets!AA260</f>
        <v>652867.42637813604</v>
      </c>
      <c r="AT36" s="12">
        <f>Users!BM34*Tickets!AB260</f>
        <v>652867.42637813604</v>
      </c>
      <c r="AU36" s="12">
        <f>Users!BN34*Tickets!AC260</f>
        <v>652867.42637813604</v>
      </c>
      <c r="AV36" s="12">
        <f>Users!BO34*Tickets!AD260</f>
        <v>652867.42637813604</v>
      </c>
      <c r="AW36" s="12">
        <f>Users!BP34*Tickets!AE260</f>
        <v>652867.42637813604</v>
      </c>
      <c r="AX36" s="12">
        <f>Users!BQ34*Tickets!AF260</f>
        <v>652867.42637813604</v>
      </c>
      <c r="AY36" s="12">
        <f>Users!BR34*Tickets!AG260</f>
        <v>652867.42637813604</v>
      </c>
      <c r="AZ36" s="12">
        <f>Users!BS34*Tickets!AH260</f>
        <v>652867.42637813604</v>
      </c>
      <c r="BA36" s="12">
        <f>Users!BT34*Tickets!AI260</f>
        <v>652867.42637813604</v>
      </c>
      <c r="BB36" s="12">
        <f>Users!BU34*Tickets!AJ260</f>
        <v>652867.42637813604</v>
      </c>
      <c r="BC36" s="12">
        <f>Users!BV34*Tickets!AK260</f>
        <v>652867.42637813604</v>
      </c>
      <c r="BD36" s="12">
        <f>Users!BW34*Tickets!AL260</f>
        <v>652867.42637813604</v>
      </c>
      <c r="BE36" s="12">
        <f>Users!BX34*Tickets!AM260</f>
        <v>652867.42637813604</v>
      </c>
      <c r="BF36" s="12">
        <f>Users!BY34*Tickets!AN260</f>
        <v>652867.42637813604</v>
      </c>
      <c r="BG36" s="12">
        <f>Users!BZ34*Tickets!AO260</f>
        <v>652867.42637813604</v>
      </c>
      <c r="BH36" s="12">
        <f>Users!CA34*Tickets!AP260</f>
        <v>652867.42637813604</v>
      </c>
      <c r="BI36" s="12">
        <f>Users!CB34*Tickets!AQ260</f>
        <v>652867.42637813604</v>
      </c>
      <c r="BJ36" s="12">
        <f>Users!CC34*Tickets!AR260</f>
        <v>652867.42637813604</v>
      </c>
      <c r="BK36" s="12">
        <f>Users!CD34*Tickets!AS260</f>
        <v>652867.42637813604</v>
      </c>
      <c r="BL36" s="12">
        <f>Users!CE34*Tickets!AT260</f>
        <v>652867.42637813604</v>
      </c>
      <c r="BM36" s="12">
        <f>Users!CF34*Tickets!AU260</f>
        <v>652867.42637813604</v>
      </c>
      <c r="BN36" s="12">
        <f>Users!CG34*Tickets!AV260</f>
        <v>652867.42637813604</v>
      </c>
      <c r="BO36" s="12">
        <f>Users!CH34*Tickets!AW260</f>
        <v>652867.42637813604</v>
      </c>
      <c r="BP36" s="12">
        <f>Users!CI34*Tickets!AX260</f>
        <v>652867.42637813604</v>
      </c>
      <c r="BQ36" s="12">
        <f>Users!CJ34*Tickets!AY260</f>
        <v>652867.42637813604</v>
      </c>
      <c r="BR36" s="12">
        <f>Users!CK34*Tickets!AZ260</f>
        <v>652867.42637813604</v>
      </c>
      <c r="BS36" s="12">
        <f>Users!CL34*Tickets!BA260</f>
        <v>652867.42637813604</v>
      </c>
      <c r="BT36" s="12">
        <f>Users!CM34*Tickets!BB260</f>
        <v>652867.42637813604</v>
      </c>
      <c r="BU36" s="12">
        <f>Users!CN34*Tickets!BC260</f>
        <v>652867.42637813604</v>
      </c>
      <c r="BV36" s="12">
        <f>Users!CO34*Tickets!BD260</f>
        <v>652867.42637813604</v>
      </c>
      <c r="BW36" s="12">
        <f>Users!CP34*Tickets!BE260</f>
        <v>652867.42637813604</v>
      </c>
      <c r="BX36" s="12">
        <f>Users!CQ34*Tickets!BF260</f>
        <v>652867.42637813604</v>
      </c>
      <c r="BY36" s="12">
        <f>Users!CR34*Tickets!BG260</f>
        <v>652867.42637813604</v>
      </c>
      <c r="BZ36" s="12">
        <f>Users!CS34*Tickets!BH260</f>
        <v>652867.42637813604</v>
      </c>
      <c r="CA36" s="12">
        <f>Users!CT34*Tickets!BI260</f>
        <v>652867.42637813604</v>
      </c>
      <c r="CB36" s="12">
        <f>Users!CU34*Tickets!BJ260</f>
        <v>652867.42637813604</v>
      </c>
      <c r="CC36" s="12">
        <f>Users!CV34*Tickets!BK260</f>
        <v>652867.42637813604</v>
      </c>
    </row>
    <row r="37" spans="1:81">
      <c r="A37" s="12"/>
      <c r="B37" s="12"/>
      <c r="C37" s="12"/>
      <c r="D37" s="12"/>
      <c r="E37" s="12"/>
      <c r="F37" s="17"/>
      <c r="G37" s="17"/>
      <c r="H37" s="17"/>
      <c r="I37" s="17"/>
      <c r="J37" s="17"/>
      <c r="K37" s="12"/>
      <c r="L37" s="12"/>
      <c r="O37" s="12"/>
      <c r="P37" s="12"/>
      <c r="Q37" s="12" t="s">
        <v>233</v>
      </c>
      <c r="R37" s="12"/>
      <c r="S37" s="12"/>
      <c r="U37" s="12">
        <f>Users!AN35*Tickets!C261</f>
        <v>1567032.706209105</v>
      </c>
      <c r="V37" s="12">
        <f>Users!AO35*Tickets!D261</f>
        <v>1642250.2761071422</v>
      </c>
      <c r="W37" s="12">
        <f>Users!AP35*Tickets!E261</f>
        <v>1693160.0346664637</v>
      </c>
      <c r="X37" s="12">
        <f>Users!AQ35*Tickets!F261</f>
        <v>1740568.5156371247</v>
      </c>
      <c r="Y37" s="12">
        <f>Users!AR35*Tickets!G261</f>
        <v>1787563.8655593272</v>
      </c>
      <c r="Z37" s="12">
        <f>Users!AS35*Tickets!H261</f>
        <v>1846553.4731227849</v>
      </c>
      <c r="AA37" s="12">
        <f>Users!AT35*Tickets!I261</f>
        <v>1913029.3981552045</v>
      </c>
      <c r="AB37" s="12">
        <f>Users!AU35*Tickets!J261</f>
        <v>1985724.515285102</v>
      </c>
      <c r="AC37" s="12">
        <f>Users!AV35*Tickets!K261</f>
        <v>2063167.7713812212</v>
      </c>
      <c r="AD37" s="12">
        <f>Users!AW35*Tickets!L261</f>
        <v>2140536.5628080168</v>
      </c>
      <c r="AE37" s="12">
        <f>Users!AX35*Tickets!M261</f>
        <v>2217595.8790691053</v>
      </c>
      <c r="AF37" s="12">
        <f>Users!AY35*Tickets!N261</f>
        <v>2294102.9368969896</v>
      </c>
      <c r="AG37" s="12">
        <f>Users!AZ35*Tickets!O261</f>
        <v>2369808.3338145902</v>
      </c>
      <c r="AH37" s="12">
        <f>Users!BA35*Tickets!P261</f>
        <v>2448012.008830471</v>
      </c>
      <c r="AI37" s="12">
        <f>Users!BB35*Tickets!Q261</f>
        <v>2528796.4051218769</v>
      </c>
      <c r="AJ37" s="12">
        <f>Users!BC35*Tickets!R261</f>
        <v>2612246.6864908985</v>
      </c>
      <c r="AK37" s="12">
        <f>Users!BD35*Tickets!S261</f>
        <v>2698450.8271450982</v>
      </c>
      <c r="AL37" s="12">
        <f>Users!BE35*Tickets!T261</f>
        <v>2787499.7044408866</v>
      </c>
      <c r="AM37" s="12">
        <f>Users!BF35*Tickets!U261</f>
        <v>2879487.1946874359</v>
      </c>
      <c r="AN37" s="12">
        <f>Users!BG35*Tickets!V261</f>
        <v>2980269.2465014961</v>
      </c>
      <c r="AO37" s="12">
        <f>Users!BH35*Tickets!W261</f>
        <v>2980269.2465014961</v>
      </c>
      <c r="AP37" s="12">
        <f>Users!BI35*Tickets!X261</f>
        <v>2980269.2465014961</v>
      </c>
      <c r="AQ37" s="12">
        <f>Users!BJ35*Tickets!Y261</f>
        <v>2980269.2465014961</v>
      </c>
      <c r="AR37" s="12">
        <f>Users!BK35*Tickets!Z261</f>
        <v>2980269.2465014961</v>
      </c>
      <c r="AS37" s="12">
        <f>Users!BL35*Tickets!AA261</f>
        <v>2980269.2465014961</v>
      </c>
      <c r="AT37" s="12">
        <f>Users!BM35*Tickets!AB261</f>
        <v>2980269.2465014961</v>
      </c>
      <c r="AU37" s="12">
        <f>Users!BN35*Tickets!AC261</f>
        <v>2980269.2465014961</v>
      </c>
      <c r="AV37" s="12">
        <f>Users!BO35*Tickets!AD261</f>
        <v>2980269.2465014961</v>
      </c>
      <c r="AW37" s="12">
        <f>Users!BP35*Tickets!AE261</f>
        <v>2980269.2465014961</v>
      </c>
      <c r="AX37" s="12">
        <f>Users!BQ35*Tickets!AF261</f>
        <v>2980269.2465014961</v>
      </c>
      <c r="AY37" s="12">
        <f>Users!BR35*Tickets!AG261</f>
        <v>2980269.2465014961</v>
      </c>
      <c r="AZ37" s="12">
        <f>Users!BS35*Tickets!AH261</f>
        <v>2980269.2465014961</v>
      </c>
      <c r="BA37" s="12">
        <f>Users!BT35*Tickets!AI261</f>
        <v>2980269.2465014961</v>
      </c>
      <c r="BB37" s="12">
        <f>Users!BU35*Tickets!AJ261</f>
        <v>2980269.2465014961</v>
      </c>
      <c r="BC37" s="12">
        <f>Users!BV35*Tickets!AK261</f>
        <v>2980269.2465014961</v>
      </c>
      <c r="BD37" s="12">
        <f>Users!BW35*Tickets!AL261</f>
        <v>2980269.2465014961</v>
      </c>
      <c r="BE37" s="12">
        <f>Users!BX35*Tickets!AM261</f>
        <v>2980269.2465014961</v>
      </c>
      <c r="BF37" s="12">
        <f>Users!BY35*Tickets!AN261</f>
        <v>2980269.2465014961</v>
      </c>
      <c r="BG37" s="12">
        <f>Users!BZ35*Tickets!AO261</f>
        <v>2980269.2465014961</v>
      </c>
      <c r="BH37" s="12">
        <f>Users!CA35*Tickets!AP261</f>
        <v>2980269.2465014961</v>
      </c>
      <c r="BI37" s="12">
        <f>Users!CB35*Tickets!AQ261</f>
        <v>2980269.2465014961</v>
      </c>
      <c r="BJ37" s="12">
        <f>Users!CC35*Tickets!AR261</f>
        <v>2980269.2465014961</v>
      </c>
      <c r="BK37" s="12">
        <f>Users!CD35*Tickets!AS261</f>
        <v>2980269.2465014961</v>
      </c>
      <c r="BL37" s="12">
        <f>Users!CE35*Tickets!AT261</f>
        <v>2980269.2465014961</v>
      </c>
      <c r="BM37" s="12">
        <f>Users!CF35*Tickets!AU261</f>
        <v>2980269.2465014961</v>
      </c>
      <c r="BN37" s="12">
        <f>Users!CG35*Tickets!AV261</f>
        <v>2980269.2465014961</v>
      </c>
      <c r="BO37" s="12">
        <f>Users!CH35*Tickets!AW261</f>
        <v>2980269.2465014961</v>
      </c>
      <c r="BP37" s="12">
        <f>Users!CI35*Tickets!AX261</f>
        <v>2980269.2465014961</v>
      </c>
      <c r="BQ37" s="12">
        <f>Users!CJ35*Tickets!AY261</f>
        <v>2980269.2465014961</v>
      </c>
      <c r="BR37" s="12">
        <f>Users!CK35*Tickets!AZ261</f>
        <v>2980269.2465014961</v>
      </c>
      <c r="BS37" s="12">
        <f>Users!CL35*Tickets!BA261</f>
        <v>2980269.2465014961</v>
      </c>
      <c r="BT37" s="12">
        <f>Users!CM35*Tickets!BB261</f>
        <v>2980269.2465014961</v>
      </c>
      <c r="BU37" s="12">
        <f>Users!CN35*Tickets!BC261</f>
        <v>2980269.2465014961</v>
      </c>
      <c r="BV37" s="12">
        <f>Users!CO35*Tickets!BD261</f>
        <v>2980269.2465014961</v>
      </c>
      <c r="BW37" s="12">
        <f>Users!CP35*Tickets!BE261</f>
        <v>2980269.2465014961</v>
      </c>
      <c r="BX37" s="12">
        <f>Users!CQ35*Tickets!BF261</f>
        <v>2980269.2465014961</v>
      </c>
      <c r="BY37" s="12">
        <f>Users!CR35*Tickets!BG261</f>
        <v>2980269.2465014961</v>
      </c>
      <c r="BZ37" s="12">
        <f>Users!CS35*Tickets!BH261</f>
        <v>2980269.2465014961</v>
      </c>
      <c r="CA37" s="12">
        <f>Users!CT35*Tickets!BI261</f>
        <v>2980269.2465014961</v>
      </c>
      <c r="CB37" s="12">
        <f>Users!CU35*Tickets!BJ261</f>
        <v>2980269.2465014961</v>
      </c>
      <c r="CC37" s="12">
        <f>Users!CV35*Tickets!BK261</f>
        <v>2980269.2465014961</v>
      </c>
    </row>
    <row r="38" spans="1:8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O38" s="12"/>
      <c r="P38" s="12"/>
      <c r="Q38" s="12" t="s">
        <v>234</v>
      </c>
      <c r="U38" s="12">
        <f>Users!AN36*Tickets!C262</f>
        <v>179851.90015238625</v>
      </c>
      <c r="V38" s="12">
        <f>Users!AO36*Tickets!D262</f>
        <v>188484.79135970079</v>
      </c>
      <c r="W38" s="12">
        <f>Users!AP36*Tickets!E262</f>
        <v>194327.81989185157</v>
      </c>
      <c r="X38" s="12">
        <f>Users!AQ36*Tickets!F262</f>
        <v>199768.99884882336</v>
      </c>
      <c r="Y38" s="12">
        <f>Users!AR36*Tickets!G262</f>
        <v>205162.76181774159</v>
      </c>
      <c r="Z38" s="12">
        <f>Users!AS36*Tickets!H262</f>
        <v>211933.13295772707</v>
      </c>
      <c r="AA38" s="12">
        <f>Users!AT36*Tickets!I262</f>
        <v>219562.72574420518</v>
      </c>
      <c r="AB38" s="12">
        <f>Users!AU36*Tickets!J262</f>
        <v>227906.10932248496</v>
      </c>
      <c r="AC38" s="12">
        <f>Users!AV36*Tickets!K262</f>
        <v>236794.44758606193</v>
      </c>
      <c r="AD38" s="12">
        <f>Users!AW36*Tickets!L262</f>
        <v>245674.23937053923</v>
      </c>
      <c r="AE38" s="12">
        <f>Users!AX36*Tickets!M262</f>
        <v>254518.51198787862</v>
      </c>
      <c r="AF38" s="12">
        <f>Users!AY36*Tickets!N262</f>
        <v>263299.40065146046</v>
      </c>
      <c r="AG38" s="12">
        <f>Users!AZ36*Tickets!O262</f>
        <v>271988.2808729586</v>
      </c>
      <c r="AH38" s="12">
        <f>Users!BA36*Tickets!P262</f>
        <v>280963.89414176624</v>
      </c>
      <c r="AI38" s="12">
        <f>Users!BB36*Tickets!Q262</f>
        <v>290235.70264844445</v>
      </c>
      <c r="AJ38" s="12">
        <f>Users!BC36*Tickets!R262</f>
        <v>299813.48083584307</v>
      </c>
      <c r="AK38" s="12">
        <f>Users!BD36*Tickets!S262</f>
        <v>309707.32570342591</v>
      </c>
      <c r="AL38" s="12">
        <f>Users!BE36*Tickets!T262</f>
        <v>319927.6674516389</v>
      </c>
      <c r="AM38" s="12">
        <f>Users!BF36*Tickets!U262</f>
        <v>330485.28047754295</v>
      </c>
      <c r="AN38" s="12">
        <f>Users!BG36*Tickets!V262</f>
        <v>342052.26529425703</v>
      </c>
      <c r="AO38" s="12">
        <f>Users!BH36*Tickets!W262</f>
        <v>342052.26529425703</v>
      </c>
      <c r="AP38" s="12">
        <f>Users!BI36*Tickets!X262</f>
        <v>342052.26529425703</v>
      </c>
      <c r="AQ38" s="12">
        <f>Users!BJ36*Tickets!Y262</f>
        <v>342052.26529425703</v>
      </c>
      <c r="AR38" s="12">
        <f>Users!BK36*Tickets!Z262</f>
        <v>342052.26529425703</v>
      </c>
      <c r="AS38" s="12">
        <f>Users!BL36*Tickets!AA262</f>
        <v>342052.26529425703</v>
      </c>
      <c r="AT38" s="12">
        <f>Users!BM36*Tickets!AB262</f>
        <v>342052.26529425703</v>
      </c>
      <c r="AU38" s="12">
        <f>Users!BN36*Tickets!AC262</f>
        <v>342052.26529425703</v>
      </c>
      <c r="AV38" s="12">
        <f>Users!BO36*Tickets!AD262</f>
        <v>342052.26529425703</v>
      </c>
      <c r="AW38" s="12">
        <f>Users!BP36*Tickets!AE262</f>
        <v>342052.26529425703</v>
      </c>
      <c r="AX38" s="12">
        <f>Users!BQ36*Tickets!AF262</f>
        <v>342052.26529425703</v>
      </c>
      <c r="AY38" s="12">
        <f>Users!BR36*Tickets!AG262</f>
        <v>342052.26529425703</v>
      </c>
      <c r="AZ38" s="12">
        <f>Users!BS36*Tickets!AH262</f>
        <v>342052.26529425703</v>
      </c>
      <c r="BA38" s="12">
        <f>Users!BT36*Tickets!AI262</f>
        <v>342052.26529425703</v>
      </c>
      <c r="BB38" s="12">
        <f>Users!BU36*Tickets!AJ262</f>
        <v>342052.26529425703</v>
      </c>
      <c r="BC38" s="12">
        <f>Users!BV36*Tickets!AK262</f>
        <v>342052.26529425703</v>
      </c>
      <c r="BD38" s="12">
        <f>Users!BW36*Tickets!AL262</f>
        <v>342052.26529425703</v>
      </c>
      <c r="BE38" s="12">
        <f>Users!BX36*Tickets!AM262</f>
        <v>342052.26529425703</v>
      </c>
      <c r="BF38" s="12">
        <f>Users!BY36*Tickets!AN262</f>
        <v>342052.26529425703</v>
      </c>
      <c r="BG38" s="12">
        <f>Users!BZ36*Tickets!AO262</f>
        <v>342052.26529425703</v>
      </c>
      <c r="BH38" s="12">
        <f>Users!CA36*Tickets!AP262</f>
        <v>342052.26529425703</v>
      </c>
      <c r="BI38" s="12">
        <f>Users!CB36*Tickets!AQ262</f>
        <v>342052.26529425703</v>
      </c>
      <c r="BJ38" s="12">
        <f>Users!CC36*Tickets!AR262</f>
        <v>342052.26529425703</v>
      </c>
      <c r="BK38" s="12">
        <f>Users!CD36*Tickets!AS262</f>
        <v>342052.26529425703</v>
      </c>
      <c r="BL38" s="12">
        <f>Users!CE36*Tickets!AT262</f>
        <v>342052.26529425703</v>
      </c>
      <c r="BM38" s="12">
        <f>Users!CF36*Tickets!AU262</f>
        <v>342052.26529425703</v>
      </c>
      <c r="BN38" s="12">
        <f>Users!CG36*Tickets!AV262</f>
        <v>342052.26529425703</v>
      </c>
      <c r="BO38" s="12">
        <f>Users!CH36*Tickets!AW262</f>
        <v>342052.26529425703</v>
      </c>
      <c r="BP38" s="12">
        <f>Users!CI36*Tickets!AX262</f>
        <v>342052.26529425703</v>
      </c>
      <c r="BQ38" s="12">
        <f>Users!CJ36*Tickets!AY262</f>
        <v>342052.26529425703</v>
      </c>
      <c r="BR38" s="12">
        <f>Users!CK36*Tickets!AZ262</f>
        <v>342052.26529425703</v>
      </c>
      <c r="BS38" s="12">
        <f>Users!CL36*Tickets!BA262</f>
        <v>342052.26529425703</v>
      </c>
      <c r="BT38" s="12">
        <f>Users!CM36*Tickets!BB262</f>
        <v>342052.26529425703</v>
      </c>
      <c r="BU38" s="12">
        <f>Users!CN36*Tickets!BC262</f>
        <v>342052.26529425703</v>
      </c>
      <c r="BV38" s="12">
        <f>Users!CO36*Tickets!BD262</f>
        <v>342052.26529425703</v>
      </c>
      <c r="BW38" s="12">
        <f>Users!CP36*Tickets!BE262</f>
        <v>342052.26529425703</v>
      </c>
      <c r="BX38" s="12">
        <f>Users!CQ36*Tickets!BF262</f>
        <v>342052.26529425703</v>
      </c>
      <c r="BY38" s="12">
        <f>Users!CR36*Tickets!BG262</f>
        <v>342052.26529425703</v>
      </c>
      <c r="BZ38" s="12">
        <f>Users!CS36*Tickets!BH262</f>
        <v>342052.26529425703</v>
      </c>
      <c r="CA38" s="12">
        <f>Users!CT36*Tickets!BI262</f>
        <v>342052.26529425703</v>
      </c>
      <c r="CB38" s="12">
        <f>Users!CU36*Tickets!BJ262</f>
        <v>342052.26529425703</v>
      </c>
      <c r="CC38" s="12">
        <f>Users!CV36*Tickets!BK262</f>
        <v>342052.26529425703</v>
      </c>
    </row>
    <row r="39" spans="1:8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8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Q40" t="s">
        <v>169</v>
      </c>
      <c r="U40">
        <f>SUM(U6:U38)</f>
        <v>38559139.507410675</v>
      </c>
      <c r="V40" s="12">
        <f t="shared" ref="V40:CC40" si="4">SUM(V6:V38)</f>
        <v>40409978.203766383</v>
      </c>
      <c r="W40" s="12">
        <f t="shared" si="4"/>
        <v>41662687.528083161</v>
      </c>
      <c r="X40" s="12">
        <f t="shared" si="4"/>
        <v>42829242.77886948</v>
      </c>
      <c r="Y40" s="12">
        <f t="shared" si="4"/>
        <v>43985632.333898947</v>
      </c>
      <c r="Z40" s="12">
        <f t="shared" si="4"/>
        <v>45437158.200917609</v>
      </c>
      <c r="AA40" s="12">
        <f t="shared" si="4"/>
        <v>47072895.896150634</v>
      </c>
      <c r="AB40" s="12">
        <f t="shared" si="4"/>
        <v>48861665.940204367</v>
      </c>
      <c r="AC40" s="12">
        <f t="shared" si="4"/>
        <v>50767270.911872335</v>
      </c>
      <c r="AD40" s="12">
        <f t="shared" si="4"/>
        <v>52671043.571067534</v>
      </c>
      <c r="AE40" s="12">
        <f t="shared" si="4"/>
        <v>54567201.139625974</v>
      </c>
      <c r="AF40" s="12">
        <f t="shared" si="4"/>
        <v>56449769.578943059</v>
      </c>
      <c r="AG40" s="12">
        <f t="shared" si="4"/>
        <v>58312611.975048177</v>
      </c>
      <c r="AH40" s="12">
        <f t="shared" si="4"/>
        <v>60236928.170224771</v>
      </c>
      <c r="AI40" s="12">
        <f t="shared" si="4"/>
        <v>62224746.799842194</v>
      </c>
      <c r="AJ40" s="12">
        <f t="shared" si="4"/>
        <v>64278163.444236971</v>
      </c>
      <c r="AK40" s="12">
        <f t="shared" si="4"/>
        <v>66399342.837896802</v>
      </c>
      <c r="AL40" s="12">
        <f t="shared" si="4"/>
        <v>68590521.151547387</v>
      </c>
      <c r="AM40" s="12">
        <f t="shared" si="4"/>
        <v>70854008.349548444</v>
      </c>
      <c r="AN40" s="12">
        <f t="shared" si="4"/>
        <v>73333898.641782641</v>
      </c>
      <c r="AO40" s="12">
        <f t="shared" si="4"/>
        <v>73333898.641782641</v>
      </c>
      <c r="AP40" s="12">
        <f t="shared" si="4"/>
        <v>73333898.641782641</v>
      </c>
      <c r="AQ40" s="12">
        <f t="shared" si="4"/>
        <v>73333898.641782641</v>
      </c>
      <c r="AR40" s="12">
        <f t="shared" si="4"/>
        <v>73333898.641782641</v>
      </c>
      <c r="AS40" s="12">
        <f t="shared" si="4"/>
        <v>73333898.641782641</v>
      </c>
      <c r="AT40" s="12">
        <f t="shared" si="4"/>
        <v>73333898.641782641</v>
      </c>
      <c r="AU40" s="12">
        <f t="shared" si="4"/>
        <v>73333898.641782641</v>
      </c>
      <c r="AV40" s="12">
        <f t="shared" si="4"/>
        <v>73333898.641782641</v>
      </c>
      <c r="AW40" s="12">
        <f t="shared" si="4"/>
        <v>73333898.641782641</v>
      </c>
      <c r="AX40" s="12">
        <f t="shared" si="4"/>
        <v>73333898.641782641</v>
      </c>
      <c r="AY40" s="12">
        <f t="shared" si="4"/>
        <v>73333898.641782641</v>
      </c>
      <c r="AZ40" s="12">
        <f t="shared" si="4"/>
        <v>73333898.641782641</v>
      </c>
      <c r="BA40" s="12">
        <f t="shared" si="4"/>
        <v>73333898.641782641</v>
      </c>
      <c r="BB40" s="12">
        <f t="shared" si="4"/>
        <v>73333898.641782641</v>
      </c>
      <c r="BC40" s="12">
        <f t="shared" si="4"/>
        <v>73333898.641782641</v>
      </c>
      <c r="BD40" s="12">
        <f t="shared" si="4"/>
        <v>73333898.641782641</v>
      </c>
      <c r="BE40" s="12">
        <f t="shared" si="4"/>
        <v>73333898.641782641</v>
      </c>
      <c r="BF40" s="12">
        <f t="shared" si="4"/>
        <v>73333898.641782641</v>
      </c>
      <c r="BG40" s="12">
        <f t="shared" si="4"/>
        <v>73333898.641782641</v>
      </c>
      <c r="BH40" s="12">
        <f t="shared" si="4"/>
        <v>73333898.641782641</v>
      </c>
      <c r="BI40" s="12">
        <f t="shared" si="4"/>
        <v>73333898.641782641</v>
      </c>
      <c r="BJ40" s="12">
        <f t="shared" si="4"/>
        <v>73333898.641782641</v>
      </c>
      <c r="BK40" s="12">
        <f t="shared" si="4"/>
        <v>73333898.641782641</v>
      </c>
      <c r="BL40" s="12">
        <f t="shared" si="4"/>
        <v>73333898.641782641</v>
      </c>
      <c r="BM40" s="12">
        <f t="shared" si="4"/>
        <v>73333898.641782641</v>
      </c>
      <c r="BN40" s="12">
        <f t="shared" si="4"/>
        <v>73333898.641782641</v>
      </c>
      <c r="BO40" s="12">
        <f t="shared" si="4"/>
        <v>73333898.641782641</v>
      </c>
      <c r="BP40" s="12">
        <f t="shared" si="4"/>
        <v>73333898.641782641</v>
      </c>
      <c r="BQ40" s="12">
        <f t="shared" si="4"/>
        <v>73333898.641782641</v>
      </c>
      <c r="BR40" s="12">
        <f t="shared" si="4"/>
        <v>73333898.641782641</v>
      </c>
      <c r="BS40" s="12">
        <f t="shared" si="4"/>
        <v>73333898.641782641</v>
      </c>
      <c r="BT40" s="12">
        <f t="shared" si="4"/>
        <v>73333898.641782641</v>
      </c>
      <c r="BU40" s="12">
        <f t="shared" si="4"/>
        <v>73333898.641782641</v>
      </c>
      <c r="BV40" s="12">
        <f t="shared" si="4"/>
        <v>73333898.641782641</v>
      </c>
      <c r="BW40" s="12">
        <f t="shared" si="4"/>
        <v>73333898.641782641</v>
      </c>
      <c r="BX40" s="12">
        <f t="shared" si="4"/>
        <v>73333898.641782641</v>
      </c>
      <c r="BY40" s="12">
        <f t="shared" si="4"/>
        <v>73333898.641782641</v>
      </c>
      <c r="BZ40" s="12">
        <f t="shared" si="4"/>
        <v>73333898.641782641</v>
      </c>
      <c r="CA40" s="12">
        <f t="shared" si="4"/>
        <v>73333898.641782641</v>
      </c>
      <c r="CB40" s="12">
        <f t="shared" si="4"/>
        <v>73333898.641782641</v>
      </c>
      <c r="CC40" s="12">
        <f t="shared" si="4"/>
        <v>73333898.641782641</v>
      </c>
    </row>
    <row r="41" spans="1:8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8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V42" s="12"/>
      <c r="W42" s="12"/>
    </row>
    <row r="43" spans="1:8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U43" s="12"/>
      <c r="V43" s="12"/>
      <c r="W43" s="12"/>
    </row>
    <row r="44" spans="1:8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O44" s="12"/>
      <c r="U44" s="12"/>
      <c r="V44" s="12"/>
      <c r="W44" s="12"/>
      <c r="AP44" s="12"/>
      <c r="AQ44" s="12"/>
      <c r="AR44" s="12"/>
      <c r="AS44" s="12"/>
    </row>
    <row r="45" spans="1:8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V45" s="12"/>
      <c r="W45" s="12"/>
      <c r="AO45" s="12"/>
      <c r="AP45" s="12"/>
      <c r="AQ45" s="12"/>
      <c r="AR45" s="12"/>
      <c r="AS45" s="12"/>
    </row>
    <row r="46" spans="1:8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AO46" s="12"/>
      <c r="AP46" s="12"/>
      <c r="AQ46" s="12"/>
      <c r="AR46" s="12"/>
      <c r="AS46" s="12"/>
    </row>
    <row r="47" spans="1:8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AO47" s="12"/>
      <c r="AP47" s="12"/>
      <c r="AQ47" s="12"/>
      <c r="AR47" s="12"/>
      <c r="AS47" s="12"/>
    </row>
    <row r="48" spans="1:81">
      <c r="A48" s="12"/>
      <c r="B48" s="12"/>
      <c r="C48" s="12"/>
      <c r="D48" s="12"/>
      <c r="E48" s="12"/>
      <c r="F48" s="17"/>
      <c r="G48" s="17"/>
      <c r="H48" s="17"/>
      <c r="I48" s="17"/>
      <c r="J48" s="17"/>
      <c r="K48" s="17"/>
      <c r="L48" s="12"/>
      <c r="AO48" s="12"/>
      <c r="AP48" s="12"/>
      <c r="AQ48" s="12"/>
      <c r="AR48" s="12"/>
      <c r="AS48" s="12"/>
    </row>
    <row r="49" spans="1:45">
      <c r="AO49" s="12"/>
      <c r="AP49" s="12"/>
      <c r="AQ49" s="12"/>
      <c r="AR49" s="12"/>
      <c r="AS49" s="12"/>
    </row>
    <row r="50" spans="1:45">
      <c r="AO50" s="12"/>
      <c r="AP50" s="12"/>
      <c r="AQ50" s="12"/>
      <c r="AR50" s="12"/>
      <c r="AS50" s="12"/>
    </row>
    <row r="51" spans="1:45">
      <c r="F51" s="17"/>
      <c r="G51" s="17"/>
      <c r="H51" s="17"/>
      <c r="I51" s="17"/>
      <c r="J51" s="17"/>
      <c r="K51" s="17"/>
      <c r="P51" s="17"/>
      <c r="AO51" s="12"/>
      <c r="AP51" s="12"/>
      <c r="AQ51" s="12"/>
      <c r="AR51" s="12"/>
      <c r="AS51" s="12"/>
    </row>
    <row r="52" spans="1:45">
      <c r="AO52" s="12"/>
      <c r="AP52" s="12"/>
      <c r="AQ52" s="12"/>
      <c r="AR52" s="12"/>
      <c r="AS52" s="12"/>
    </row>
    <row r="53" spans="1:45">
      <c r="AO53" s="12"/>
      <c r="AP53" s="12"/>
      <c r="AQ53" s="12"/>
      <c r="AR53" s="12"/>
      <c r="AS53" s="12"/>
    </row>
    <row r="54" spans="1:45">
      <c r="A54" s="8"/>
      <c r="C54" s="8"/>
      <c r="F54" s="17"/>
      <c r="AO54" s="12"/>
      <c r="AP54" s="12"/>
      <c r="AQ54" s="12"/>
      <c r="AR54" s="12"/>
      <c r="AS54" s="12"/>
    </row>
    <row r="55" spans="1:45">
      <c r="AO55" s="12"/>
      <c r="AP55" s="12"/>
      <c r="AQ55" s="12"/>
      <c r="AR55" s="12"/>
      <c r="AS55" s="12"/>
    </row>
    <row r="56" spans="1:45">
      <c r="F56" s="17"/>
      <c r="G56" s="17"/>
      <c r="H56" s="17"/>
      <c r="I56" s="17"/>
      <c r="J56" s="17"/>
      <c r="AO56" s="12"/>
      <c r="AP56" s="12"/>
      <c r="AQ56" s="12"/>
      <c r="AR56" s="12"/>
      <c r="AS56" s="12"/>
    </row>
    <row r="57" spans="1:45">
      <c r="AO57" s="12"/>
      <c r="AP57" s="12"/>
      <c r="AQ57" s="12"/>
      <c r="AR57" s="12"/>
      <c r="AS57" s="12"/>
    </row>
    <row r="58" spans="1:45">
      <c r="F58" s="17"/>
      <c r="H58" s="17"/>
      <c r="I58" s="18"/>
      <c r="AO58" s="12"/>
      <c r="AP58" s="12"/>
      <c r="AQ58" s="12"/>
      <c r="AR58" s="12"/>
      <c r="AS58" s="12"/>
    </row>
    <row r="59" spans="1:45">
      <c r="H59" s="8"/>
      <c r="AO59" s="12"/>
      <c r="AP59" s="12"/>
      <c r="AQ59" s="12"/>
      <c r="AR59" s="12"/>
      <c r="AS59" s="12"/>
    </row>
    <row r="60" spans="1:45">
      <c r="A60" s="12"/>
      <c r="F60" s="18"/>
      <c r="H60" s="18"/>
      <c r="AO60" s="12"/>
      <c r="AP60" s="12"/>
      <c r="AQ60" s="12"/>
      <c r="AR60" s="12"/>
      <c r="AS60" s="12"/>
    </row>
    <row r="61" spans="1:45">
      <c r="AO61" s="12"/>
      <c r="AP61" s="12"/>
      <c r="AQ61" s="12"/>
      <c r="AR61" s="12"/>
      <c r="AS61" s="12"/>
    </row>
    <row r="62" spans="1:45">
      <c r="A62" s="8"/>
      <c r="G62" s="12"/>
      <c r="H62" s="12"/>
      <c r="I62" s="12"/>
      <c r="J62" s="12"/>
      <c r="AO62" s="12"/>
      <c r="AP62" s="12"/>
      <c r="AQ62" s="12"/>
      <c r="AR62" s="12"/>
      <c r="AS62" s="12"/>
    </row>
    <row r="63" spans="1:45">
      <c r="A63" s="2"/>
      <c r="F63" s="17"/>
      <c r="G63" s="17"/>
      <c r="H63" s="17"/>
      <c r="I63" s="17"/>
      <c r="J63" s="17"/>
      <c r="AO63" s="12"/>
      <c r="AP63" s="12"/>
      <c r="AQ63" s="12"/>
      <c r="AR63" s="12"/>
      <c r="AS63" s="12"/>
    </row>
    <row r="64" spans="1:45">
      <c r="F64" s="17"/>
      <c r="H64" s="17"/>
      <c r="AO64" s="12"/>
      <c r="AP64" s="12"/>
      <c r="AQ64" s="12"/>
      <c r="AR64" s="12"/>
      <c r="AS64" s="12"/>
    </row>
    <row r="65" spans="1:45">
      <c r="A65" s="2"/>
      <c r="G65" s="12"/>
      <c r="H65" s="12"/>
      <c r="I65" s="12"/>
      <c r="J65" s="12"/>
      <c r="AO65" s="12"/>
      <c r="AP65" s="12"/>
      <c r="AQ65" s="12"/>
      <c r="AR65" s="12"/>
      <c r="AS65" s="12"/>
    </row>
    <row r="66" spans="1:45">
      <c r="F66" s="17"/>
      <c r="G66" s="17"/>
      <c r="H66" s="17"/>
      <c r="I66" s="17"/>
      <c r="J66" s="17"/>
      <c r="K66" s="12"/>
      <c r="AO66" s="12"/>
      <c r="AP66" s="12"/>
      <c r="AQ66" s="12"/>
      <c r="AR66" s="12"/>
      <c r="AS66" s="12"/>
    </row>
    <row r="67" spans="1:45">
      <c r="F67" s="16"/>
      <c r="AO67" s="12"/>
      <c r="AP67" s="12"/>
      <c r="AQ67" s="12"/>
      <c r="AR67" s="12"/>
      <c r="AS67" s="12"/>
    </row>
    <row r="68" spans="1:45">
      <c r="A68" s="8"/>
      <c r="B68" s="8"/>
      <c r="AO68" s="12"/>
      <c r="AP68" s="12"/>
      <c r="AQ68" s="12"/>
      <c r="AR68" s="12"/>
      <c r="AS68" s="12"/>
    </row>
    <row r="69" spans="1:45">
      <c r="A69" s="8"/>
      <c r="B69" s="8"/>
      <c r="G69" s="12"/>
      <c r="H69" s="12"/>
      <c r="I69" s="12"/>
      <c r="J69" s="12"/>
      <c r="AO69" s="12"/>
      <c r="AP69" s="12"/>
      <c r="AQ69" s="12"/>
      <c r="AR69" s="12"/>
      <c r="AS69" s="12"/>
    </row>
    <row r="70" spans="1:45">
      <c r="J70" s="16"/>
      <c r="AO70" s="12"/>
      <c r="AP70" s="12"/>
      <c r="AQ70" s="12"/>
      <c r="AR70" s="12"/>
      <c r="AS70" s="12"/>
    </row>
    <row r="71" spans="1:45">
      <c r="J71" s="17"/>
      <c r="O71" s="12"/>
      <c r="S71" s="12"/>
      <c r="AO71" s="12"/>
      <c r="AP71" s="12"/>
      <c r="AQ71" s="12"/>
      <c r="AR71" s="12"/>
      <c r="AS71" s="12"/>
    </row>
    <row r="72" spans="1:45">
      <c r="K72" s="12"/>
      <c r="L72" s="12"/>
      <c r="M72" s="12"/>
      <c r="N72" s="12"/>
      <c r="O72" s="12"/>
      <c r="P72" s="12"/>
      <c r="Q72" s="12"/>
      <c r="S72" s="12"/>
      <c r="T72" s="12"/>
      <c r="U72" s="12"/>
      <c r="AO72" s="12"/>
      <c r="AP72" s="12"/>
      <c r="AQ72" s="12"/>
      <c r="AR72" s="12"/>
      <c r="AS72" s="12"/>
    </row>
    <row r="73" spans="1:45">
      <c r="A73" s="12"/>
      <c r="M73" s="12"/>
      <c r="AO73" s="12"/>
      <c r="AP73" s="12"/>
      <c r="AQ73" s="12"/>
      <c r="AR73" s="12"/>
      <c r="AS73" s="12"/>
    </row>
    <row r="74" spans="1:45">
      <c r="A74" s="12"/>
      <c r="D74" s="12"/>
      <c r="E74" s="12"/>
      <c r="H74" s="12"/>
      <c r="I74" s="12"/>
      <c r="L74" s="12"/>
      <c r="M74" s="12"/>
      <c r="P74" s="12"/>
      <c r="Q74" s="12"/>
      <c r="T74" s="12"/>
      <c r="U74" s="12"/>
      <c r="AO74" s="12"/>
      <c r="AP74" s="12"/>
      <c r="AQ74" s="12"/>
      <c r="AR74" s="12"/>
      <c r="AS74" s="12"/>
    </row>
    <row r="75" spans="1:45">
      <c r="A75" s="12"/>
      <c r="D75" s="12"/>
      <c r="E75" s="12"/>
      <c r="H75" s="12"/>
      <c r="I75" s="12"/>
      <c r="L75" s="12"/>
      <c r="M75" s="12"/>
      <c r="P75" s="12"/>
      <c r="Q75" s="12"/>
      <c r="T75" s="12"/>
      <c r="U75" s="12"/>
      <c r="AO75" s="12"/>
      <c r="AP75" s="12"/>
      <c r="AQ75" s="12"/>
      <c r="AR75" s="12"/>
      <c r="AS75" s="12"/>
    </row>
    <row r="76" spans="1:45">
      <c r="A76" s="12"/>
      <c r="D76" s="12"/>
      <c r="E76" s="12"/>
      <c r="H76" s="12"/>
      <c r="I76" s="12"/>
      <c r="L76" s="12"/>
      <c r="M76" s="12"/>
      <c r="P76" s="12"/>
      <c r="Q76" s="12"/>
      <c r="T76" s="12"/>
      <c r="U76" s="12"/>
      <c r="AO76" s="12"/>
      <c r="AP76" s="12"/>
      <c r="AQ76" s="12"/>
      <c r="AR76" s="12"/>
      <c r="AS76" s="12"/>
    </row>
    <row r="77" spans="1:45">
      <c r="A77" s="12"/>
      <c r="D77" s="12"/>
      <c r="E77" s="12"/>
      <c r="H77" s="12"/>
      <c r="I77" s="12"/>
      <c r="L77" s="12"/>
      <c r="M77" s="12"/>
      <c r="P77" s="12"/>
      <c r="Q77" s="12"/>
      <c r="T77" s="12"/>
      <c r="U77" s="12"/>
      <c r="AO77" s="12"/>
      <c r="AP77" s="12"/>
      <c r="AQ77" s="12"/>
      <c r="AR77" s="12"/>
      <c r="AS77" s="12"/>
    </row>
    <row r="78" spans="1:45">
      <c r="AO78" s="12"/>
      <c r="AP78" s="12"/>
      <c r="AQ78" s="12"/>
      <c r="AR78" s="12"/>
      <c r="AS78" s="12"/>
    </row>
    <row r="79" spans="1:45"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</row>
    <row r="80" spans="1:45">
      <c r="Q80" s="12"/>
      <c r="R80" s="12"/>
      <c r="S80" s="12"/>
      <c r="T80" s="12"/>
    </row>
    <row r="83" spans="11:22">
      <c r="S83" s="12"/>
    </row>
    <row r="84" spans="11:2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11:2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11:22"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11:22"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11:22"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11:22"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11:22"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11:22"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11:22"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11:22"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11:22"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7" spans="1:9">
      <c r="C97" s="12"/>
      <c r="D97" s="12"/>
      <c r="E97" s="12"/>
      <c r="F97" s="12"/>
      <c r="G97" s="12"/>
      <c r="H97" s="12"/>
      <c r="I97" s="12"/>
    </row>
    <row r="98" spans="1:9">
      <c r="A98" s="12"/>
      <c r="E98" s="12"/>
    </row>
    <row r="99" spans="1:9">
      <c r="A99" s="12"/>
      <c r="D99" s="12"/>
      <c r="E99" s="12"/>
      <c r="H99" s="12"/>
      <c r="I99" s="12"/>
    </row>
    <row r="100" spans="1:9">
      <c r="A100" s="12"/>
      <c r="D100" s="12"/>
      <c r="E100" s="12"/>
      <c r="H100" s="12"/>
      <c r="I100" s="12"/>
    </row>
    <row r="101" spans="1:9">
      <c r="A101" s="12"/>
      <c r="D101" s="12"/>
      <c r="E101" s="12"/>
      <c r="H101" s="12"/>
      <c r="I101" s="12"/>
    </row>
    <row r="102" spans="1:9">
      <c r="A102" s="12"/>
      <c r="D102" s="12"/>
      <c r="E102" s="12"/>
      <c r="H102" s="12"/>
      <c r="I102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P173"/>
  <sheetViews>
    <sheetView workbookViewId="0">
      <selection activeCell="E2" sqref="E2:L3"/>
    </sheetView>
  </sheetViews>
  <sheetFormatPr defaultRowHeight="15"/>
  <cols>
    <col min="3" max="3" width="13.85546875" bestFit="1" customWidth="1"/>
    <col min="4" max="4" width="14.28515625" bestFit="1" customWidth="1"/>
    <col min="5" max="5" width="20.42578125" bestFit="1" customWidth="1"/>
    <col min="6" max="7" width="12.7109375" bestFit="1" customWidth="1"/>
    <col min="13" max="13" width="11.140625" bestFit="1" customWidth="1"/>
  </cols>
  <sheetData>
    <row r="1" spans="1:68">
      <c r="A1" t="s">
        <v>108</v>
      </c>
    </row>
    <row r="2" spans="1:68">
      <c r="C2">
        <v>2009</v>
      </c>
      <c r="D2">
        <v>2010</v>
      </c>
    </row>
    <row r="3" spans="1:68">
      <c r="A3" t="s">
        <v>207</v>
      </c>
      <c r="C3">
        <v>41500</v>
      </c>
      <c r="D3">
        <f>C3*(1+D8/100)</f>
        <v>41846.939999999995</v>
      </c>
      <c r="E3" s="12"/>
      <c r="F3" s="12"/>
      <c r="G3" s="12"/>
    </row>
    <row r="4" spans="1:68">
      <c r="A4" s="12" t="s">
        <v>208</v>
      </c>
      <c r="C4">
        <v>9250</v>
      </c>
      <c r="D4" s="12"/>
    </row>
    <row r="5" spans="1:68">
      <c r="A5" s="21" t="s">
        <v>213</v>
      </c>
      <c r="B5" s="21"/>
      <c r="C5" s="21"/>
      <c r="D5" s="21"/>
      <c r="F5" s="21">
        <v>20</v>
      </c>
      <c r="I5" s="21" t="s">
        <v>214</v>
      </c>
      <c r="O5">
        <f>F5</f>
        <v>20</v>
      </c>
    </row>
    <row r="6" spans="1:68" s="12" customFormat="1">
      <c r="F6" s="21"/>
    </row>
    <row r="7" spans="1:68">
      <c r="A7" t="s">
        <v>148</v>
      </c>
      <c r="D7">
        <v>2010</v>
      </c>
      <c r="E7">
        <f>D7 +1</f>
        <v>2011</v>
      </c>
      <c r="F7" s="12">
        <f t="shared" ref="F7:BL7" si="0">E7 +1</f>
        <v>2012</v>
      </c>
      <c r="G7" s="12">
        <f t="shared" si="0"/>
        <v>2013</v>
      </c>
      <c r="H7" s="12">
        <f t="shared" si="0"/>
        <v>2014</v>
      </c>
      <c r="I7" s="12">
        <f t="shared" si="0"/>
        <v>2015</v>
      </c>
      <c r="J7" s="12">
        <f t="shared" si="0"/>
        <v>2016</v>
      </c>
      <c r="K7" s="12">
        <f t="shared" si="0"/>
        <v>2017</v>
      </c>
      <c r="L7" s="12">
        <f t="shared" si="0"/>
        <v>2018</v>
      </c>
      <c r="M7" s="12">
        <f t="shared" si="0"/>
        <v>2019</v>
      </c>
      <c r="N7" s="12">
        <f t="shared" si="0"/>
        <v>2020</v>
      </c>
      <c r="O7" s="12">
        <f t="shared" si="0"/>
        <v>2021</v>
      </c>
      <c r="P7" s="12">
        <f t="shared" si="0"/>
        <v>2022</v>
      </c>
      <c r="Q7" s="12">
        <f t="shared" si="0"/>
        <v>2023</v>
      </c>
      <c r="R7" s="12">
        <f t="shared" si="0"/>
        <v>2024</v>
      </c>
      <c r="S7" s="12">
        <f t="shared" si="0"/>
        <v>2025</v>
      </c>
      <c r="T7" s="12">
        <f t="shared" si="0"/>
        <v>2026</v>
      </c>
      <c r="U7" s="12">
        <f t="shared" si="0"/>
        <v>2027</v>
      </c>
      <c r="V7" s="12">
        <f t="shared" si="0"/>
        <v>2028</v>
      </c>
      <c r="W7" s="12">
        <f t="shared" si="0"/>
        <v>2029</v>
      </c>
      <c r="X7" s="12">
        <f t="shared" si="0"/>
        <v>2030</v>
      </c>
      <c r="Y7" s="12">
        <f t="shared" si="0"/>
        <v>2031</v>
      </c>
      <c r="Z7" s="12">
        <f t="shared" si="0"/>
        <v>2032</v>
      </c>
      <c r="AA7" s="12">
        <f t="shared" si="0"/>
        <v>2033</v>
      </c>
      <c r="AB7" s="12">
        <f t="shared" si="0"/>
        <v>2034</v>
      </c>
      <c r="AC7" s="12">
        <f t="shared" si="0"/>
        <v>2035</v>
      </c>
      <c r="AD7" s="12">
        <f t="shared" si="0"/>
        <v>2036</v>
      </c>
      <c r="AE7" s="12">
        <f t="shared" si="0"/>
        <v>2037</v>
      </c>
      <c r="AF7" s="12">
        <f t="shared" si="0"/>
        <v>2038</v>
      </c>
      <c r="AG7" s="12">
        <f t="shared" si="0"/>
        <v>2039</v>
      </c>
      <c r="AH7" s="12">
        <f t="shared" si="0"/>
        <v>2040</v>
      </c>
      <c r="AI7" s="12">
        <f t="shared" si="0"/>
        <v>2041</v>
      </c>
      <c r="AJ7" s="12">
        <f t="shared" si="0"/>
        <v>2042</v>
      </c>
      <c r="AK7" s="12">
        <f t="shared" si="0"/>
        <v>2043</v>
      </c>
      <c r="AL7" s="12">
        <f t="shared" si="0"/>
        <v>2044</v>
      </c>
      <c r="AM7" s="12">
        <f t="shared" si="0"/>
        <v>2045</v>
      </c>
      <c r="AN7" s="12">
        <f t="shared" si="0"/>
        <v>2046</v>
      </c>
      <c r="AO7" s="12">
        <f t="shared" si="0"/>
        <v>2047</v>
      </c>
      <c r="AP7" s="12">
        <f t="shared" si="0"/>
        <v>2048</v>
      </c>
      <c r="AQ7" s="12">
        <f t="shared" si="0"/>
        <v>2049</v>
      </c>
      <c r="AR7" s="12">
        <f t="shared" si="0"/>
        <v>2050</v>
      </c>
      <c r="AS7" s="12">
        <f t="shared" si="0"/>
        <v>2051</v>
      </c>
      <c r="AT7" s="12">
        <f t="shared" si="0"/>
        <v>2052</v>
      </c>
      <c r="AU7" s="12">
        <f t="shared" si="0"/>
        <v>2053</v>
      </c>
      <c r="AV7" s="12">
        <f t="shared" si="0"/>
        <v>2054</v>
      </c>
      <c r="AW7" s="12">
        <f t="shared" si="0"/>
        <v>2055</v>
      </c>
      <c r="AX7" s="12">
        <f t="shared" si="0"/>
        <v>2056</v>
      </c>
      <c r="AY7" s="12">
        <f t="shared" si="0"/>
        <v>2057</v>
      </c>
      <c r="AZ7" s="12">
        <f t="shared" si="0"/>
        <v>2058</v>
      </c>
      <c r="BA7" s="12">
        <f t="shared" si="0"/>
        <v>2059</v>
      </c>
      <c r="BB7" s="12">
        <f t="shared" si="0"/>
        <v>2060</v>
      </c>
      <c r="BC7" s="12">
        <f t="shared" si="0"/>
        <v>2061</v>
      </c>
      <c r="BD7" s="12">
        <f t="shared" si="0"/>
        <v>2062</v>
      </c>
      <c r="BE7" s="12">
        <f t="shared" si="0"/>
        <v>2063</v>
      </c>
      <c r="BF7" s="12">
        <f>BE7 +1</f>
        <v>2064</v>
      </c>
      <c r="BG7" s="12">
        <f t="shared" si="0"/>
        <v>2065</v>
      </c>
      <c r="BH7" s="12">
        <f t="shared" si="0"/>
        <v>2066</v>
      </c>
      <c r="BI7" s="12">
        <f t="shared" si="0"/>
        <v>2067</v>
      </c>
      <c r="BJ7" s="12">
        <f t="shared" si="0"/>
        <v>2068</v>
      </c>
      <c r="BK7" s="12">
        <f t="shared" si="0"/>
        <v>2069</v>
      </c>
      <c r="BL7" s="12">
        <f t="shared" si="0"/>
        <v>2070</v>
      </c>
      <c r="BM7" s="12"/>
      <c r="BN7" s="12"/>
      <c r="BO7" s="12"/>
      <c r="BP7" s="12"/>
    </row>
    <row r="8" spans="1:68" s="12" customFormat="1">
      <c r="A8" s="12" t="s">
        <v>109</v>
      </c>
      <c r="D8" s="16">
        <f>0.76*Variables!E10</f>
        <v>0.83600000000000008</v>
      </c>
      <c r="E8" s="16">
        <f>0.76*Variables!E10</f>
        <v>0.83600000000000008</v>
      </c>
      <c r="F8" s="16">
        <f>0.67*Variables!E10</f>
        <v>0.7370000000000001</v>
      </c>
      <c r="G8" s="16">
        <f>0.67*Variables!E10</f>
        <v>0.7370000000000001</v>
      </c>
      <c r="H8" s="16">
        <f>0.67*Variables!E10</f>
        <v>0.7370000000000001</v>
      </c>
      <c r="I8" s="16">
        <f>0.67*Variables!E10</f>
        <v>0.7370000000000001</v>
      </c>
      <c r="J8" s="16">
        <f>0.67*Variables!E10</f>
        <v>0.7370000000000001</v>
      </c>
      <c r="K8" s="16">
        <f>0.67*Variables!E10</f>
        <v>0.7370000000000001</v>
      </c>
      <c r="L8" s="16">
        <f>0.67*Variables!E10</f>
        <v>0.7370000000000001</v>
      </c>
      <c r="M8" s="16">
        <f>0.67*Variables!E10</f>
        <v>0.7370000000000001</v>
      </c>
      <c r="N8" s="16">
        <f>0.67*Variables!E10</f>
        <v>0.7370000000000001</v>
      </c>
      <c r="O8" s="16">
        <f>0.67*Variables!E10</f>
        <v>0.7370000000000001</v>
      </c>
      <c r="P8" s="16">
        <f>0.33*Variables!E10</f>
        <v>0.36300000000000004</v>
      </c>
      <c r="Q8" s="16">
        <f>0.33*Variables!E10</f>
        <v>0.36300000000000004</v>
      </c>
      <c r="R8" s="16">
        <f>0.33*Variables!E10</f>
        <v>0.36300000000000004</v>
      </c>
      <c r="S8" s="16">
        <f>0.33*Variables!E10</f>
        <v>0.36300000000000004</v>
      </c>
      <c r="T8" s="16">
        <f>0.33*Variables!E10</f>
        <v>0.36300000000000004</v>
      </c>
      <c r="U8" s="16">
        <f>0.33*Variables!E10</f>
        <v>0.36300000000000004</v>
      </c>
      <c r="V8" s="16">
        <f>0.33*Variables!E10</f>
        <v>0.36300000000000004</v>
      </c>
      <c r="W8" s="16">
        <f>0.33*Variables!E10</f>
        <v>0.36300000000000004</v>
      </c>
      <c r="X8" s="16">
        <f>0.33*Variables!E10</f>
        <v>0.36300000000000004</v>
      </c>
      <c r="Y8" s="16">
        <f>0.33*Variables!E10</f>
        <v>0.36300000000000004</v>
      </c>
      <c r="Z8" s="16">
        <f>0.17*Variables!E10</f>
        <v>0.18700000000000003</v>
      </c>
      <c r="AA8" s="16">
        <f>0.17*Variables!E10</f>
        <v>0.18700000000000003</v>
      </c>
      <c r="AB8" s="16">
        <f>0.17*Variables!E10</f>
        <v>0.18700000000000003</v>
      </c>
      <c r="AC8" s="16">
        <f>0.17*Variables!E10</f>
        <v>0.18700000000000003</v>
      </c>
      <c r="AD8" s="16">
        <f>0.17*Variables!E10</f>
        <v>0.18700000000000003</v>
      </c>
      <c r="AE8" s="16">
        <f>0.17*Variables!E10</f>
        <v>0.18700000000000003</v>
      </c>
      <c r="AF8" s="16">
        <f>0.17*Variables!E10</f>
        <v>0.18700000000000003</v>
      </c>
      <c r="AG8" s="16">
        <f>0.17*Variables!E10</f>
        <v>0.18700000000000003</v>
      </c>
      <c r="AH8" s="16">
        <f>0.17*Variables!E10</f>
        <v>0.18700000000000003</v>
      </c>
      <c r="AI8" s="16">
        <f>0.17*Variables!E10</f>
        <v>0.18700000000000003</v>
      </c>
      <c r="AJ8" s="16">
        <f>0.17*Variables!E10</f>
        <v>0.18700000000000003</v>
      </c>
      <c r="AK8" s="16">
        <f>0.17*Variables!E10</f>
        <v>0.18700000000000003</v>
      </c>
      <c r="AL8" s="16">
        <f>0.17*Variables!E10</f>
        <v>0.18700000000000003</v>
      </c>
      <c r="AM8" s="16">
        <f>0.17*Variables!E10</f>
        <v>0.18700000000000003</v>
      </c>
      <c r="AN8" s="16">
        <f>0.17*Variables!E10</f>
        <v>0.18700000000000003</v>
      </c>
      <c r="AO8" s="16">
        <f>0.17*Variables!E10</f>
        <v>0.18700000000000003</v>
      </c>
      <c r="AP8" s="16">
        <f>0.17*Variables!E10</f>
        <v>0.18700000000000003</v>
      </c>
      <c r="AQ8" s="16">
        <f>0.17*Variables!E10</f>
        <v>0.18700000000000003</v>
      </c>
      <c r="AR8" s="16">
        <f>0.17*Variables!E10</f>
        <v>0.18700000000000003</v>
      </c>
      <c r="AS8" s="16">
        <f>0.17*Variables!E10</f>
        <v>0.18700000000000003</v>
      </c>
      <c r="AT8" s="16">
        <f>0.17*Variables!E10</f>
        <v>0.18700000000000003</v>
      </c>
      <c r="AU8" s="16">
        <f>0.17*Variables!E10</f>
        <v>0.18700000000000003</v>
      </c>
      <c r="AV8" s="16">
        <f>0.17*Variables!E10</f>
        <v>0.18700000000000003</v>
      </c>
      <c r="AW8" s="16">
        <f>0.17*Variables!E10</f>
        <v>0.18700000000000003</v>
      </c>
      <c r="AX8" s="16">
        <f>0.17*Variables!E10</f>
        <v>0.18700000000000003</v>
      </c>
      <c r="AY8" s="16">
        <f>0.17*Variables!E10</f>
        <v>0.18700000000000003</v>
      </c>
      <c r="AZ8" s="16">
        <f>0.17*Variables!E10</f>
        <v>0.18700000000000003</v>
      </c>
      <c r="BA8" s="16">
        <f>0.17*Variables!E10</f>
        <v>0.18700000000000003</v>
      </c>
      <c r="BB8" s="16">
        <f>0.17*Variables!E10</f>
        <v>0.18700000000000003</v>
      </c>
      <c r="BC8" s="16">
        <f>0.17*Variables!E10</f>
        <v>0.18700000000000003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</row>
    <row r="9" spans="1:68" s="12" customFormat="1">
      <c r="A9" s="12" t="s">
        <v>110</v>
      </c>
      <c r="D9" s="16">
        <f>1.7269*Variables!E15</f>
        <v>1.8995900000000003</v>
      </c>
      <c r="E9" s="16">
        <f>1.7269*Variables!E15</f>
        <v>1.8995900000000003</v>
      </c>
      <c r="F9" s="16">
        <f>1.5695*Variables!E15</f>
        <v>1.72645</v>
      </c>
      <c r="G9" s="16">
        <f>1.5695*Variables!E15</f>
        <v>1.72645</v>
      </c>
      <c r="H9" s="16">
        <f>1.5695*Variables!E15</f>
        <v>1.72645</v>
      </c>
      <c r="I9" s="16">
        <f>1.5695*Variables!E15</f>
        <v>1.72645</v>
      </c>
      <c r="J9" s="16">
        <f>1.5695*Variables!E15</f>
        <v>1.72645</v>
      </c>
      <c r="K9" s="16">
        <f>1.5695*Variables!E15</f>
        <v>1.72645</v>
      </c>
      <c r="L9" s="16">
        <f>1.5695*Variables!E15</f>
        <v>1.72645</v>
      </c>
      <c r="M9" s="16">
        <f>1.5695*Variables!E15</f>
        <v>1.72645</v>
      </c>
      <c r="N9" s="16">
        <f>1.5695*Variables!E15</f>
        <v>1.72645</v>
      </c>
      <c r="O9" s="16">
        <f>1.5695*Variables!E15</f>
        <v>1.72645</v>
      </c>
      <c r="P9" s="16">
        <f>1.4153*Variables!E15</f>
        <v>1.5568300000000002</v>
      </c>
      <c r="Q9" s="16">
        <f>1.4153*Variables!E15</f>
        <v>1.5568300000000002</v>
      </c>
      <c r="R9" s="16">
        <f>1.4153*Variables!E15</f>
        <v>1.5568300000000002</v>
      </c>
      <c r="S9" s="16">
        <f>1.4153*Variables!E15</f>
        <v>1.5568300000000002</v>
      </c>
      <c r="T9" s="16">
        <f>1.4153*Variables!E15</f>
        <v>1.5568300000000002</v>
      </c>
      <c r="U9" s="16">
        <f>1.4153*Variables!E15</f>
        <v>1.5568300000000002</v>
      </c>
      <c r="V9" s="16">
        <f>1.4153*Variables!E15</f>
        <v>1.5568300000000002</v>
      </c>
      <c r="W9" s="16">
        <f>1.4153*Variables!E15</f>
        <v>1.5568300000000002</v>
      </c>
      <c r="X9" s="16">
        <f>1.4153*Variables!E15</f>
        <v>1.5568300000000002</v>
      </c>
      <c r="Y9" s="16">
        <f>1.4153*Variables!E15</f>
        <v>1.5568300000000002</v>
      </c>
      <c r="Z9" s="16">
        <f>1.8269*Variables!E15</f>
        <v>2.0095900000000002</v>
      </c>
      <c r="AA9" s="16">
        <f>1.5417*Variables!E15</f>
        <v>1.6958700000000002</v>
      </c>
      <c r="AB9" s="16">
        <f>1.5417*Variables!E15</f>
        <v>1.6958700000000002</v>
      </c>
      <c r="AC9" s="16">
        <f>1.5417*Variables!E15</f>
        <v>1.6958700000000002</v>
      </c>
      <c r="AD9" s="16">
        <f>1.5417*Variables!E15</f>
        <v>1.6958700000000002</v>
      </c>
      <c r="AE9" s="16">
        <f>1.7143*Variables!E15</f>
        <v>1.8857300000000001</v>
      </c>
      <c r="AF9" s="16">
        <f>1.7143*Variables!E15</f>
        <v>1.8857300000000001</v>
      </c>
      <c r="AG9" s="16">
        <f>1.7143*Variables!E15</f>
        <v>1.8857300000000001</v>
      </c>
      <c r="AH9" s="16">
        <f>1.7143*Variables!E15</f>
        <v>1.8857300000000001</v>
      </c>
      <c r="AI9" s="16">
        <f>1.7143*Variables!E15</f>
        <v>1.8857300000000001</v>
      </c>
      <c r="AJ9" s="16">
        <f>1.7143*Variables!E15</f>
        <v>1.8857300000000001</v>
      </c>
      <c r="AK9" s="16">
        <f>1.7143*Variables!E15</f>
        <v>1.8857300000000001</v>
      </c>
      <c r="AL9" s="16">
        <f>1.7143*Variables!E15</f>
        <v>1.8857300000000001</v>
      </c>
      <c r="AM9" s="16">
        <f>1.7143*Variables!E15</f>
        <v>1.8857300000000001</v>
      </c>
      <c r="AN9" s="16">
        <f>1.7143*Variables!E15</f>
        <v>1.8857300000000001</v>
      </c>
      <c r="AO9" s="16">
        <f>1.7143*Variables!E15</f>
        <v>1.8857300000000001</v>
      </c>
      <c r="AP9" s="16">
        <f>1.7143*Variables!E15</f>
        <v>1.8857300000000001</v>
      </c>
      <c r="AQ9" s="16">
        <f>1.7143*Variables!E15</f>
        <v>1.8857300000000001</v>
      </c>
      <c r="AR9" s="16">
        <f>1.7143*Variables!E15</f>
        <v>1.8857300000000001</v>
      </c>
      <c r="AS9" s="16">
        <f>1.7143*Variables!E15</f>
        <v>1.8857300000000001</v>
      </c>
      <c r="AT9" s="16">
        <f>1.5*Variables!E15</f>
        <v>1.6500000000000001</v>
      </c>
      <c r="AU9" s="16">
        <f>1.5*Variables!E15</f>
        <v>1.6500000000000001</v>
      </c>
      <c r="AV9" s="16">
        <f>1.5*Variables!E15</f>
        <v>1.6500000000000001</v>
      </c>
      <c r="AW9" s="16">
        <f>1.5*Variables!E15</f>
        <v>1.6500000000000001</v>
      </c>
      <c r="AX9" s="16">
        <f>1.5*Variables!E15</f>
        <v>1.6500000000000001</v>
      </c>
      <c r="AY9" s="16">
        <f>1.5*Variables!E15</f>
        <v>1.6500000000000001</v>
      </c>
      <c r="AZ9" s="16">
        <f>1.5*Variables!E15</f>
        <v>1.6500000000000001</v>
      </c>
      <c r="BA9" s="16">
        <f>1.5*Variables!E15</f>
        <v>1.6500000000000001</v>
      </c>
      <c r="BB9" s="16">
        <f>1.5*Variables!E15</f>
        <v>1.6500000000000001</v>
      </c>
      <c r="BC9" s="16">
        <f>1.5*Variables!E15</f>
        <v>1.6500000000000001</v>
      </c>
      <c r="BD9" s="16">
        <f>1.7143*Variables!E15</f>
        <v>1.8857300000000001</v>
      </c>
      <c r="BE9" s="16">
        <f>1.7143*Variables!E15</f>
        <v>1.8857300000000001</v>
      </c>
      <c r="BF9" s="16">
        <f>1.7143*Variables!E15</f>
        <v>1.8857300000000001</v>
      </c>
      <c r="BG9" s="16">
        <f>1.7143*Variables!E15</f>
        <v>1.8857300000000001</v>
      </c>
      <c r="BH9" s="16">
        <f>1.7143*Variables!E15</f>
        <v>1.8857300000000001</v>
      </c>
      <c r="BI9" s="16">
        <f>1.7143*Variables!E15</f>
        <v>1.8857300000000001</v>
      </c>
      <c r="BJ9" s="16">
        <f>1.7143*Variables!E15</f>
        <v>1.8857300000000001</v>
      </c>
      <c r="BK9" s="16">
        <f>1.7143*Variables!E15</f>
        <v>1.8857300000000001</v>
      </c>
      <c r="BL9" s="16">
        <f>1.7143*Variables!E15</f>
        <v>1.8857300000000001</v>
      </c>
    </row>
    <row r="10" spans="1:68" s="12" customFormat="1">
      <c r="A10" s="23" t="s">
        <v>212</v>
      </c>
      <c r="D10" s="16">
        <f>O5*(1 + D9/100)</f>
        <v>20.379918</v>
      </c>
      <c r="E10" s="16">
        <f>D10*(1 + E9/100)</f>
        <v>20.767052884336199</v>
      </c>
      <c r="F10" s="16">
        <f>E10*(1 + F9/100)</f>
        <v>21.12558566885782</v>
      </c>
      <c r="G10" s="16">
        <f t="shared" ref="G10:BL10" si="1">F10*(1 + G9/100)</f>
        <v>21.490308342637817</v>
      </c>
      <c r="H10" s="16">
        <f t="shared" si="1"/>
        <v>21.861327771019287</v>
      </c>
      <c r="I10" s="16">
        <f t="shared" si="1"/>
        <v>22.23875266432205</v>
      </c>
      <c r="J10" s="16">
        <f t="shared" si="1"/>
        <v>22.622693609695236</v>
      </c>
      <c r="K10" s="16">
        <f t="shared" si="1"/>
        <v>23.013263103519819</v>
      </c>
      <c r="L10" s="16">
        <f t="shared" si="1"/>
        <v>23.410575584370537</v>
      </c>
      <c r="M10" s="16">
        <f t="shared" si="1"/>
        <v>23.814747466546901</v>
      </c>
      <c r="N10" s="16">
        <f t="shared" si="1"/>
        <v>24.2258971741831</v>
      </c>
      <c r="O10" s="16">
        <f t="shared" si="1"/>
        <v>24.644145175946786</v>
      </c>
      <c r="P10" s="16">
        <f t="shared" si="1"/>
        <v>25.027812621289478</v>
      </c>
      <c r="Q10" s="16">
        <f t="shared" si="1"/>
        <v>25.417453116521497</v>
      </c>
      <c r="R10" s="16">
        <f t="shared" si="1"/>
        <v>25.813159651875438</v>
      </c>
      <c r="S10" s="16">
        <f t="shared" si="1"/>
        <v>26.21502666528373</v>
      </c>
      <c r="T10" s="16">
        <f t="shared" si="1"/>
        <v>26.623150064916867</v>
      </c>
      <c r="U10" s="16">
        <f t="shared" si="1"/>
        <v>27.037627252072511</v>
      </c>
      <c r="V10" s="16">
        <f t="shared" si="1"/>
        <v>27.458557144420951</v>
      </c>
      <c r="W10" s="16">
        <f t="shared" si="1"/>
        <v>27.886040199612438</v>
      </c>
      <c r="X10" s="16">
        <f t="shared" si="1"/>
        <v>28.320178439252064</v>
      </c>
      <c r="Y10" s="16">
        <f t="shared" si="1"/>
        <v>28.761075473247871</v>
      </c>
      <c r="Z10" s="16">
        <f t="shared" si="1"/>
        <v>29.339055169850713</v>
      </c>
      <c r="AA10" s="16">
        <f t="shared" si="1"/>
        <v>29.836607404759661</v>
      </c>
      <c r="AB10" s="16">
        <f t="shared" si="1"/>
        <v>30.342597478754758</v>
      </c>
      <c r="AC10" s="16">
        <f t="shared" si="1"/>
        <v>30.857168486617716</v>
      </c>
      <c r="AD10" s="16">
        <f t="shared" si="1"/>
        <v>31.38046594983172</v>
      </c>
      <c r="AE10" s="16">
        <f t="shared" si="1"/>
        <v>31.972216810387483</v>
      </c>
      <c r="AF10" s="16">
        <f t="shared" si="1"/>
        <v>32.575126494446003</v>
      </c>
      <c r="AG10" s="16">
        <f t="shared" si="1"/>
        <v>33.189405427289721</v>
      </c>
      <c r="AH10" s="16">
        <f t="shared" si="1"/>
        <v>33.815268002253752</v>
      </c>
      <c r="AI10" s="16">
        <f t="shared" si="1"/>
        <v>34.452932655552658</v>
      </c>
      <c r="AJ10" s="16">
        <f t="shared" si="1"/>
        <v>35.102621942518212</v>
      </c>
      <c r="AK10" s="16">
        <f t="shared" si="1"/>
        <v>35.764562615274862</v>
      </c>
      <c r="AL10" s="16">
        <f t="shared" si="1"/>
        <v>36.438985701879886</v>
      </c>
      <c r="AM10" s="16">
        <f t="shared" si="1"/>
        <v>37.126126586955948</v>
      </c>
      <c r="AN10" s="16">
        <f t="shared" si="1"/>
        <v>37.826225093844158</v>
      </c>
      <c r="AO10" s="16">
        <f t="shared" si="1"/>
        <v>38.53952556830631</v>
      </c>
      <c r="AP10" s="16">
        <f t="shared" si="1"/>
        <v>39.266276963805538</v>
      </c>
      <c r="AQ10" s="16">
        <f t="shared" si="1"/>
        <v>40.00673292839511</v>
      </c>
      <c r="AR10" s="16">
        <f t="shared" si="1"/>
        <v>40.761151893245739</v>
      </c>
      <c r="AS10" s="16">
        <f t="shared" si="1"/>
        <v>41.529797162842243</v>
      </c>
      <c r="AT10" s="16">
        <f t="shared" si="1"/>
        <v>42.215038816029136</v>
      </c>
      <c r="AU10" s="16">
        <f t="shared" si="1"/>
        <v>42.911586956493615</v>
      </c>
      <c r="AV10" s="16">
        <f t="shared" si="1"/>
        <v>43.619628141275754</v>
      </c>
      <c r="AW10" s="16">
        <f t="shared" si="1"/>
        <v>44.339352005606806</v>
      </c>
      <c r="AX10" s="16">
        <f t="shared" si="1"/>
        <v>45.070951313699318</v>
      </c>
      <c r="AY10" s="16">
        <f t="shared" si="1"/>
        <v>45.814622010375352</v>
      </c>
      <c r="AZ10" s="16">
        <f t="shared" si="1"/>
        <v>46.57056327354654</v>
      </c>
      <c r="BA10" s="16">
        <f t="shared" si="1"/>
        <v>47.338977567560057</v>
      </c>
      <c r="BB10" s="16">
        <f t="shared" si="1"/>
        <v>48.120070697424794</v>
      </c>
      <c r="BC10" s="16">
        <f t="shared" si="1"/>
        <v>48.914051863932301</v>
      </c>
      <c r="BD10" s="16">
        <f t="shared" si="1"/>
        <v>49.836438814146035</v>
      </c>
      <c r="BE10" s="16">
        <f t="shared" si="1"/>
        <v>50.776219491796034</v>
      </c>
      <c r="BF10" s="16">
        <f t="shared" si="1"/>
        <v>51.733721895618686</v>
      </c>
      <c r="BG10" s="16">
        <f t="shared" si="1"/>
        <v>52.709280209520941</v>
      </c>
      <c r="BH10" s="16">
        <f t="shared" si="1"/>
        <v>53.703234919215944</v>
      </c>
      <c r="BI10" s="16">
        <f t="shared" si="1"/>
        <v>54.715932931058077</v>
      </c>
      <c r="BJ10" s="16">
        <f t="shared" si="1"/>
        <v>55.747727693118925</v>
      </c>
      <c r="BK10" s="16">
        <f t="shared" si="1"/>
        <v>56.79897931854638</v>
      </c>
      <c r="BL10" s="16">
        <f t="shared" si="1"/>
        <v>57.870054711250006</v>
      </c>
    </row>
    <row r="11" spans="1:68" s="16" customFormat="1">
      <c r="A11" s="23" t="s">
        <v>211</v>
      </c>
      <c r="D11" s="16">
        <f>F5*(1 + D9/100)</f>
        <v>20.379918</v>
      </c>
      <c r="E11" s="16">
        <f>D11*(1 + E9/100)</f>
        <v>20.767052884336199</v>
      </c>
      <c r="F11" s="16">
        <f>E11*(1 + F9/100)</f>
        <v>21.12558566885782</v>
      </c>
      <c r="G11" s="16">
        <f t="shared" ref="G11:BL11" si="2">F11*(1 + G9/100)</f>
        <v>21.490308342637817</v>
      </c>
      <c r="H11" s="16">
        <f>G11*(1 + H9/100)</f>
        <v>21.861327771019287</v>
      </c>
      <c r="I11" s="16">
        <f t="shared" si="2"/>
        <v>22.23875266432205</v>
      </c>
      <c r="J11" s="16">
        <f t="shared" si="2"/>
        <v>22.622693609695236</v>
      </c>
      <c r="K11" s="16">
        <f t="shared" si="2"/>
        <v>23.013263103519819</v>
      </c>
      <c r="L11" s="16">
        <f t="shared" si="2"/>
        <v>23.410575584370537</v>
      </c>
      <c r="M11" s="16">
        <f t="shared" si="2"/>
        <v>23.814747466546901</v>
      </c>
      <c r="N11" s="16">
        <f t="shared" si="2"/>
        <v>24.2258971741831</v>
      </c>
      <c r="O11" s="16">
        <f t="shared" si="2"/>
        <v>24.644145175946786</v>
      </c>
      <c r="P11" s="16">
        <f t="shared" si="2"/>
        <v>25.027812621289478</v>
      </c>
      <c r="Q11" s="16">
        <f t="shared" si="2"/>
        <v>25.417453116521497</v>
      </c>
      <c r="R11" s="16">
        <f t="shared" si="2"/>
        <v>25.813159651875438</v>
      </c>
      <c r="S11" s="16">
        <f t="shared" si="2"/>
        <v>26.21502666528373</v>
      </c>
      <c r="T11" s="16">
        <f t="shared" si="2"/>
        <v>26.623150064916867</v>
      </c>
      <c r="U11" s="16">
        <f t="shared" si="2"/>
        <v>27.037627252072511</v>
      </c>
      <c r="V11" s="16">
        <f t="shared" si="2"/>
        <v>27.458557144420951</v>
      </c>
      <c r="W11" s="16">
        <f t="shared" si="2"/>
        <v>27.886040199612438</v>
      </c>
      <c r="X11" s="16">
        <f t="shared" si="2"/>
        <v>28.320178439252064</v>
      </c>
      <c r="Y11" s="16">
        <f t="shared" si="2"/>
        <v>28.761075473247871</v>
      </c>
      <c r="Z11" s="16">
        <f t="shared" si="2"/>
        <v>29.339055169850713</v>
      </c>
      <c r="AA11" s="16">
        <f t="shared" si="2"/>
        <v>29.836607404759661</v>
      </c>
      <c r="AB11" s="16">
        <f t="shared" si="2"/>
        <v>30.342597478754758</v>
      </c>
      <c r="AC11" s="16">
        <f t="shared" si="2"/>
        <v>30.857168486617716</v>
      </c>
      <c r="AD11" s="16">
        <f t="shared" si="2"/>
        <v>31.38046594983172</v>
      </c>
      <c r="AE11" s="16">
        <f t="shared" si="2"/>
        <v>31.972216810387483</v>
      </c>
      <c r="AF11" s="16">
        <f t="shared" si="2"/>
        <v>32.575126494446003</v>
      </c>
      <c r="AG11" s="16">
        <f t="shared" si="2"/>
        <v>33.189405427289721</v>
      </c>
      <c r="AH11" s="16">
        <f t="shared" si="2"/>
        <v>33.815268002253752</v>
      </c>
      <c r="AI11" s="16">
        <f t="shared" si="2"/>
        <v>34.452932655552658</v>
      </c>
      <c r="AJ11" s="16">
        <f t="shared" si="2"/>
        <v>35.102621942518212</v>
      </c>
      <c r="AK11" s="16">
        <f t="shared" si="2"/>
        <v>35.764562615274862</v>
      </c>
      <c r="AL11" s="16">
        <f t="shared" si="2"/>
        <v>36.438985701879886</v>
      </c>
      <c r="AM11" s="16">
        <f t="shared" si="2"/>
        <v>37.126126586955948</v>
      </c>
      <c r="AN11" s="16">
        <f t="shared" si="2"/>
        <v>37.826225093844158</v>
      </c>
      <c r="AO11" s="16">
        <f t="shared" si="2"/>
        <v>38.53952556830631</v>
      </c>
      <c r="AP11" s="16">
        <f t="shared" si="2"/>
        <v>39.266276963805538</v>
      </c>
      <c r="AQ11" s="16">
        <f t="shared" si="2"/>
        <v>40.00673292839511</v>
      </c>
      <c r="AR11" s="16">
        <f t="shared" si="2"/>
        <v>40.761151893245739</v>
      </c>
      <c r="AS11" s="16">
        <f t="shared" si="2"/>
        <v>41.529797162842243</v>
      </c>
      <c r="AT11" s="16">
        <f t="shared" si="2"/>
        <v>42.215038816029136</v>
      </c>
      <c r="AU11" s="16">
        <f t="shared" si="2"/>
        <v>42.911586956493615</v>
      </c>
      <c r="AV11" s="16">
        <f t="shared" si="2"/>
        <v>43.619628141275754</v>
      </c>
      <c r="AW11" s="16">
        <f t="shared" si="2"/>
        <v>44.339352005606806</v>
      </c>
      <c r="AX11" s="16">
        <f t="shared" si="2"/>
        <v>45.070951313699318</v>
      </c>
      <c r="AY11" s="16">
        <f t="shared" si="2"/>
        <v>45.814622010375352</v>
      </c>
      <c r="AZ11" s="16">
        <f t="shared" si="2"/>
        <v>46.57056327354654</v>
      </c>
      <c r="BA11" s="16">
        <f t="shared" si="2"/>
        <v>47.338977567560057</v>
      </c>
      <c r="BB11" s="16">
        <f t="shared" si="2"/>
        <v>48.120070697424794</v>
      </c>
      <c r="BC11" s="16">
        <f t="shared" si="2"/>
        <v>48.914051863932301</v>
      </c>
      <c r="BD11" s="16">
        <f t="shared" si="2"/>
        <v>49.836438814146035</v>
      </c>
      <c r="BE11" s="16">
        <f t="shared" si="2"/>
        <v>50.776219491796034</v>
      </c>
      <c r="BF11" s="16">
        <f t="shared" si="2"/>
        <v>51.733721895618686</v>
      </c>
      <c r="BG11" s="16">
        <f t="shared" si="2"/>
        <v>52.709280209520941</v>
      </c>
      <c r="BH11" s="16">
        <f t="shared" si="2"/>
        <v>53.703234919215944</v>
      </c>
      <c r="BI11" s="16">
        <f t="shared" si="2"/>
        <v>54.715932931058077</v>
      </c>
      <c r="BJ11" s="16">
        <f t="shared" si="2"/>
        <v>55.747727693118925</v>
      </c>
      <c r="BK11" s="16">
        <f t="shared" si="2"/>
        <v>56.79897931854638</v>
      </c>
      <c r="BL11" s="16">
        <f t="shared" si="2"/>
        <v>57.870054711250006</v>
      </c>
    </row>
    <row r="12" spans="1:68" s="16" customFormat="1">
      <c r="A12" s="23" t="s">
        <v>221</v>
      </c>
      <c r="D12" s="16">
        <f>(C3 - C4)*(1 + D8/100)</f>
        <v>32519.609999999997</v>
      </c>
      <c r="E12" s="16">
        <f>D12*(1 + E8/100)</f>
        <v>32791.473939599993</v>
      </c>
      <c r="F12" s="16">
        <f>E12*(1 + F8/100)</f>
        <v>33033.147102534851</v>
      </c>
      <c r="G12" s="16">
        <f t="shared" ref="G12:BL12" si="3">F12*(1 + G8/100)</f>
        <v>33276.601396680533</v>
      </c>
      <c r="H12" s="16">
        <f t="shared" si="3"/>
        <v>33521.849948974072</v>
      </c>
      <c r="I12" s="16">
        <f t="shared" si="3"/>
        <v>33768.905983098011</v>
      </c>
      <c r="J12" s="16">
        <f t="shared" si="3"/>
        <v>34017.782820193446</v>
      </c>
      <c r="K12" s="16">
        <f t="shared" si="3"/>
        <v>34268.493879578273</v>
      </c>
      <c r="L12" s="16">
        <f t="shared" si="3"/>
        <v>34521.052679470769</v>
      </c>
      <c r="M12" s="16">
        <f t="shared" si="3"/>
        <v>34775.472837718473</v>
      </c>
      <c r="N12" s="16">
        <f t="shared" si="3"/>
        <v>35031.768072532461</v>
      </c>
      <c r="O12" s="16">
        <f t="shared" si="3"/>
        <v>35289.952203227025</v>
      </c>
      <c r="P12" s="16">
        <f t="shared" si="3"/>
        <v>35418.054729724739</v>
      </c>
      <c r="Q12" s="16">
        <f t="shared" si="3"/>
        <v>35546.622268393643</v>
      </c>
      <c r="R12" s="16">
        <f t="shared" si="3"/>
        <v>35675.656507227912</v>
      </c>
      <c r="S12" s="16">
        <f t="shared" si="3"/>
        <v>35805.159140349147</v>
      </c>
      <c r="T12" s="16">
        <f t="shared" si="3"/>
        <v>35935.131868028613</v>
      </c>
      <c r="U12" s="16">
        <f t="shared" si="3"/>
        <v>36065.576396709555</v>
      </c>
      <c r="V12" s="16">
        <f t="shared" si="3"/>
        <v>36196.494439029615</v>
      </c>
      <c r="W12" s="16">
        <f t="shared" si="3"/>
        <v>36327.887713843294</v>
      </c>
      <c r="X12" s="16">
        <f t="shared" si="3"/>
        <v>36459.757946244543</v>
      </c>
      <c r="Y12" s="16">
        <f t="shared" si="3"/>
        <v>36592.106867589413</v>
      </c>
      <c r="Z12" s="16">
        <f t="shared" si="3"/>
        <v>36660.534107431806</v>
      </c>
      <c r="AA12" s="16">
        <f t="shared" si="3"/>
        <v>36729.089306212707</v>
      </c>
      <c r="AB12" s="16">
        <f t="shared" si="3"/>
        <v>36797.772703215327</v>
      </c>
      <c r="AC12" s="16">
        <f t="shared" si="3"/>
        <v>36866.58453817034</v>
      </c>
      <c r="AD12" s="16">
        <f t="shared" si="3"/>
        <v>36935.525051256722</v>
      </c>
      <c r="AE12" s="16">
        <f t="shared" si="3"/>
        <v>37004.59448310257</v>
      </c>
      <c r="AF12" s="16">
        <f t="shared" si="3"/>
        <v>37073.793074785972</v>
      </c>
      <c r="AG12" s="16">
        <f t="shared" si="3"/>
        <v>37143.121067835826</v>
      </c>
      <c r="AH12" s="16">
        <f t="shared" si="3"/>
        <v>37212.578704232677</v>
      </c>
      <c r="AI12" s="16">
        <f t="shared" si="3"/>
        <v>37282.166226409594</v>
      </c>
      <c r="AJ12" s="16">
        <f t="shared" si="3"/>
        <v>37351.883877252978</v>
      </c>
      <c r="AK12" s="16">
        <f t="shared" si="3"/>
        <v>37421.731900103441</v>
      </c>
      <c r="AL12" s="16">
        <f t="shared" si="3"/>
        <v>37491.710538756633</v>
      </c>
      <c r="AM12" s="16">
        <f t="shared" si="3"/>
        <v>37561.820037464109</v>
      </c>
      <c r="AN12" s="16">
        <f t="shared" si="3"/>
        <v>37632.060640934171</v>
      </c>
      <c r="AO12" s="16">
        <f t="shared" si="3"/>
        <v>37702.43259433272</v>
      </c>
      <c r="AP12" s="16">
        <f t="shared" si="3"/>
        <v>37772.936143284125</v>
      </c>
      <c r="AQ12" s="16">
        <f t="shared" si="3"/>
        <v>37843.571533872069</v>
      </c>
      <c r="AR12" s="16">
        <f t="shared" si="3"/>
        <v>37914.339012640412</v>
      </c>
      <c r="AS12" s="16">
        <f t="shared" si="3"/>
        <v>37985.238826594054</v>
      </c>
      <c r="AT12" s="16">
        <f t="shared" si="3"/>
        <v>38056.271223199787</v>
      </c>
      <c r="AU12" s="16">
        <f t="shared" si="3"/>
        <v>38127.436450387169</v>
      </c>
      <c r="AV12" s="16">
        <f t="shared" si="3"/>
        <v>38198.734756549398</v>
      </c>
      <c r="AW12" s="16">
        <f t="shared" si="3"/>
        <v>38270.166390544146</v>
      </c>
      <c r="AX12" s="16">
        <f t="shared" si="3"/>
        <v>38341.731601694468</v>
      </c>
      <c r="AY12" s="16">
        <f t="shared" si="3"/>
        <v>38413.430639789636</v>
      </c>
      <c r="AZ12" s="16">
        <f t="shared" si="3"/>
        <v>38485.263755086045</v>
      </c>
      <c r="BA12" s="16">
        <f t="shared" si="3"/>
        <v>38557.231198308058</v>
      </c>
      <c r="BB12" s="16">
        <f t="shared" si="3"/>
        <v>38629.333220648892</v>
      </c>
      <c r="BC12" s="16">
        <f t="shared" si="3"/>
        <v>38701.570073771509</v>
      </c>
      <c r="BD12" s="16">
        <f t="shared" si="3"/>
        <v>38701.570073771509</v>
      </c>
      <c r="BE12" s="16">
        <f t="shared" si="3"/>
        <v>38701.570073771509</v>
      </c>
      <c r="BF12" s="16">
        <f t="shared" si="3"/>
        <v>38701.570073771509</v>
      </c>
      <c r="BG12" s="16">
        <f t="shared" si="3"/>
        <v>38701.570073771509</v>
      </c>
      <c r="BH12" s="16">
        <f t="shared" si="3"/>
        <v>38701.570073771509</v>
      </c>
      <c r="BI12" s="16">
        <f t="shared" si="3"/>
        <v>38701.570073771509</v>
      </c>
      <c r="BJ12" s="16">
        <f t="shared" si="3"/>
        <v>38701.570073771509</v>
      </c>
      <c r="BK12" s="16">
        <f t="shared" si="3"/>
        <v>38701.570073771509</v>
      </c>
      <c r="BL12" s="16">
        <f t="shared" si="3"/>
        <v>38701.570073771509</v>
      </c>
    </row>
    <row r="13" spans="1:68" s="16" customFormat="1">
      <c r="A13" s="23" t="s">
        <v>208</v>
      </c>
      <c r="D13" s="16">
        <f>C4*(1 + D8/100)</f>
        <v>9327.33</v>
      </c>
      <c r="E13" s="16">
        <f>D13*(1 + E8/100)</f>
        <v>9405.3064787999992</v>
      </c>
      <c r="F13" s="16">
        <f>E13*(1 + F8/100)</f>
        <v>9474.6235875487564</v>
      </c>
      <c r="G13" s="16">
        <f t="shared" ref="G13:BL13" si="4">F13*(1 + G8/100)</f>
        <v>9544.4515633889914</v>
      </c>
      <c r="H13" s="16">
        <f t="shared" si="4"/>
        <v>9614.7941714111694</v>
      </c>
      <c r="I13" s="16">
        <f t="shared" si="4"/>
        <v>9685.6552044544715</v>
      </c>
      <c r="J13" s="16">
        <f t="shared" si="4"/>
        <v>9757.0384833113021</v>
      </c>
      <c r="K13" s="16">
        <f t="shared" si="4"/>
        <v>9828.9478569333078</v>
      </c>
      <c r="L13" s="16">
        <f t="shared" si="4"/>
        <v>9901.3872026389072</v>
      </c>
      <c r="M13" s="16">
        <f t="shared" si="4"/>
        <v>9974.3604263223569</v>
      </c>
      <c r="N13" s="16">
        <f t="shared" si="4"/>
        <v>10047.871462664354</v>
      </c>
      <c r="O13" s="16">
        <f t="shared" si="4"/>
        <v>10121.924275344192</v>
      </c>
      <c r="P13" s="16">
        <f t="shared" si="4"/>
        <v>10158.666860463693</v>
      </c>
      <c r="Q13" s="16">
        <f t="shared" si="4"/>
        <v>10195.542821167175</v>
      </c>
      <c r="R13" s="16">
        <f t="shared" si="4"/>
        <v>10232.552641608012</v>
      </c>
      <c r="S13" s="16">
        <f t="shared" si="4"/>
        <v>10269.69680769705</v>
      </c>
      <c r="T13" s="16">
        <f t="shared" si="4"/>
        <v>10306.975807108991</v>
      </c>
      <c r="U13" s="16">
        <f t="shared" si="4"/>
        <v>10344.390129288797</v>
      </c>
      <c r="V13" s="16">
        <f t="shared" si="4"/>
        <v>10381.940265458115</v>
      </c>
      <c r="W13" s="16">
        <f t="shared" si="4"/>
        <v>10419.626708621729</v>
      </c>
      <c r="X13" s="16">
        <f t="shared" si="4"/>
        <v>10457.449953574025</v>
      </c>
      <c r="Y13" s="16">
        <f t="shared" si="4"/>
        <v>10495.410496905499</v>
      </c>
      <c r="Z13" s="16">
        <f t="shared" si="4"/>
        <v>10515.036914534712</v>
      </c>
      <c r="AA13" s="16">
        <f t="shared" si="4"/>
        <v>10534.700033564892</v>
      </c>
      <c r="AB13" s="16">
        <f t="shared" si="4"/>
        <v>10554.399922627659</v>
      </c>
      <c r="AC13" s="16">
        <f t="shared" si="4"/>
        <v>10574.136650482973</v>
      </c>
      <c r="AD13" s="16">
        <f t="shared" si="4"/>
        <v>10593.910286019376</v>
      </c>
      <c r="AE13" s="16">
        <f t="shared" si="4"/>
        <v>10613.720898254232</v>
      </c>
      <c r="AF13" s="16">
        <f t="shared" si="4"/>
        <v>10633.568556333968</v>
      </c>
      <c r="AG13" s="16">
        <f t="shared" si="4"/>
        <v>10653.453329534314</v>
      </c>
      <c r="AH13" s="16">
        <f t="shared" si="4"/>
        <v>10673.375287260544</v>
      </c>
      <c r="AI13" s="16">
        <f t="shared" si="4"/>
        <v>10693.334499047722</v>
      </c>
      <c r="AJ13" s="16">
        <f t="shared" si="4"/>
        <v>10713.331034560941</v>
      </c>
      <c r="AK13" s="16">
        <f t="shared" si="4"/>
        <v>10733.36496359557</v>
      </c>
      <c r="AL13" s="16">
        <f t="shared" si="4"/>
        <v>10753.436356077495</v>
      </c>
      <c r="AM13" s="16">
        <f t="shared" si="4"/>
        <v>10773.54528206336</v>
      </c>
      <c r="AN13" s="16">
        <f t="shared" si="4"/>
        <v>10793.691811740819</v>
      </c>
      <c r="AO13" s="16">
        <f t="shared" si="4"/>
        <v>10813.876015428774</v>
      </c>
      <c r="AP13" s="16">
        <f t="shared" si="4"/>
        <v>10834.097963577626</v>
      </c>
      <c r="AQ13" s="16">
        <f t="shared" si="4"/>
        <v>10854.357726769516</v>
      </c>
      <c r="AR13" s="16">
        <f t="shared" si="4"/>
        <v>10874.655375718576</v>
      </c>
      <c r="AS13" s="16">
        <f t="shared" si="4"/>
        <v>10894.99098127117</v>
      </c>
      <c r="AT13" s="16">
        <f t="shared" si="4"/>
        <v>10915.364614406148</v>
      </c>
      <c r="AU13" s="16">
        <f t="shared" si="4"/>
        <v>10935.776346235087</v>
      </c>
      <c r="AV13" s="16">
        <f t="shared" si="4"/>
        <v>10956.226248002547</v>
      </c>
      <c r="AW13" s="16">
        <f t="shared" si="4"/>
        <v>10976.714391086312</v>
      </c>
      <c r="AX13" s="16">
        <f t="shared" si="4"/>
        <v>10997.240846997644</v>
      </c>
      <c r="AY13" s="16">
        <f t="shared" si="4"/>
        <v>11017.805687381529</v>
      </c>
      <c r="AZ13" s="16">
        <f t="shared" si="4"/>
        <v>11038.408984016933</v>
      </c>
      <c r="BA13" s="16">
        <f t="shared" si="4"/>
        <v>11059.050808817045</v>
      </c>
      <c r="BB13" s="16">
        <f t="shared" si="4"/>
        <v>11079.731233829532</v>
      </c>
      <c r="BC13" s="16">
        <f t="shared" si="4"/>
        <v>11100.450331236794</v>
      </c>
      <c r="BD13" s="16">
        <f t="shared" si="4"/>
        <v>11100.450331236794</v>
      </c>
      <c r="BE13" s="16">
        <f t="shared" si="4"/>
        <v>11100.450331236794</v>
      </c>
      <c r="BF13" s="16">
        <f t="shared" si="4"/>
        <v>11100.450331236794</v>
      </c>
      <c r="BG13" s="16">
        <f t="shared" si="4"/>
        <v>11100.450331236794</v>
      </c>
      <c r="BH13" s="16">
        <f t="shared" si="4"/>
        <v>11100.450331236794</v>
      </c>
      <c r="BI13" s="16">
        <f t="shared" si="4"/>
        <v>11100.450331236794</v>
      </c>
      <c r="BJ13" s="16">
        <f t="shared" si="4"/>
        <v>11100.450331236794</v>
      </c>
      <c r="BK13" s="16">
        <f t="shared" si="4"/>
        <v>11100.450331236794</v>
      </c>
      <c r="BL13" s="16">
        <f t="shared" si="4"/>
        <v>11100.450331236794</v>
      </c>
    </row>
    <row r="14" spans="1:68" s="12" customFormat="1">
      <c r="D14" s="8"/>
      <c r="E14" s="8"/>
      <c r="F14" s="8"/>
      <c r="G14" s="8"/>
    </row>
    <row r="15" spans="1:68" s="16" customFormat="1">
      <c r="A15" s="16" t="s">
        <v>222</v>
      </c>
      <c r="D15" s="16">
        <f>D11*D12</f>
        <v>662746.98519197991</v>
      </c>
      <c r="E15" s="16">
        <f t="shared" ref="E15:BL15" si="5">E11*E12</f>
        <v>680982.27345900529</v>
      </c>
      <c r="F15" s="16">
        <f>F11*F12</f>
        <v>697844.57902658242</v>
      </c>
      <c r="G15" s="16">
        <f t="shared" si="5"/>
        <v>715124.42460971687</v>
      </c>
      <c r="H15" s="16">
        <f t="shared" si="5"/>
        <v>732832.14922544837</v>
      </c>
      <c r="I15" s="16">
        <f t="shared" si="5"/>
        <v>750978.34790286166</v>
      </c>
      <c r="J15" s="16">
        <f t="shared" si="5"/>
        <v>769573.87802239065</v>
      </c>
      <c r="K15" s="16">
        <f t="shared" si="5"/>
        <v>788629.86581209337</v>
      </c>
      <c r="L15" s="16">
        <f t="shared" si="5"/>
        <v>808157.71300478757</v>
      </c>
      <c r="M15" s="16">
        <f t="shared" si="5"/>
        <v>828169.10366002657</v>
      </c>
      <c r="N15" s="16">
        <f t="shared" si="5"/>
        <v>848676.01115500182</v>
      </c>
      <c r="O15" s="16">
        <f t="shared" si="5"/>
        <v>869690.70534854999</v>
      </c>
      <c r="P15" s="16">
        <f t="shared" si="5"/>
        <v>886436.43718612636</v>
      </c>
      <c r="Q15" s="16">
        <f t="shared" si="5"/>
        <v>903504.60495759442</v>
      </c>
      <c r="R15" s="16">
        <f t="shared" si="5"/>
        <v>920901.41710654297</v>
      </c>
      <c r="S15" s="16">
        <f t="shared" si="5"/>
        <v>938633.20161898038</v>
      </c>
      <c r="T15" s="16">
        <f t="shared" si="5"/>
        <v>956706.40832510218</v>
      </c>
      <c r="U15" s="16">
        <f t="shared" si="5"/>
        <v>975127.61124537734</v>
      </c>
      <c r="V15" s="16">
        <f t="shared" si="5"/>
        <v>993903.51098180981</v>
      </c>
      <c r="W15" s="16">
        <f t="shared" si="5"/>
        <v>1013040.9371552409</v>
      </c>
      <c r="X15" s="16">
        <f t="shared" si="5"/>
        <v>1032546.8508895838</v>
      </c>
      <c r="Y15" s="16">
        <f t="shared" si="5"/>
        <v>1052428.3473438909</v>
      </c>
      <c r="Z15" s="16">
        <f t="shared" si="5"/>
        <v>1075585.4327341355</v>
      </c>
      <c r="AA15" s="16">
        <f t="shared" si="5"/>
        <v>1095871.4179638249</v>
      </c>
      <c r="AB15" s="16">
        <f t="shared" si="5"/>
        <v>1116540.005248372</v>
      </c>
      <c r="AC15" s="16">
        <f t="shared" si="5"/>
        <v>1137598.4106204577</v>
      </c>
      <c r="AD15" s="16">
        <f t="shared" si="5"/>
        <v>1159053.986210118</v>
      </c>
      <c r="AE15" s="16">
        <f t="shared" si="5"/>
        <v>1183118.9177942239</v>
      </c>
      <c r="AF15" s="16">
        <f t="shared" si="5"/>
        <v>1207683.4990400693</v>
      </c>
      <c r="AG15" s="16">
        <f t="shared" si="5"/>
        <v>1232758.1039553096</v>
      </c>
      <c r="AH15" s="16">
        <f t="shared" si="5"/>
        <v>1258353.3219385887</v>
      </c>
      <c r="AI15" s="16">
        <f t="shared" si="5"/>
        <v>1284479.9622516094</v>
      </c>
      <c r="AJ15" s="16">
        <f t="shared" si="5"/>
        <v>1311149.0585840526</v>
      </c>
      <c r="AK15" s="16">
        <f t="shared" si="5"/>
        <v>1338371.8737132782</v>
      </c>
      <c r="AL15" s="16">
        <f t="shared" si="5"/>
        <v>1366159.9042607725</v>
      </c>
      <c r="AM15" s="16">
        <f t="shared" si="5"/>
        <v>1394524.8855473509</v>
      </c>
      <c r="AN15" s="16">
        <f t="shared" si="5"/>
        <v>1423478.7965491691</v>
      </c>
      <c r="AO15" s="16">
        <f t="shared" si="5"/>
        <v>1453033.8649566311</v>
      </c>
      <c r="AP15" s="16">
        <f t="shared" si="5"/>
        <v>1483202.572338335</v>
      </c>
      <c r="AQ15" s="16">
        <f t="shared" si="5"/>
        <v>1513997.6594122355</v>
      </c>
      <c r="AR15" s="16">
        <f t="shared" si="5"/>
        <v>1545432.1314262485</v>
      </c>
      <c r="AS15" s="16">
        <f t="shared" si="5"/>
        <v>1577519.2636505708</v>
      </c>
      <c r="AT15" s="16">
        <f t="shared" si="5"/>
        <v>1606546.9668807115</v>
      </c>
      <c r="AU15" s="16">
        <f t="shared" si="5"/>
        <v>1636108.8046689732</v>
      </c>
      <c r="AV15" s="16">
        <f t="shared" si="5"/>
        <v>1666214.6055479103</v>
      </c>
      <c r="AW15" s="16">
        <f t="shared" si="5"/>
        <v>1696874.3789034798</v>
      </c>
      <c r="AX15" s="16">
        <f t="shared" si="5"/>
        <v>1728098.318302898</v>
      </c>
      <c r="AY15" s="16">
        <f t="shared" si="5"/>
        <v>1759896.8048837332</v>
      </c>
      <c r="AZ15" s="16">
        <f t="shared" si="5"/>
        <v>1792280.410805362</v>
      </c>
      <c r="BA15" s="16">
        <f t="shared" si="5"/>
        <v>1825259.902763932</v>
      </c>
      <c r="BB15" s="16">
        <f t="shared" si="5"/>
        <v>1858846.2455720049</v>
      </c>
      <c r="BC15" s="16">
        <f t="shared" si="5"/>
        <v>1893050.6058040699</v>
      </c>
      <c r="BD15" s="16">
        <f t="shared" si="5"/>
        <v>1928748.4289928991</v>
      </c>
      <c r="BE15" s="16">
        <f t="shared" si="5"/>
        <v>1965119.416742947</v>
      </c>
      <c r="BF15" s="16">
        <f t="shared" si="5"/>
        <v>2002176.2631202941</v>
      </c>
      <c r="BG15" s="16">
        <f t="shared" si="5"/>
        <v>2039931.9015668326</v>
      </c>
      <c r="BH15" s="16">
        <f t="shared" si="5"/>
        <v>2078399.5094142489</v>
      </c>
      <c r="BI15" s="16">
        <f t="shared" si="5"/>
        <v>2117592.5124831265</v>
      </c>
      <c r="BJ15" s="16">
        <f t="shared" si="5"/>
        <v>2157524.5897687748</v>
      </c>
      <c r="BK15" s="16">
        <f t="shared" si="5"/>
        <v>2198209.6782154213</v>
      </c>
      <c r="BL15" s="16">
        <f t="shared" si="5"/>
        <v>2239661.9775804332</v>
      </c>
    </row>
    <row r="16" spans="1:68" s="16" customFormat="1">
      <c r="A16" s="16" t="s">
        <v>210</v>
      </c>
      <c r="D16" s="16">
        <f>D10*D13</f>
        <v>190090.22055894</v>
      </c>
      <c r="E16" s="16">
        <f>E10*E13</f>
        <v>195320.49703862946</v>
      </c>
      <c r="F16" s="16">
        <f t="shared" ref="F16:BL16" si="6">F10*F13</f>
        <v>200156.97227894227</v>
      </c>
      <c r="G16" s="16">
        <f t="shared" si="6"/>
        <v>205113.20705860099</v>
      </c>
      <c r="H16" s="16">
        <f t="shared" si="6"/>
        <v>210192.16683210537</v>
      </c>
      <c r="I16" s="16">
        <f t="shared" si="6"/>
        <v>215396.89048376659</v>
      </c>
      <c r="J16" s="16">
        <f t="shared" si="6"/>
        <v>220730.49214595711</v>
      </c>
      <c r="K16" s="16">
        <f t="shared" si="6"/>
        <v>226196.16306238348</v>
      </c>
      <c r="L16" s="16">
        <f t="shared" si="6"/>
        <v>231797.17349749731</v>
      </c>
      <c r="M16" s="16">
        <f t="shared" si="6"/>
        <v>237536.87469318602</v>
      </c>
      <c r="N16" s="16">
        <f t="shared" si="6"/>
        <v>243418.7008739154</v>
      </c>
      <c r="O16" s="16">
        <f t="shared" si="6"/>
        <v>249446.17130152223</v>
      </c>
      <c r="P16" s="16">
        <f t="shared" si="6"/>
        <v>254249.21066578836</v>
      </c>
      <c r="Q16" s="16">
        <f t="shared" si="6"/>
        <v>259144.73165450399</v>
      </c>
      <c r="R16" s="16">
        <f t="shared" si="6"/>
        <v>264134.51498404739</v>
      </c>
      <c r="S16" s="16">
        <f t="shared" si="6"/>
        <v>269220.37565815734</v>
      </c>
      <c r="T16" s="16">
        <f t="shared" si="6"/>
        <v>274404.16362813034</v>
      </c>
      <c r="U16" s="16">
        <f t="shared" si="6"/>
        <v>279687.76446572866</v>
      </c>
      <c r="V16" s="16">
        <f t="shared" si="6"/>
        <v>285073.10004904645</v>
      </c>
      <c r="W16" s="16">
        <f t="shared" si="6"/>
        <v>290562.12926158094</v>
      </c>
      <c r="X16" s="16">
        <f t="shared" si="6"/>
        <v>296156.84870476462</v>
      </c>
      <c r="Y16" s="16">
        <f t="shared" si="6"/>
        <v>301859.29342421697</v>
      </c>
      <c r="Z16" s="16">
        <f t="shared" si="6"/>
        <v>308501.24814855075</v>
      </c>
      <c r="AA16" s="16">
        <f t="shared" si="6"/>
        <v>314319.70902838412</v>
      </c>
      <c r="AB16" s="16">
        <f t="shared" si="6"/>
        <v>320247.90848209144</v>
      </c>
      <c r="AC16" s="16">
        <f t="shared" si="6"/>
        <v>326287.91622447263</v>
      </c>
      <c r="AD16" s="16">
        <f t="shared" si="6"/>
        <v>332441.84100600303</v>
      </c>
      <c r="AE16" s="16">
        <f t="shared" si="6"/>
        <v>339344.18572392489</v>
      </c>
      <c r="AF16" s="16">
        <f t="shared" si="6"/>
        <v>346389.84080994257</v>
      </c>
      <c r="AG16" s="16">
        <f t="shared" si="6"/>
        <v>353581.78175462387</v>
      </c>
      <c r="AH16" s="16">
        <f t="shared" si="6"/>
        <v>360923.04582734744</v>
      </c>
      <c r="AI16" s="16">
        <f t="shared" si="6"/>
        <v>368416.73335898906</v>
      </c>
      <c r="AJ16" s="16">
        <f t="shared" si="6"/>
        <v>376066.00905124022</v>
      </c>
      <c r="AK16" s="16">
        <f t="shared" si="6"/>
        <v>383874.10331311112</v>
      </c>
      <c r="AL16" s="16">
        <f t="shared" si="6"/>
        <v>391844.31362518319</v>
      </c>
      <c r="AM16" s="16">
        <f t="shared" si="6"/>
        <v>399980.00593218632</v>
      </c>
      <c r="AN16" s="16">
        <f t="shared" si="6"/>
        <v>408284.61606449075</v>
      </c>
      <c r="AO16" s="16">
        <f t="shared" si="6"/>
        <v>416761.65118911158</v>
      </c>
      <c r="AP16" s="16">
        <f t="shared" si="6"/>
        <v>425414.69129084062</v>
      </c>
      <c r="AQ16" s="16">
        <f t="shared" si="6"/>
        <v>434247.3906841299</v>
      </c>
      <c r="AR16" s="16">
        <f t="shared" si="6"/>
        <v>443263.47955636616</v>
      </c>
      <c r="AS16" s="16">
        <f t="shared" si="6"/>
        <v>452466.76554318727</v>
      </c>
      <c r="AT16" s="16">
        <f t="shared" si="6"/>
        <v>460792.54088826641</v>
      </c>
      <c r="AU16" s="16">
        <f t="shared" si="6"/>
        <v>469271.51761823293</v>
      </c>
      <c r="AV16" s="16">
        <f t="shared" si="6"/>
        <v>477906.514769556</v>
      </c>
      <c r="AW16" s="16">
        <f t="shared" si="6"/>
        <v>486700.40325138596</v>
      </c>
      <c r="AX16" s="16">
        <f t="shared" si="6"/>
        <v>495656.10680005624</v>
      </c>
      <c r="AY16" s="16">
        <f t="shared" si="6"/>
        <v>504776.60295114852</v>
      </c>
      <c r="AZ16" s="16">
        <f t="shared" si="6"/>
        <v>514064.92402944516</v>
      </c>
      <c r="BA16" s="16">
        <f t="shared" si="6"/>
        <v>523524.158157097</v>
      </c>
      <c r="BB16" s="16">
        <f t="shared" si="6"/>
        <v>533157.45028034272</v>
      </c>
      <c r="BC16" s="16">
        <f t="shared" si="6"/>
        <v>542968.00321512099</v>
      </c>
      <c r="BD16" s="16">
        <f t="shared" si="6"/>
        <v>553206.9137421496</v>
      </c>
      <c r="BE16" s="16">
        <f t="shared" si="6"/>
        <v>563638.90247665951</v>
      </c>
      <c r="BF16" s="16">
        <f t="shared" si="6"/>
        <v>574267.61035233259</v>
      </c>
      <c r="BG16" s="16">
        <f t="shared" si="6"/>
        <v>585096.74696102971</v>
      </c>
      <c r="BH16" s="16">
        <f t="shared" si="6"/>
        <v>596130.09184749797</v>
      </c>
      <c r="BI16" s="16">
        <f t="shared" si="6"/>
        <v>607371.49582849385</v>
      </c>
      <c r="BJ16" s="16">
        <f t="shared" si="6"/>
        <v>618824.88233678055</v>
      </c>
      <c r="BK16" s="16">
        <f t="shared" si="6"/>
        <v>630494.24879046995</v>
      </c>
      <c r="BL16" s="16">
        <f t="shared" si="6"/>
        <v>642383.66798818659</v>
      </c>
    </row>
    <row r="17" spans="1:64" s="12" customFormat="1">
      <c r="D17" s="8"/>
      <c r="E17" s="8"/>
      <c r="F17" s="8"/>
      <c r="G17" s="8"/>
    </row>
    <row r="18" spans="1:64" s="12" customFormat="1">
      <c r="A18" s="12" t="s">
        <v>150</v>
      </c>
      <c r="D18" s="8"/>
      <c r="E18" s="8"/>
      <c r="F18" s="8"/>
      <c r="G18" s="8"/>
      <c r="X18" s="12" t="s">
        <v>153</v>
      </c>
    </row>
    <row r="19" spans="1:64" s="12" customFormat="1">
      <c r="A19" s="12" t="s">
        <v>151</v>
      </c>
      <c r="D19" s="16">
        <v>0.68137824235385214</v>
      </c>
      <c r="E19" s="16">
        <v>0.49603937552872412</v>
      </c>
      <c r="F19" s="16">
        <v>0.84178304955041128</v>
      </c>
      <c r="G19" s="16">
        <v>0.22386643900588124</v>
      </c>
      <c r="H19" s="16">
        <v>1.0676104644798734</v>
      </c>
      <c r="I19" s="16">
        <v>1.0563329434360114</v>
      </c>
      <c r="J19" s="16">
        <v>1.0452911882595783</v>
      </c>
      <c r="K19" s="16">
        <v>1.0344778821133493</v>
      </c>
      <c r="L19" s="16">
        <v>1.0238860078243928</v>
      </c>
      <c r="M19" s="16">
        <v>0.97956356078974238</v>
      </c>
      <c r="N19" s="16">
        <v>0.97006119480804731</v>
      </c>
      <c r="O19" s="16">
        <v>0.96074141515716249</v>
      </c>
      <c r="P19" s="16">
        <v>0.95159900936792052</v>
      </c>
      <c r="Q19" s="16">
        <v>0.9426289615082073</v>
      </c>
      <c r="R19" s="16">
        <v>0.88297450799101895</v>
      </c>
      <c r="S19" s="16">
        <v>0.87524630622493049</v>
      </c>
      <c r="T19" s="16">
        <v>0.86765221228601863</v>
      </c>
      <c r="U19" s="16">
        <v>0.86018876543290101</v>
      </c>
      <c r="V19" s="16">
        <v>0.85285262298426812</v>
      </c>
      <c r="W19" s="16">
        <v>0.77669902912620437</v>
      </c>
      <c r="X19" s="16">
        <v>0.33014370726778264</v>
      </c>
      <c r="Y19" s="16">
        <v>0.31947064619313181</v>
      </c>
      <c r="Z19" s="16">
        <v>0.31039777173893501</v>
      </c>
      <c r="AA19" s="16">
        <v>0.30292092879036225</v>
      </c>
      <c r="AB19" s="16">
        <v>0.2901782559961319</v>
      </c>
      <c r="AC19" s="16">
        <v>0.2901782559961319</v>
      </c>
      <c r="AD19" s="16">
        <v>0.2901782559961319</v>
      </c>
      <c r="AE19" s="16">
        <v>0.2901782559961319</v>
      </c>
      <c r="AF19" s="16">
        <v>0.27242979281723034</v>
      </c>
      <c r="AG19" s="16">
        <v>0.27242979281723034</v>
      </c>
      <c r="AH19" s="16">
        <v>0.27242979281723034</v>
      </c>
      <c r="AI19" s="16">
        <v>0.27242979281723034</v>
      </c>
      <c r="AJ19" s="16">
        <v>0.27242979281723034</v>
      </c>
      <c r="AK19" s="16">
        <v>0.24428588407565677</v>
      </c>
      <c r="AL19" s="16">
        <v>0.24428588407565677</v>
      </c>
      <c r="AM19" s="16">
        <v>0.24428588407565677</v>
      </c>
      <c r="AN19" s="16">
        <v>0.24428588407565677</v>
      </c>
      <c r="AO19" s="16">
        <v>0.24428588407565677</v>
      </c>
      <c r="AP19" s="16">
        <v>0.20927141402511396</v>
      </c>
      <c r="AQ19" s="16">
        <v>0.20927141402511396</v>
      </c>
      <c r="AR19" s="16">
        <v>0.20927141402511396</v>
      </c>
      <c r="AS19" s="16">
        <v>0.20927141402511396</v>
      </c>
      <c r="AT19" s="16">
        <v>0.20927141402511396</v>
      </c>
      <c r="AU19" s="16">
        <v>0.18364610090317868</v>
      </c>
      <c r="AV19" s="16">
        <v>0.18364610090317868</v>
      </c>
      <c r="AW19" s="16">
        <v>0.18364610090317868</v>
      </c>
      <c r="AX19" s="16">
        <v>0.18364610090317868</v>
      </c>
      <c r="AY19" s="16">
        <v>0.18364610090317868</v>
      </c>
      <c r="AZ19" s="16">
        <v>0.18364610090317868</v>
      </c>
      <c r="BA19" s="16">
        <v>0.18364610090317868</v>
      </c>
      <c r="BB19" s="16">
        <v>0.18364610090317868</v>
      </c>
      <c r="BC19" s="16">
        <v>0.18364610090317868</v>
      </c>
      <c r="BD19" s="16">
        <v>0.18364610090317868</v>
      </c>
      <c r="BE19" s="16">
        <v>0.19946856786661193</v>
      </c>
      <c r="BF19" s="16">
        <v>0.19946856786661193</v>
      </c>
      <c r="BG19" s="16">
        <v>0.19946856786661193</v>
      </c>
      <c r="BH19" s="16">
        <v>0.19946856786661193</v>
      </c>
      <c r="BI19" s="16">
        <v>0.19946856786661193</v>
      </c>
      <c r="BJ19" s="16">
        <v>0.22057995930369056</v>
      </c>
      <c r="BK19" s="16">
        <v>0.22057995930369056</v>
      </c>
      <c r="BL19" s="16">
        <v>0.22057995930369056</v>
      </c>
    </row>
    <row r="20" spans="1:64" s="12" customFormat="1">
      <c r="A20" s="12" t="s">
        <v>152</v>
      </c>
      <c r="D20" s="16">
        <v>1.221614590846487</v>
      </c>
      <c r="E20" s="16">
        <v>1.143472259701972</v>
      </c>
      <c r="F20" s="16">
        <v>-0.18122608082978831</v>
      </c>
      <c r="G20" s="16">
        <v>1.5021414538946232</v>
      </c>
      <c r="H20" s="16">
        <v>1.6151460670912332</v>
      </c>
      <c r="I20" s="16">
        <v>1.230667114410422</v>
      </c>
      <c r="J20" s="16">
        <v>1.5386256929516895</v>
      </c>
      <c r="K20" s="16">
        <v>1.5494929559721982</v>
      </c>
      <c r="L20" s="16">
        <v>1.4611534464842091</v>
      </c>
      <c r="M20" s="16">
        <v>1.4809297906204444</v>
      </c>
      <c r="N20" s="16">
        <v>1.4657204201714791</v>
      </c>
      <c r="O20" s="16">
        <v>1.4503247146548937</v>
      </c>
      <c r="P20" s="16">
        <v>1.4347479434156041</v>
      </c>
      <c r="Q20" s="16">
        <v>1.4437617223616472</v>
      </c>
      <c r="R20" s="16">
        <v>1.5037477824256795</v>
      </c>
      <c r="S20" s="16">
        <v>1.5115241346191244</v>
      </c>
      <c r="T20" s="16">
        <v>1.5191667041967172</v>
      </c>
      <c r="U20" s="16">
        <v>1.5266789140641057</v>
      </c>
      <c r="V20" s="16">
        <v>1.5340640713449982</v>
      </c>
      <c r="W20" s="16">
        <v>1.6107899807321857</v>
      </c>
      <c r="X20" s="16">
        <v>2.0630452785669551</v>
      </c>
      <c r="Y20" s="16">
        <v>2.0739038398084109</v>
      </c>
      <c r="Z20" s="16">
        <v>2.0831362198523662</v>
      </c>
      <c r="AA20" s="16">
        <v>2.090745764720503</v>
      </c>
      <c r="AB20" s="16">
        <v>2.1037172140809801</v>
      </c>
      <c r="AC20" s="16">
        <v>2.1037172140809801</v>
      </c>
      <c r="AD20" s="16">
        <v>2.1037172140809801</v>
      </c>
      <c r="AE20" s="16">
        <v>2.1037172140809801</v>
      </c>
      <c r="AF20" s="16">
        <v>2.1217898195732943</v>
      </c>
      <c r="AG20" s="16">
        <v>2.1217898195732943</v>
      </c>
      <c r="AH20" s="16">
        <v>2.1217898195732943</v>
      </c>
      <c r="AI20" s="23">
        <v>2.1217898195732943</v>
      </c>
      <c r="AJ20" s="16">
        <v>2.1217898195732943</v>
      </c>
      <c r="AK20" s="16">
        <v>2.1504608436407668</v>
      </c>
      <c r="AL20" s="16">
        <v>2.1504608436407668</v>
      </c>
      <c r="AM20" s="16">
        <v>2.1504608436407668</v>
      </c>
      <c r="AN20" s="16">
        <v>2.1504608436407668</v>
      </c>
      <c r="AO20" s="16">
        <v>2.1504608436407668</v>
      </c>
      <c r="AP20" s="16">
        <v>2.1861535914413199</v>
      </c>
      <c r="AQ20" s="16">
        <v>2.1861535914413199</v>
      </c>
      <c r="AR20" s="16">
        <v>2.1861535914413199</v>
      </c>
      <c r="AS20" s="16">
        <v>2.1861535914413199</v>
      </c>
      <c r="AT20" s="16">
        <v>2.1861535914413199</v>
      </c>
      <c r="AU20" s="12">
        <v>2.2122911127276712</v>
      </c>
      <c r="AV20" s="12">
        <v>2.2122911127276712</v>
      </c>
      <c r="AW20" s="12">
        <v>2.2122911127276712</v>
      </c>
      <c r="AX20" s="12">
        <v>2.2122911127276712</v>
      </c>
      <c r="AY20" s="12">
        <v>2.2122911127276712</v>
      </c>
      <c r="AZ20" s="12">
        <v>2.2181288114146103</v>
      </c>
      <c r="BA20" s="12">
        <v>2.2140884620266643</v>
      </c>
      <c r="BB20" s="12">
        <v>2.2140884620266643</v>
      </c>
      <c r="BC20" s="12">
        <v>2.2140884620266643</v>
      </c>
      <c r="BD20" s="12">
        <v>2.2140884620266643</v>
      </c>
      <c r="BE20" s="12">
        <v>2.1961508015812869</v>
      </c>
      <c r="BF20" s="12">
        <v>2.1961508015812869</v>
      </c>
      <c r="BG20" s="12">
        <v>2.1961508015812869</v>
      </c>
      <c r="BH20" s="12">
        <v>2.1961508015812869</v>
      </c>
      <c r="BI20" s="12">
        <v>2.1961508015812869</v>
      </c>
      <c r="BJ20" s="12">
        <v>2.1746232575996949</v>
      </c>
      <c r="BK20" s="12">
        <v>2.1746232575996949</v>
      </c>
      <c r="BL20" s="12">
        <v>2.1746232575996949</v>
      </c>
    </row>
    <row r="21" spans="1:64" s="16" customFormat="1">
      <c r="A21" s="23" t="s">
        <v>154</v>
      </c>
      <c r="D21" s="16">
        <f>F5*(1 + D20/100)</f>
        <v>20.244322918169296</v>
      </c>
      <c r="E21" s="16">
        <f>D21*(1 + E20/100)</f>
        <v>20.475811134903051</v>
      </c>
      <c r="F21" s="16">
        <f t="shared" ref="F21:BL21" si="7">E21*(1 + F20/100)</f>
        <v>20.438703624865155</v>
      </c>
      <c r="G21" s="16">
        <f t="shared" si="7"/>
        <v>20.745721864652918</v>
      </c>
      <c r="H21" s="16">
        <f t="shared" si="7"/>
        <v>21.080795575439545</v>
      </c>
      <c r="I21" s="16">
        <f t="shared" si="7"/>
        <v>21.340229994042566</v>
      </c>
      <c r="J21" s="16">
        <f t="shared" si="7"/>
        <v>21.668576255665887</v>
      </c>
      <c r="K21" s="16">
        <f t="shared" si="7"/>
        <v>22.004329318406892</v>
      </c>
      <c r="L21" s="16">
        <f t="shared" si="7"/>
        <v>22.325846334618529</v>
      </c>
      <c r="M21" s="16">
        <f t="shared" si="7"/>
        <v>22.656476443996038</v>
      </c>
      <c r="N21" s="16">
        <f t="shared" si="7"/>
        <v>22.988557045727028</v>
      </c>
      <c r="O21" s="16">
        <f t="shared" si="7"/>
        <v>23.321965770103745</v>
      </c>
      <c r="P21" s="16">
        <f t="shared" si="7"/>
        <v>23.656577194354398</v>
      </c>
      <c r="Q21" s="16">
        <f t="shared" si="7"/>
        <v>23.998121800707423</v>
      </c>
      <c r="R21" s="16">
        <f t="shared" si="7"/>
        <v>24.358993025109374</v>
      </c>
      <c r="S21" s="16">
        <f t="shared" si="7"/>
        <v>24.72718508363409</v>
      </c>
      <c r="T21" s="16">
        <f t="shared" si="7"/>
        <v>25.102832246309756</v>
      </c>
      <c r="U21" s="16">
        <f t="shared" si="7"/>
        <v>25.48607189304705</v>
      </c>
      <c r="V21" s="16">
        <f t="shared" si="7"/>
        <v>25.87704456515544</v>
      </c>
      <c r="W21" s="16">
        <f t="shared" si="7"/>
        <v>26.293869406320567</v>
      </c>
      <c r="X21" s="16">
        <f t="shared" si="7"/>
        <v>26.836323837660224</v>
      </c>
      <c r="Y21" s="16">
        <f t="shared" si="7"/>
        <v>27.392883388192878</v>
      </c>
      <c r="Z21" s="16">
        <f t="shared" si="7"/>
        <v>27.963514463714247</v>
      </c>
      <c r="AA21" s="16">
        <f t="shared" si="7"/>
        <v>28.548160458031358</v>
      </c>
      <c r="AB21" s="16">
        <f t="shared" si="7"/>
        <v>29.148733023890422</v>
      </c>
      <c r="AC21" s="16">
        <f t="shared" si="7"/>
        <v>29.761939938200513</v>
      </c>
      <c r="AD21" s="16">
        <f t="shared" si="7"/>
        <v>30.388046991924877</v>
      </c>
      <c r="AE21" s="16">
        <f t="shared" si="7"/>
        <v>31.027325567517018</v>
      </c>
      <c r="AF21" s="16">
        <f t="shared" si="7"/>
        <v>31.685660202694457</v>
      </c>
      <c r="AG21" s="16">
        <f t="shared" si="7"/>
        <v>32.357963315139813</v>
      </c>
      <c r="AH21" s="16">
        <f t="shared" si="7"/>
        <v>33.044531286581709</v>
      </c>
      <c r="AI21" s="16">
        <f t="shared" si="7"/>
        <v>33.74566678734611</v>
      </c>
      <c r="AJ21" s="16">
        <f t="shared" si="7"/>
        <v>34.461678909787146</v>
      </c>
      <c r="AK21" s="16">
        <f t="shared" si="7"/>
        <v>35.202763820803327</v>
      </c>
      <c r="AL21" s="16">
        <f t="shared" si="7"/>
        <v>35.959785472649038</v>
      </c>
      <c r="AM21" s="16">
        <f t="shared" si="7"/>
        <v>36.733086578695577</v>
      </c>
      <c r="AN21" s="16">
        <f t="shared" si="7"/>
        <v>37.52301722223109</v>
      </c>
      <c r="AO21" s="16">
        <f t="shared" si="7"/>
        <v>38.32993501494775</v>
      </c>
      <c r="AP21" s="16">
        <f t="shared" si="7"/>
        <v>39.167886265874152</v>
      </c>
      <c r="AQ21" s="16">
        <f t="shared" si="7"/>
        <v>40.024156418167209</v>
      </c>
      <c r="AR21" s="16">
        <f t="shared" si="7"/>
        <v>40.899145951147062</v>
      </c>
      <c r="AS21" s="16">
        <f t="shared" si="7"/>
        <v>41.793264099226889</v>
      </c>
      <c r="AT21" s="16">
        <f t="shared" si="7"/>
        <v>42.706929043312691</v>
      </c>
      <c r="AU21" s="16">
        <f t="shared" si="7"/>
        <v>43.651730639056808</v>
      </c>
      <c r="AV21" s="16">
        <f>AU21*(1 + AV20/100)</f>
        <v>44.617433996536484</v>
      </c>
      <c r="AW21" s="16">
        <f t="shared" si="7"/>
        <v>45.604501523568992</v>
      </c>
      <c r="AX21" s="16">
        <f t="shared" si="7"/>
        <v>46.613405857778666</v>
      </c>
      <c r="AY21" s="16">
        <f t="shared" si="7"/>
        <v>47.644630092909985</v>
      </c>
      <c r="AZ21" s="16">
        <f t="shared" si="7"/>
        <v>48.701449360092738</v>
      </c>
      <c r="BA21" s="16">
        <f t="shared" si="7"/>
        <v>49.77974253121431</v>
      </c>
      <c r="BB21" s="16">
        <f t="shared" si="7"/>
        <v>50.881910067024506</v>
      </c>
      <c r="BC21" s="16">
        <f t="shared" si="7"/>
        <v>52.008480567077278</v>
      </c>
      <c r="BD21" s="16">
        <f t="shared" si="7"/>
        <v>53.159994334588319</v>
      </c>
      <c r="BE21" s="16">
        <f t="shared" si="7"/>
        <v>54.327467976287949</v>
      </c>
      <c r="BF21" s="16">
        <f t="shared" si="7"/>
        <v>55.520581099728012</v>
      </c>
      <c r="BG21" s="16">
        <f t="shared" si="7"/>
        <v>56.739896786592276</v>
      </c>
      <c r="BH21" s="16">
        <f t="shared" si="7"/>
        <v>57.98599048468742</v>
      </c>
      <c r="BI21" s="16">
        <f t="shared" si="7"/>
        <v>59.259450279521729</v>
      </c>
      <c r="BJ21" s="16">
        <f t="shared" si="7"/>
        <v>60.548120067625938</v>
      </c>
      <c r="BK21" s="16">
        <f t="shared" si="7"/>
        <v>61.864813568655919</v>
      </c>
      <c r="BL21" s="16">
        <f t="shared" si="7"/>
        <v>63.210140192790604</v>
      </c>
    </row>
    <row r="22" spans="1:64" s="12" customFormat="1">
      <c r="A22" s="16" t="s">
        <v>107</v>
      </c>
      <c r="D22" s="16">
        <f>C3*(1 + D19/100)</f>
        <v>41782.771970576854</v>
      </c>
      <c r="E22" s="16">
        <f>D22*(1 + E19/100)</f>
        <v>41990.030971738299</v>
      </c>
      <c r="F22" s="16">
        <f t="shared" ref="F22:BL22" si="8">E22*(1 + F19/100)</f>
        <v>42343.495934959356</v>
      </c>
      <c r="G22" s="16">
        <f t="shared" si="8"/>
        <v>42438.288811459548</v>
      </c>
      <c r="H22" s="16">
        <f t="shared" si="8"/>
        <v>42891.364423756881</v>
      </c>
      <c r="I22" s="16">
        <f t="shared" si="8"/>
        <v>43344.44003605422</v>
      </c>
      <c r="J22" s="16">
        <f t="shared" si="8"/>
        <v>43797.515648351553</v>
      </c>
      <c r="K22" s="16">
        <f t="shared" si="8"/>
        <v>44250.591260648886</v>
      </c>
      <c r="L22" s="16">
        <f t="shared" si="8"/>
        <v>44703.666872946233</v>
      </c>
      <c r="M22" s="16">
        <f t="shared" si="8"/>
        <v>45141.567703970446</v>
      </c>
      <c r="N22" s="16">
        <f t="shared" si="8"/>
        <v>45579.468534994667</v>
      </c>
      <c r="O22" s="16">
        <f t="shared" si="8"/>
        <v>46017.369366018887</v>
      </c>
      <c r="P22" s="16">
        <f t="shared" si="8"/>
        <v>46455.270197043101</v>
      </c>
      <c r="Q22" s="16">
        <f t="shared" si="8"/>
        <v>46893.171028067321</v>
      </c>
      <c r="R22" s="16">
        <f t="shared" si="8"/>
        <v>47307.225774233782</v>
      </c>
      <c r="S22" s="16">
        <f t="shared" si="8"/>
        <v>47721.280520400251</v>
      </c>
      <c r="T22" s="16">
        <f t="shared" si="8"/>
        <v>48135.335266566719</v>
      </c>
      <c r="U22" s="16">
        <f t="shared" si="8"/>
        <v>48549.390012733187</v>
      </c>
      <c r="V22" s="16">
        <f t="shared" si="8"/>
        <v>48963.444758899641</v>
      </c>
      <c r="W22" s="16">
        <f t="shared" si="8"/>
        <v>49343.743358968757</v>
      </c>
      <c r="X22" s="16">
        <f t="shared" si="8"/>
        <v>49506.648622598754</v>
      </c>
      <c r="Y22" s="16">
        <f t="shared" si="8"/>
        <v>49664.80783286193</v>
      </c>
      <c r="Z22" s="16">
        <f t="shared" si="8"/>
        <v>49818.966289713557</v>
      </c>
      <c r="AA22" s="16">
        <f t="shared" si="8"/>
        <v>49969.878365112112</v>
      </c>
      <c r="AB22" s="16">
        <f t="shared" si="8"/>
        <v>50114.880086675381</v>
      </c>
      <c r="AC22" s="16">
        <f t="shared" si="8"/>
        <v>50260.302571705448</v>
      </c>
      <c r="AD22" s="16">
        <f t="shared" si="8"/>
        <v>50406.147041166405</v>
      </c>
      <c r="AE22" s="16">
        <f t="shared" si="8"/>
        <v>50552.414719565306</v>
      </c>
      <c r="AF22" s="16">
        <f t="shared" si="8"/>
        <v>50690.134558249927</v>
      </c>
      <c r="AG22" s="16">
        <f t="shared" si="8"/>
        <v>50828.229586805741</v>
      </c>
      <c r="AH22" s="16">
        <f t="shared" si="8"/>
        <v>50966.700827361739</v>
      </c>
      <c r="AI22" s="16">
        <f t="shared" si="8"/>
        <v>51105.549304831497</v>
      </c>
      <c r="AJ22" s="16">
        <f t="shared" si="8"/>
        <v>51244.776046920757</v>
      </c>
      <c r="AK22" s="16">
        <f t="shared" si="8"/>
        <v>51369.959801129567</v>
      </c>
      <c r="AL22" s="16">
        <f t="shared" si="8"/>
        <v>51495.449361579063</v>
      </c>
      <c r="AM22" s="16">
        <f t="shared" si="8"/>
        <v>51621.24547531073</v>
      </c>
      <c r="AN22" s="16">
        <f t="shared" si="8"/>
        <v>51747.348891190959</v>
      </c>
      <c r="AO22" s="16">
        <f t="shared" si="8"/>
        <v>51873.760359915519</v>
      </c>
      <c r="AP22" s="16">
        <f t="shared" si="8"/>
        <v>51982.317311728715</v>
      </c>
      <c r="AQ22" s="16">
        <f t="shared" si="8"/>
        <v>52091.101442209991</v>
      </c>
      <c r="AR22" s="16">
        <f t="shared" si="8"/>
        <v>52200.113226779358</v>
      </c>
      <c r="AS22" s="16">
        <f t="shared" si="8"/>
        <v>52309.353141851752</v>
      </c>
      <c r="AT22" s="16">
        <f t="shared" si="8"/>
        <v>52418.821664839095</v>
      </c>
      <c r="AU22" s="16">
        <f t="shared" si="8"/>
        <v>52515.086786965963</v>
      </c>
      <c r="AV22" s="16">
        <f>AU22*(1 + AV19/100)</f>
        <v>52611.52869623615</v>
      </c>
      <c r="AW22" s="16">
        <f t="shared" si="8"/>
        <v>52708.147717312342</v>
      </c>
      <c r="AX22" s="16">
        <f t="shared" si="8"/>
        <v>52804.944175453471</v>
      </c>
      <c r="AY22" s="16">
        <f t="shared" si="8"/>
        <v>52901.918396515794</v>
      </c>
      <c r="AZ22" s="16">
        <f t="shared" si="8"/>
        <v>52999.070706953979</v>
      </c>
      <c r="BA22" s="16">
        <f t="shared" si="8"/>
        <v>53096.401433822219</v>
      </c>
      <c r="BB22" s="16">
        <f t="shared" si="8"/>
        <v>53193.91090477533</v>
      </c>
      <c r="BC22" s="16">
        <f t="shared" si="8"/>
        <v>53291.599448069857</v>
      </c>
      <c r="BD22" s="16">
        <f t="shared" si="8"/>
        <v>53389.46739256518</v>
      </c>
      <c r="BE22" s="16">
        <f t="shared" si="8"/>
        <v>53495.962598564744</v>
      </c>
      <c r="BF22" s="16">
        <f t="shared" si="8"/>
        <v>53602.67022902656</v>
      </c>
      <c r="BG22" s="16">
        <f t="shared" si="8"/>
        <v>53709.590707670664</v>
      </c>
      <c r="BH22" s="16">
        <f t="shared" si="8"/>
        <v>53816.724459062272</v>
      </c>
      <c r="BI22" s="16">
        <f t="shared" si="8"/>
        <v>53924.071908613485</v>
      </c>
      <c r="BJ22" s="16">
        <f t="shared" si="8"/>
        <v>54043.017604484397</v>
      </c>
      <c r="BK22" s="16">
        <f t="shared" si="8"/>
        <v>54162.225670722859</v>
      </c>
      <c r="BL22" s="16">
        <f t="shared" si="8"/>
        <v>54281.696686065312</v>
      </c>
    </row>
    <row r="23" spans="1:64" s="12" customFormat="1">
      <c r="D23" s="8"/>
      <c r="E23" s="8"/>
      <c r="F23" s="8"/>
      <c r="G23" s="8"/>
      <c r="N23" s="22"/>
      <c r="AB23" s="21"/>
      <c r="AC23" s="21"/>
      <c r="AD23" s="21"/>
      <c r="AE23" s="21"/>
      <c r="AF23" s="21"/>
      <c r="AM23" s="21"/>
      <c r="AS23" s="22"/>
      <c r="AZ23" s="21"/>
    </row>
    <row r="24" spans="1:64" s="16" customFormat="1">
      <c r="A24" s="16" t="s">
        <v>149</v>
      </c>
      <c r="D24" s="16">
        <f>D21*D22</f>
        <v>845863.92818859068</v>
      </c>
      <c r="E24" s="16">
        <f>E21*E22</f>
        <v>859779.94372604298</v>
      </c>
      <c r="F24" s="16">
        <f t="shared" ref="F24:BL24" si="9">F21*F22</f>
        <v>865446.1638553167</v>
      </c>
      <c r="G24" s="16">
        <f t="shared" si="9"/>
        <v>880412.93609435158</v>
      </c>
      <c r="H24" s="16">
        <f t="shared" si="9"/>
        <v>904184.08536889916</v>
      </c>
      <c r="I24" s="16">
        <f t="shared" si="9"/>
        <v>924980.31933238369</v>
      </c>
      <c r="J24" s="16">
        <f t="shared" si="9"/>
        <v>949029.80763502559</v>
      </c>
      <c r="K24" s="16">
        <f t="shared" si="9"/>
        <v>973704.58263353608</v>
      </c>
      <c r="L24" s="16">
        <f t="shared" si="9"/>
        <v>998047.19719937444</v>
      </c>
      <c r="M24" s="16">
        <f t="shared" si="9"/>
        <v>1022748.8653300587</v>
      </c>
      <c r="N24" s="16">
        <f t="shared" si="9"/>
        <v>1047806.212530645</v>
      </c>
      <c r="O24" s="16">
        <f t="shared" si="9"/>
        <v>1073215.5131845132</v>
      </c>
      <c r="P24" s="16">
        <f t="shared" si="9"/>
        <v>1098972.6855009412</v>
      </c>
      <c r="Q24" s="16">
        <f t="shared" si="9"/>
        <v>1125348.029952964</v>
      </c>
      <c r="R24" s="16">
        <f t="shared" si="9"/>
        <v>1152356.3826718351</v>
      </c>
      <c r="S24" s="16">
        <f t="shared" si="9"/>
        <v>1180012.9358559591</v>
      </c>
      <c r="T24" s="16">
        <f t="shared" si="9"/>
        <v>1208333.2463165023</v>
      </c>
      <c r="U24" s="16">
        <f t="shared" si="9"/>
        <v>1237333.2442280985</v>
      </c>
      <c r="V24" s="16">
        <f t="shared" si="9"/>
        <v>1267029.2420895726</v>
      </c>
      <c r="W24" s="16">
        <f t="shared" si="9"/>
        <v>1297437.9438997223</v>
      </c>
      <c r="X24" s="16">
        <f t="shared" si="9"/>
        <v>1328576.4545533156</v>
      </c>
      <c r="Y24" s="16">
        <f t="shared" si="9"/>
        <v>1360462.289462595</v>
      </c>
      <c r="Z24" s="16">
        <f t="shared" si="9"/>
        <v>1393113.3844096975</v>
      </c>
      <c r="AA24" s="16">
        <f t="shared" si="9"/>
        <v>1426548.1056355303</v>
      </c>
      <c r="AB24" s="16">
        <f t="shared" si="9"/>
        <v>1460785.2601707831</v>
      </c>
      <c r="AC24" s="16">
        <f t="shared" si="9"/>
        <v>1495844.1064148822</v>
      </c>
      <c r="AD24" s="16">
        <f t="shared" si="9"/>
        <v>1531744.3649688398</v>
      </c>
      <c r="AE24" s="16">
        <f t="shared" si="9"/>
        <v>1568506.2297280922</v>
      </c>
      <c r="AF24" s="16">
        <f t="shared" si="9"/>
        <v>1606150.3792415666</v>
      </c>
      <c r="AG24" s="16">
        <f t="shared" si="9"/>
        <v>1644697.9883433641</v>
      </c>
      <c r="AH24" s="16">
        <f t="shared" si="9"/>
        <v>1684170.7400636049</v>
      </c>
      <c r="AI24" s="16">
        <f t="shared" si="9"/>
        <v>1724590.8378251314</v>
      </c>
      <c r="AJ24" s="16">
        <f t="shared" si="9"/>
        <v>1765981.0179329345</v>
      </c>
      <c r="AK24" s="16">
        <f t="shared" si="9"/>
        <v>1808364.5623633252</v>
      </c>
      <c r="AL24" s="16">
        <f t="shared" si="9"/>
        <v>1851765.311860045</v>
      </c>
      <c r="AM24" s="16">
        <f t="shared" si="9"/>
        <v>1896207.6793446864</v>
      </c>
      <c r="AN24" s="16">
        <f t="shared" si="9"/>
        <v>1941716.6636489592</v>
      </c>
      <c r="AO24" s="16">
        <f t="shared" si="9"/>
        <v>1988317.8635765344</v>
      </c>
      <c r="AP24" s="16">
        <f t="shared" si="9"/>
        <v>2036037.4923023714</v>
      </c>
      <c r="AQ24" s="16">
        <f t="shared" si="9"/>
        <v>2084902.3921176281</v>
      </c>
      <c r="AR24" s="16">
        <f t="shared" si="9"/>
        <v>2134940.0495284512</v>
      </c>
      <c r="AS24" s="16">
        <f t="shared" si="9"/>
        <v>2186178.6107171341</v>
      </c>
      <c r="AT24" s="16">
        <f t="shared" si="9"/>
        <v>2238646.8973743455</v>
      </c>
      <c r="AU24" s="16">
        <f t="shared" si="9"/>
        <v>2292374.4229113297</v>
      </c>
      <c r="AV24" s="16">
        <f>AV21*AV22</f>
        <v>2347391.4090612014</v>
      </c>
      <c r="AW24" s="16">
        <f t="shared" si="9"/>
        <v>2403728.8028786704</v>
      </c>
      <c r="AX24" s="16">
        <f t="shared" si="9"/>
        <v>2461418.2941477583</v>
      </c>
      <c r="AY24" s="16">
        <f t="shared" si="9"/>
        <v>2520492.3332073046</v>
      </c>
      <c r="AZ24" s="16">
        <f t="shared" si="9"/>
        <v>2581131.5581666934</v>
      </c>
      <c r="BA24" s="16">
        <f t="shared" si="9"/>
        <v>2643125.1927096685</v>
      </c>
      <c r="BB24" s="16">
        <f t="shared" si="9"/>
        <v>2706607.7907700925</v>
      </c>
      <c r="BC24" s="16">
        <f t="shared" si="9"/>
        <v>2771615.1142834076</v>
      </c>
      <c r="BD24" s="16">
        <f t="shared" si="9"/>
        <v>2838183.7841154528</v>
      </c>
      <c r="BE24" s="16">
        <f t="shared" si="9"/>
        <v>2906300.1949342238</v>
      </c>
      <c r="BF24" s="16">
        <f t="shared" si="9"/>
        <v>2976051.3996126456</v>
      </c>
      <c r="BG24" s="16">
        <f t="shared" si="9"/>
        <v>3047476.6332033491</v>
      </c>
      <c r="BH24" s="16">
        <f t="shared" si="9"/>
        <v>3120616.0724002295</v>
      </c>
      <c r="BI24" s="16">
        <f t="shared" si="9"/>
        <v>3195510.8581378353</v>
      </c>
      <c r="BJ24" s="16">
        <f t="shared" si="9"/>
        <v>3272203.1187331434</v>
      </c>
      <c r="BK24" s="16">
        <f t="shared" si="9"/>
        <v>3350735.9935827395</v>
      </c>
      <c r="BL24" s="16">
        <f t="shared" si="9"/>
        <v>3431153.6574287256</v>
      </c>
    </row>
    <row r="25" spans="1:64" s="12" customFormat="1"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</row>
    <row r="26" spans="1:64" s="12" customFormat="1">
      <c r="M26" s="18"/>
      <c r="N26" s="22"/>
      <c r="AB26" s="22"/>
      <c r="AC26" s="21"/>
      <c r="AD26" s="21"/>
      <c r="AE26" s="21"/>
      <c r="AF26" s="21"/>
      <c r="AM26" s="22"/>
      <c r="AS26" s="22"/>
      <c r="AZ26" s="22"/>
    </row>
    <row r="27" spans="1:64">
      <c r="N27" s="22"/>
      <c r="Q27" s="22"/>
      <c r="AB27" s="22"/>
      <c r="AC27" s="21"/>
      <c r="AD27" s="21"/>
      <c r="AE27" s="21"/>
      <c r="AF27" s="21"/>
      <c r="AM27" s="22"/>
      <c r="AS27" s="22"/>
      <c r="AZ27" s="22"/>
    </row>
    <row r="28" spans="1:64">
      <c r="N28" s="22"/>
      <c r="Q28" s="22"/>
      <c r="AB28" s="22"/>
      <c r="AC28" s="21"/>
      <c r="AD28" s="21"/>
      <c r="AE28" s="21"/>
      <c r="AF28" s="21"/>
      <c r="AM28" s="22"/>
      <c r="AS28" s="22"/>
      <c r="AZ28" s="22"/>
    </row>
    <row r="29" spans="1:64">
      <c r="C29" s="17"/>
      <c r="D29" s="17"/>
      <c r="E29" s="17"/>
      <c r="F29" s="17"/>
      <c r="G29" s="17"/>
      <c r="N29" s="22"/>
      <c r="Q29" s="22"/>
      <c r="AB29" s="22"/>
      <c r="AC29" s="21"/>
      <c r="AD29" s="21"/>
      <c r="AE29" s="22"/>
      <c r="AF29" s="21"/>
      <c r="AM29" s="22"/>
      <c r="AS29" s="22"/>
      <c r="AZ29" s="22"/>
    </row>
    <row r="30" spans="1:64">
      <c r="N30" s="22"/>
      <c r="Q30" s="22"/>
      <c r="AB30" s="22"/>
      <c r="AC30" s="21"/>
      <c r="AD30" s="21"/>
      <c r="AE30" s="21"/>
      <c r="AF30" s="21"/>
      <c r="AM30" s="22"/>
      <c r="AS30" s="22"/>
      <c r="AZ30" s="22"/>
    </row>
    <row r="31" spans="1:64">
      <c r="A31" s="12"/>
      <c r="C31" s="17"/>
      <c r="D31" s="17"/>
      <c r="E31" s="17"/>
      <c r="F31" s="17"/>
      <c r="G31" s="17"/>
      <c r="N31" s="22"/>
      <c r="Q31" s="22"/>
      <c r="AB31" s="22"/>
      <c r="AC31" s="21"/>
      <c r="AD31" s="22"/>
      <c r="AE31" s="21"/>
      <c r="AF31" s="21"/>
      <c r="AM31" s="22"/>
      <c r="AS31" s="22"/>
      <c r="AZ31" s="22"/>
    </row>
    <row r="32" spans="1:64">
      <c r="N32" s="22"/>
      <c r="Q32" s="22"/>
      <c r="AB32" s="22"/>
      <c r="AC32" s="21"/>
      <c r="AD32" s="21"/>
      <c r="AE32" s="21"/>
      <c r="AF32" s="21"/>
      <c r="AM32" s="22"/>
      <c r="AS32" s="22"/>
      <c r="AZ32" s="22"/>
    </row>
    <row r="33" spans="1:64">
      <c r="C33" s="17"/>
      <c r="E33" s="17"/>
      <c r="F33" s="18"/>
      <c r="N33" s="22"/>
      <c r="Q33" s="22"/>
      <c r="AB33" s="22"/>
      <c r="AC33" s="21"/>
      <c r="AD33" s="21"/>
      <c r="AE33" s="21"/>
      <c r="AF33" s="21"/>
      <c r="AM33" s="22"/>
      <c r="AS33" s="22"/>
      <c r="AZ33" s="22"/>
    </row>
    <row r="34" spans="1:64">
      <c r="N34" s="22"/>
      <c r="Q34" s="22"/>
      <c r="AB34" s="22"/>
      <c r="AC34" s="21"/>
      <c r="AD34" s="21"/>
      <c r="AE34" s="21"/>
      <c r="AF34" s="21"/>
      <c r="AM34" s="22"/>
      <c r="AS34" s="22"/>
      <c r="AZ34" s="22"/>
    </row>
    <row r="35" spans="1:64">
      <c r="N35" s="22"/>
      <c r="Q35" s="22"/>
      <c r="AB35" s="22"/>
      <c r="AC35" s="21"/>
      <c r="AD35" s="21"/>
      <c r="AE35" s="21"/>
      <c r="AF35" s="21"/>
      <c r="AM35" s="22"/>
      <c r="AS35" s="22"/>
      <c r="AZ35" s="22"/>
    </row>
    <row r="36" spans="1:64">
      <c r="N36" s="22"/>
      <c r="Q36" s="22"/>
      <c r="AB36" s="22"/>
      <c r="AC36" s="21"/>
      <c r="AD36" s="21"/>
      <c r="AE36" s="21"/>
      <c r="AF36" s="21"/>
      <c r="AS36" s="22"/>
      <c r="AZ36" s="22"/>
    </row>
    <row r="37" spans="1:64">
      <c r="D37" s="12"/>
      <c r="E37" s="12"/>
      <c r="F37" s="12"/>
      <c r="G37" s="12"/>
      <c r="N37" s="22"/>
      <c r="Q37" s="22"/>
      <c r="AB37" s="22"/>
      <c r="AC37" s="21"/>
      <c r="AD37" s="21"/>
      <c r="AE37" s="21"/>
      <c r="AF37" s="21"/>
      <c r="AM37" s="22"/>
      <c r="AS37" s="22"/>
      <c r="AZ37" s="22"/>
    </row>
    <row r="38" spans="1:64">
      <c r="N38" s="22"/>
      <c r="Q38" s="22"/>
      <c r="AB38" s="22"/>
      <c r="AC38" s="21"/>
      <c r="AD38" s="21"/>
      <c r="AE38" s="21"/>
      <c r="AF38" s="21"/>
      <c r="AM38" s="22"/>
      <c r="AS38" s="22"/>
      <c r="AZ38" s="22"/>
    </row>
    <row r="39" spans="1:64">
      <c r="C39" s="17"/>
      <c r="E39" s="17"/>
      <c r="N39" s="22"/>
      <c r="Q39" s="22"/>
      <c r="AB39" s="22"/>
      <c r="AC39" s="21"/>
      <c r="AD39" s="21"/>
      <c r="AE39" s="21"/>
      <c r="AF39" s="21"/>
      <c r="AM39" s="22"/>
      <c r="AS39" s="22"/>
      <c r="AZ39" s="22"/>
    </row>
    <row r="40" spans="1:64">
      <c r="N40" s="22"/>
      <c r="Q40" s="22"/>
      <c r="AB40" s="22"/>
      <c r="AC40" s="21"/>
      <c r="AD40" s="21"/>
      <c r="AE40" s="21"/>
      <c r="AF40" s="21"/>
      <c r="AM40" s="22"/>
      <c r="AS40" s="22"/>
      <c r="AZ40" s="22"/>
    </row>
    <row r="41" spans="1:6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</row>
    <row r="42" spans="1:64">
      <c r="N42" s="22"/>
      <c r="Q42" s="22"/>
      <c r="AB42" s="22"/>
      <c r="AC42" s="21"/>
      <c r="AD42" s="21"/>
      <c r="AE42" s="21"/>
      <c r="AF42" s="21"/>
      <c r="AM42" s="22"/>
      <c r="AS42" s="21"/>
      <c r="AZ42" s="21"/>
    </row>
    <row r="43" spans="1:64">
      <c r="N43" s="22"/>
      <c r="Q43" s="22"/>
      <c r="AB43" s="22"/>
      <c r="AC43" s="21"/>
      <c r="AD43" s="21"/>
      <c r="AE43" s="21"/>
      <c r="AF43" s="21"/>
      <c r="AM43" s="22"/>
      <c r="AS43" s="21"/>
      <c r="AZ43" s="21"/>
      <c r="BL43">
        <f>BL41^(1/60)</f>
        <v>0</v>
      </c>
    </row>
    <row r="44" spans="1:64">
      <c r="N44" s="22"/>
      <c r="Q44" s="22"/>
      <c r="AB44" s="22"/>
      <c r="AC44" s="21"/>
      <c r="AD44" s="21"/>
      <c r="AE44" s="21"/>
      <c r="AF44" s="21"/>
      <c r="AM44" s="22"/>
      <c r="AS44" s="21"/>
      <c r="AZ44" s="21"/>
      <c r="BL44">
        <f>BL43-1</f>
        <v>-1</v>
      </c>
    </row>
    <row r="45" spans="1:64">
      <c r="N45" s="22"/>
      <c r="Q45" s="22"/>
      <c r="AB45" s="22"/>
      <c r="AC45" s="21"/>
      <c r="AD45" s="21"/>
      <c r="AE45" s="21"/>
      <c r="AF45" s="21"/>
      <c r="AM45" s="22"/>
      <c r="AZ45" s="21"/>
      <c r="BL45">
        <f>BL44*100</f>
        <v>-100</v>
      </c>
    </row>
    <row r="46" spans="1:64">
      <c r="N46" s="22"/>
      <c r="Q46" s="22"/>
      <c r="AB46" s="22"/>
      <c r="AC46" s="21"/>
      <c r="AD46" s="21"/>
      <c r="AE46" s="21"/>
      <c r="AF46" s="21"/>
      <c r="AM46" s="22"/>
    </row>
    <row r="47" spans="1:64">
      <c r="N47" s="22"/>
      <c r="Q47" s="22"/>
      <c r="AB47" s="22"/>
      <c r="AC47" s="21"/>
      <c r="AD47" s="21"/>
      <c r="AE47" s="21"/>
      <c r="AF47" s="21"/>
      <c r="AM47" s="22"/>
    </row>
    <row r="48" spans="1:64">
      <c r="N48" s="22"/>
      <c r="Q48" s="22"/>
      <c r="AB48" s="22"/>
      <c r="AC48" s="21"/>
      <c r="AD48" s="21"/>
      <c r="AE48" s="21"/>
      <c r="AF48" s="21"/>
      <c r="AM48" s="22"/>
    </row>
    <row r="49" spans="4:39">
      <c r="N49" s="22"/>
      <c r="Q49" s="22"/>
      <c r="AB49" s="22"/>
      <c r="AC49" s="21"/>
      <c r="AD49" s="21"/>
      <c r="AE49" s="21"/>
      <c r="AF49" s="21"/>
      <c r="AM49" s="22"/>
    </row>
    <row r="50" spans="4:39">
      <c r="N50" s="22"/>
      <c r="Q50" s="22"/>
      <c r="AB50" s="22"/>
      <c r="AC50" s="21"/>
      <c r="AD50" s="21"/>
      <c r="AE50" s="21"/>
      <c r="AF50" s="21"/>
      <c r="AM50" s="22"/>
    </row>
    <row r="51" spans="4:39">
      <c r="D51" s="17"/>
      <c r="N51" s="22"/>
      <c r="Q51" s="22"/>
      <c r="AB51" s="22"/>
      <c r="AC51" s="21"/>
      <c r="AD51" s="21"/>
      <c r="AE51" s="21"/>
      <c r="AF51" s="21"/>
      <c r="AM51" s="22"/>
    </row>
    <row r="52" spans="4:39">
      <c r="N52" s="22"/>
      <c r="Q52" s="22"/>
      <c r="AB52" s="22"/>
      <c r="AC52" s="21"/>
      <c r="AD52" s="21"/>
      <c r="AE52" s="21"/>
      <c r="AF52" s="21"/>
      <c r="AM52" s="22"/>
    </row>
    <row r="53" spans="4:39">
      <c r="N53" s="22"/>
      <c r="Q53" s="22"/>
      <c r="AB53" s="22"/>
      <c r="AC53" s="21"/>
      <c r="AD53" s="21"/>
      <c r="AE53" s="21"/>
      <c r="AF53" s="21"/>
      <c r="AM53" s="22"/>
    </row>
    <row r="54" spans="4:39">
      <c r="N54" s="22"/>
      <c r="Q54" s="22"/>
      <c r="AB54" s="22"/>
      <c r="AC54" s="21"/>
      <c r="AD54" s="21"/>
      <c r="AE54" s="21"/>
      <c r="AF54" s="21"/>
      <c r="AM54" s="22"/>
    </row>
    <row r="55" spans="4:39">
      <c r="D55" s="17"/>
      <c r="N55" s="22"/>
      <c r="Q55" s="22"/>
      <c r="AB55" s="22"/>
      <c r="AC55" s="21"/>
      <c r="AD55" s="21"/>
      <c r="AE55" s="21"/>
      <c r="AF55" s="21"/>
      <c r="AM55" s="22"/>
    </row>
    <row r="56" spans="4:39">
      <c r="N56" s="22"/>
      <c r="Q56" s="22"/>
      <c r="AB56" s="22"/>
      <c r="AC56" s="21"/>
      <c r="AD56" s="21"/>
      <c r="AE56" s="21"/>
      <c r="AF56" s="21"/>
      <c r="AM56" s="22"/>
    </row>
    <row r="57" spans="4:39">
      <c r="N57" s="22"/>
      <c r="Q57" s="22"/>
      <c r="AB57" s="22"/>
      <c r="AC57" s="21"/>
      <c r="AD57" s="21"/>
      <c r="AE57" s="21"/>
      <c r="AF57" s="21"/>
      <c r="AM57" s="22"/>
    </row>
    <row r="58" spans="4:39">
      <c r="N58" s="22"/>
      <c r="Q58" s="22"/>
      <c r="AB58" s="22"/>
      <c r="AC58" s="21"/>
      <c r="AD58" s="21"/>
      <c r="AE58" s="21"/>
      <c r="AF58" s="21"/>
      <c r="AM58" s="22"/>
    </row>
    <row r="59" spans="4:39">
      <c r="N59" s="22"/>
      <c r="Q59" s="22"/>
      <c r="AB59" s="22"/>
      <c r="AC59" s="21"/>
      <c r="AD59" s="21"/>
      <c r="AE59" s="21"/>
      <c r="AF59" s="21"/>
      <c r="AM59" s="22"/>
    </row>
    <row r="60" spans="4:39">
      <c r="N60" s="22"/>
      <c r="Q60" s="22"/>
      <c r="AB60" s="22"/>
      <c r="AC60" s="21"/>
      <c r="AD60" s="21"/>
      <c r="AE60" s="21"/>
      <c r="AF60" s="21"/>
      <c r="AM60" s="22"/>
    </row>
    <row r="61" spans="4:39">
      <c r="N61" s="22"/>
      <c r="Q61" s="22"/>
      <c r="AB61" s="21"/>
      <c r="AC61" s="21"/>
      <c r="AD61" s="21"/>
      <c r="AE61" s="21"/>
      <c r="AF61" s="21"/>
      <c r="AM61" s="22"/>
    </row>
    <row r="62" spans="4:39">
      <c r="N62" s="22"/>
      <c r="Q62" s="22"/>
      <c r="AB62" s="21"/>
      <c r="AC62" s="21"/>
      <c r="AD62" s="21"/>
      <c r="AE62" s="21"/>
      <c r="AF62" s="21"/>
      <c r="AM62" s="22"/>
    </row>
    <row r="63" spans="4:39">
      <c r="N63" s="22"/>
      <c r="Q63" s="22"/>
      <c r="AB63" s="21"/>
      <c r="AC63" s="21"/>
      <c r="AD63" s="21"/>
      <c r="AE63" s="21"/>
      <c r="AF63" s="21"/>
      <c r="AM63" s="22"/>
    </row>
    <row r="64" spans="4:39">
      <c r="N64" s="22"/>
      <c r="Q64" s="22"/>
      <c r="AB64" s="21"/>
      <c r="AC64" s="21"/>
      <c r="AD64" s="21"/>
      <c r="AE64" s="21"/>
      <c r="AF64" s="21"/>
      <c r="AM64" s="21"/>
    </row>
    <row r="65" spans="14:39">
      <c r="N65" s="22"/>
      <c r="Q65" s="22"/>
      <c r="AB65" s="21"/>
      <c r="AC65" s="21"/>
      <c r="AD65" s="21"/>
      <c r="AE65" s="21"/>
      <c r="AF65" s="21"/>
      <c r="AM65" s="21"/>
    </row>
    <row r="66" spans="14:39">
      <c r="N66" s="22"/>
      <c r="Q66" s="22"/>
      <c r="AB66" s="21"/>
      <c r="AC66" s="21"/>
      <c r="AD66" s="21"/>
      <c r="AE66" s="21"/>
      <c r="AF66" s="21"/>
      <c r="AM66" s="21"/>
    </row>
    <row r="67" spans="14:39">
      <c r="N67" s="22"/>
      <c r="Q67" s="22"/>
      <c r="AB67" s="21"/>
      <c r="AC67" s="21"/>
      <c r="AD67" s="21"/>
      <c r="AE67" s="21"/>
      <c r="AF67" s="21"/>
      <c r="AM67" s="21"/>
    </row>
    <row r="68" spans="14:39">
      <c r="N68" s="22"/>
      <c r="Q68" s="22"/>
      <c r="AB68" s="21"/>
      <c r="AC68" s="21"/>
      <c r="AD68" s="21"/>
      <c r="AE68" s="21"/>
      <c r="AF68" s="21"/>
      <c r="AM68" s="21"/>
    </row>
    <row r="69" spans="14:39">
      <c r="N69" s="22"/>
      <c r="Q69" s="22"/>
      <c r="AB69" s="21"/>
      <c r="AC69" s="21"/>
      <c r="AD69" s="21"/>
      <c r="AE69" s="21"/>
      <c r="AF69" s="21"/>
      <c r="AM69" s="21"/>
    </row>
    <row r="70" spans="14:39">
      <c r="N70" s="22"/>
      <c r="Q70" s="22"/>
      <c r="AB70" s="21"/>
      <c r="AC70" s="21"/>
      <c r="AD70" s="21"/>
      <c r="AE70" s="21"/>
      <c r="AF70" s="21"/>
      <c r="AM70" s="21"/>
    </row>
    <row r="71" spans="14:39">
      <c r="N71" s="22"/>
      <c r="Q71" s="22"/>
      <c r="AB71" s="21"/>
      <c r="AC71" s="21"/>
      <c r="AD71" s="21"/>
      <c r="AE71" s="21"/>
      <c r="AF71" s="21"/>
      <c r="AM71" s="21"/>
    </row>
    <row r="72" spans="14:39">
      <c r="N72" s="22"/>
      <c r="Q72" s="22"/>
      <c r="AB72" s="21"/>
      <c r="AC72" s="21"/>
      <c r="AD72" s="21"/>
      <c r="AE72" s="21"/>
      <c r="AF72" s="21"/>
      <c r="AM72" s="21"/>
    </row>
    <row r="73" spans="14:39">
      <c r="N73" s="22"/>
      <c r="Q73" s="22"/>
      <c r="AB73" s="21"/>
      <c r="AC73" s="21"/>
      <c r="AD73" s="21"/>
      <c r="AE73" s="21"/>
      <c r="AF73" s="21"/>
      <c r="AM73" s="21"/>
    </row>
    <row r="74" spans="14:39">
      <c r="N74" s="22"/>
      <c r="Q74" s="22"/>
      <c r="AB74" s="21"/>
      <c r="AC74" s="21"/>
      <c r="AD74" s="21"/>
      <c r="AE74" s="21"/>
      <c r="AF74" s="21"/>
      <c r="AM74" s="21"/>
    </row>
    <row r="75" spans="14:39">
      <c r="N75" s="22"/>
      <c r="Q75" s="22"/>
      <c r="AB75" s="21"/>
      <c r="AC75" s="21"/>
      <c r="AD75" s="21"/>
      <c r="AE75" s="21"/>
      <c r="AF75" s="21"/>
      <c r="AM75" s="21"/>
    </row>
    <row r="76" spans="14:39">
      <c r="N76" s="22"/>
      <c r="Q76" s="22"/>
      <c r="AB76" s="21"/>
      <c r="AC76" s="21"/>
      <c r="AD76" s="21"/>
      <c r="AE76" s="21"/>
      <c r="AF76" s="21"/>
      <c r="AM76" s="21"/>
    </row>
    <row r="77" spans="14:39">
      <c r="N77" s="22"/>
      <c r="Q77" s="22"/>
      <c r="AB77" s="21"/>
      <c r="AC77" s="21"/>
      <c r="AD77" s="21"/>
      <c r="AE77" s="21"/>
      <c r="AF77" s="21"/>
      <c r="AM77" s="21"/>
    </row>
    <row r="78" spans="14:39">
      <c r="N78" s="22"/>
      <c r="Q78" s="22"/>
      <c r="AB78" s="21"/>
      <c r="AC78" s="21"/>
      <c r="AD78" s="21"/>
      <c r="AE78" s="21"/>
      <c r="AF78" s="21"/>
    </row>
    <row r="79" spans="14:39">
      <c r="N79" s="22"/>
      <c r="Q79" s="22"/>
      <c r="AB79" s="21"/>
      <c r="AC79" s="21"/>
      <c r="AD79" s="21"/>
      <c r="AE79" s="21"/>
      <c r="AF79" s="21"/>
    </row>
    <row r="80" spans="14:39">
      <c r="N80" s="22"/>
      <c r="Q80" s="22"/>
      <c r="AB80" s="21"/>
      <c r="AC80" s="21"/>
      <c r="AD80" s="21"/>
      <c r="AE80" s="21"/>
      <c r="AF80" s="21"/>
    </row>
    <row r="81" spans="14:17">
      <c r="N81" s="22"/>
      <c r="Q81" s="22"/>
    </row>
    <row r="82" spans="14:17">
      <c r="Q82" s="22"/>
    </row>
    <row r="83" spans="14:17">
      <c r="Q83" s="22"/>
    </row>
    <row r="84" spans="14:17">
      <c r="Q84" s="22"/>
    </row>
    <row r="85" spans="14:17">
      <c r="Q85" s="22"/>
    </row>
    <row r="86" spans="14:17">
      <c r="Q86" s="22"/>
    </row>
    <row r="87" spans="14:17">
      <c r="Q87" s="21"/>
    </row>
    <row r="88" spans="14:17">
      <c r="Q88" s="21"/>
    </row>
    <row r="89" spans="14:17">
      <c r="Q89" s="21"/>
    </row>
    <row r="90" spans="14:17">
      <c r="Q90" s="21"/>
    </row>
    <row r="91" spans="14:17">
      <c r="Q91" s="21"/>
    </row>
    <row r="92" spans="14:17">
      <c r="Q92" s="21"/>
    </row>
    <row r="93" spans="14:17">
      <c r="Q93" s="21"/>
    </row>
    <row r="94" spans="14:17">
      <c r="Q94" s="21"/>
    </row>
    <row r="95" spans="14:17">
      <c r="Q95" s="21"/>
    </row>
    <row r="96" spans="14:17">
      <c r="Q96" s="21"/>
    </row>
    <row r="97" spans="17:17">
      <c r="Q97" s="21"/>
    </row>
    <row r="98" spans="17:17">
      <c r="Q98" s="21"/>
    </row>
    <row r="99" spans="17:17">
      <c r="Q99" s="21"/>
    </row>
    <row r="100" spans="17:17">
      <c r="Q100" s="21"/>
    </row>
    <row r="101" spans="17:17">
      <c r="Q101" s="21"/>
    </row>
    <row r="102" spans="17:17">
      <c r="Q102" s="21"/>
    </row>
    <row r="103" spans="17:17">
      <c r="Q103" s="21"/>
    </row>
    <row r="104" spans="17:17">
      <c r="Q104" s="21"/>
    </row>
    <row r="105" spans="17:17">
      <c r="Q105" s="21"/>
    </row>
    <row r="106" spans="17:17">
      <c r="Q106" s="21"/>
    </row>
    <row r="107" spans="17:17">
      <c r="Q107" s="21"/>
    </row>
    <row r="108" spans="17:17">
      <c r="Q108" s="21"/>
    </row>
    <row r="109" spans="17:17">
      <c r="Q109" s="21"/>
    </row>
    <row r="110" spans="17:17">
      <c r="Q110" s="21"/>
    </row>
    <row r="111" spans="17:17">
      <c r="Q111" s="21"/>
    </row>
    <row r="112" spans="17:17">
      <c r="Q112" s="21"/>
    </row>
    <row r="113" spans="17:17">
      <c r="Q113" s="21"/>
    </row>
    <row r="114" spans="17:17">
      <c r="Q114" s="21"/>
    </row>
    <row r="115" spans="17:17">
      <c r="Q115" s="21"/>
    </row>
    <row r="116" spans="17:17">
      <c r="Q116" s="21"/>
    </row>
    <row r="117" spans="17:17">
      <c r="Q117" s="21"/>
    </row>
    <row r="118" spans="17:17">
      <c r="Q118" s="21"/>
    </row>
    <row r="119" spans="17:17">
      <c r="Q119" s="21"/>
    </row>
    <row r="120" spans="17:17">
      <c r="Q120" s="21"/>
    </row>
    <row r="121" spans="17:17">
      <c r="Q121" s="21"/>
    </row>
    <row r="122" spans="17:17">
      <c r="Q122" s="21"/>
    </row>
    <row r="123" spans="17:17">
      <c r="Q123" s="21"/>
    </row>
    <row r="124" spans="17:17">
      <c r="Q124" s="21"/>
    </row>
    <row r="125" spans="17:17">
      <c r="Q125" s="21"/>
    </row>
    <row r="126" spans="17:17">
      <c r="Q126" s="21"/>
    </row>
    <row r="127" spans="17:17">
      <c r="Q127" s="21"/>
    </row>
    <row r="128" spans="17:17">
      <c r="Q128" s="21"/>
    </row>
    <row r="129" spans="17:17">
      <c r="Q129" s="21"/>
    </row>
    <row r="130" spans="17:17">
      <c r="Q130" s="21"/>
    </row>
    <row r="131" spans="17:17">
      <c r="Q131" s="21"/>
    </row>
    <row r="132" spans="17:17">
      <c r="Q132" s="21"/>
    </row>
    <row r="133" spans="17:17">
      <c r="Q133" s="21"/>
    </row>
    <row r="134" spans="17:17">
      <c r="Q134" s="21"/>
    </row>
    <row r="135" spans="17:17">
      <c r="Q135" s="21"/>
    </row>
    <row r="136" spans="17:17">
      <c r="Q136" s="21"/>
    </row>
    <row r="137" spans="17:17">
      <c r="Q137" s="21"/>
    </row>
    <row r="138" spans="17:17">
      <c r="Q138" s="21"/>
    </row>
    <row r="139" spans="17:17">
      <c r="Q139" s="21"/>
    </row>
    <row r="140" spans="17:17">
      <c r="Q140" s="21"/>
    </row>
    <row r="141" spans="17:17">
      <c r="Q141" s="21"/>
    </row>
    <row r="142" spans="17:17">
      <c r="Q142" s="21"/>
    </row>
    <row r="143" spans="17:17">
      <c r="Q143" s="21"/>
    </row>
    <row r="144" spans="17:17">
      <c r="Q144" s="21"/>
    </row>
    <row r="145" spans="17:17">
      <c r="Q145" s="21"/>
    </row>
    <row r="146" spans="17:17">
      <c r="Q146" s="21"/>
    </row>
    <row r="147" spans="17:17">
      <c r="Q147" s="21"/>
    </row>
    <row r="148" spans="17:17">
      <c r="Q148" s="21"/>
    </row>
    <row r="149" spans="17:17">
      <c r="Q149" s="21"/>
    </row>
    <row r="150" spans="17:17">
      <c r="Q150" s="21"/>
    </row>
    <row r="151" spans="17:17">
      <c r="Q151" s="21"/>
    </row>
    <row r="152" spans="17:17">
      <c r="Q152" s="21"/>
    </row>
    <row r="153" spans="17:17">
      <c r="Q153" s="21"/>
    </row>
    <row r="154" spans="17:17">
      <c r="Q154" s="21"/>
    </row>
    <row r="155" spans="17:17">
      <c r="Q155" s="21"/>
    </row>
    <row r="156" spans="17:17">
      <c r="Q156" s="21"/>
    </row>
    <row r="157" spans="17:17">
      <c r="Q157" s="21"/>
    </row>
    <row r="158" spans="17:17">
      <c r="Q158" s="21"/>
    </row>
    <row r="159" spans="17:17">
      <c r="Q159" s="21"/>
    </row>
    <row r="160" spans="17:17">
      <c r="Q160" s="21"/>
    </row>
    <row r="161" spans="17:17">
      <c r="Q161" s="21"/>
    </row>
    <row r="162" spans="17:17">
      <c r="Q162" s="21"/>
    </row>
    <row r="163" spans="17:17">
      <c r="Q163" s="21"/>
    </row>
    <row r="164" spans="17:17">
      <c r="Q164" s="21"/>
    </row>
    <row r="165" spans="17:17">
      <c r="Q165" s="21"/>
    </row>
    <row r="166" spans="17:17">
      <c r="Q166" s="21"/>
    </row>
    <row r="167" spans="17:17">
      <c r="Q167" s="21"/>
    </row>
    <row r="168" spans="17:17">
      <c r="Q168" s="21"/>
    </row>
    <row r="169" spans="17:17">
      <c r="Q169" s="21"/>
    </row>
    <row r="170" spans="17:17">
      <c r="Q170" s="21"/>
    </row>
    <row r="171" spans="17:17">
      <c r="Q171" s="21"/>
    </row>
    <row r="172" spans="17:17">
      <c r="Q172" s="21"/>
    </row>
    <row r="173" spans="17:17">
      <c r="Q173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Z48"/>
  <sheetViews>
    <sheetView topLeftCell="A25" workbookViewId="0">
      <selection activeCell="D28" sqref="D28"/>
    </sheetView>
  </sheetViews>
  <sheetFormatPr defaultRowHeight="15"/>
  <cols>
    <col min="7" max="7" width="16.42578125" bestFit="1" customWidth="1"/>
    <col min="8" max="8" width="12.7109375" bestFit="1" customWidth="1"/>
    <col min="11" max="11" width="13.85546875" bestFit="1" customWidth="1"/>
    <col min="13" max="14" width="13.85546875" bestFit="1" customWidth="1"/>
    <col min="34" max="34" width="12.7109375" bestFit="1" customWidth="1"/>
    <col min="37" max="37" width="12.7109375" bestFit="1" customWidth="1"/>
    <col min="61" max="61" width="12.7109375" bestFit="1" customWidth="1"/>
    <col min="67" max="67" width="12.7109375" bestFit="1" customWidth="1"/>
  </cols>
  <sheetData>
    <row r="1" spans="1:78">
      <c r="A1" t="s">
        <v>112</v>
      </c>
    </row>
    <row r="2" spans="1:78">
      <c r="A2" t="s">
        <v>113</v>
      </c>
      <c r="C2">
        <v>3.5</v>
      </c>
      <c r="D2" s="8">
        <v>3.5000000000000003E-2</v>
      </c>
    </row>
    <row r="3" spans="1:78">
      <c r="A3" t="s">
        <v>114</v>
      </c>
      <c r="C3" t="s">
        <v>115</v>
      </c>
      <c r="F3" t="s">
        <v>121</v>
      </c>
      <c r="G3">
        <v>2009</v>
      </c>
      <c r="H3">
        <f>G3+1</f>
        <v>2010</v>
      </c>
      <c r="I3" s="12">
        <f t="shared" ref="I3:BO3" si="0">H3+1</f>
        <v>2011</v>
      </c>
      <c r="J3" s="12">
        <f t="shared" si="0"/>
        <v>2012</v>
      </c>
      <c r="K3" s="12">
        <f t="shared" si="0"/>
        <v>2013</v>
      </c>
      <c r="L3" s="12">
        <f t="shared" si="0"/>
        <v>2014</v>
      </c>
      <c r="M3" s="12">
        <f t="shared" si="0"/>
        <v>2015</v>
      </c>
      <c r="N3" s="12">
        <f t="shared" si="0"/>
        <v>2016</v>
      </c>
      <c r="O3" s="12">
        <f t="shared" si="0"/>
        <v>2017</v>
      </c>
      <c r="P3" s="12">
        <f t="shared" si="0"/>
        <v>2018</v>
      </c>
      <c r="Q3" s="12">
        <f t="shared" si="0"/>
        <v>2019</v>
      </c>
      <c r="R3" s="12">
        <f t="shared" si="0"/>
        <v>2020</v>
      </c>
      <c r="S3" s="12">
        <f t="shared" si="0"/>
        <v>2021</v>
      </c>
      <c r="T3" s="12">
        <f t="shared" si="0"/>
        <v>2022</v>
      </c>
      <c r="U3" s="12">
        <f t="shared" si="0"/>
        <v>2023</v>
      </c>
      <c r="V3" s="12">
        <f t="shared" si="0"/>
        <v>2024</v>
      </c>
      <c r="W3" s="12">
        <f t="shared" si="0"/>
        <v>2025</v>
      </c>
      <c r="X3" s="12">
        <f t="shared" si="0"/>
        <v>2026</v>
      </c>
      <c r="Y3" s="12">
        <f t="shared" si="0"/>
        <v>2027</v>
      </c>
      <c r="Z3" s="12">
        <f t="shared" si="0"/>
        <v>2028</v>
      </c>
      <c r="AA3" s="12">
        <f t="shared" si="0"/>
        <v>2029</v>
      </c>
      <c r="AB3" s="12">
        <f t="shared" si="0"/>
        <v>2030</v>
      </c>
      <c r="AC3" s="12">
        <f t="shared" si="0"/>
        <v>2031</v>
      </c>
      <c r="AD3" s="12">
        <f t="shared" si="0"/>
        <v>2032</v>
      </c>
      <c r="AE3" s="12">
        <f t="shared" si="0"/>
        <v>2033</v>
      </c>
      <c r="AF3" s="12">
        <f t="shared" si="0"/>
        <v>2034</v>
      </c>
      <c r="AG3" s="12">
        <f t="shared" si="0"/>
        <v>2035</v>
      </c>
      <c r="AH3" s="12">
        <f t="shared" si="0"/>
        <v>2036</v>
      </c>
      <c r="AI3" s="12">
        <f t="shared" si="0"/>
        <v>2037</v>
      </c>
      <c r="AJ3" s="12">
        <f t="shared" si="0"/>
        <v>2038</v>
      </c>
      <c r="AK3" s="12">
        <f t="shared" si="0"/>
        <v>2039</v>
      </c>
      <c r="AL3" s="12">
        <f t="shared" si="0"/>
        <v>2040</v>
      </c>
      <c r="AM3" s="12">
        <f t="shared" si="0"/>
        <v>2041</v>
      </c>
      <c r="AN3" s="12">
        <f t="shared" si="0"/>
        <v>2042</v>
      </c>
      <c r="AO3" s="12">
        <f t="shared" si="0"/>
        <v>2043</v>
      </c>
      <c r="AP3" s="12">
        <f t="shared" si="0"/>
        <v>2044</v>
      </c>
      <c r="AQ3" s="12">
        <f t="shared" si="0"/>
        <v>2045</v>
      </c>
      <c r="AR3" s="12">
        <f t="shared" si="0"/>
        <v>2046</v>
      </c>
      <c r="AS3" s="12">
        <f t="shared" si="0"/>
        <v>2047</v>
      </c>
      <c r="AT3" s="12">
        <f t="shared" si="0"/>
        <v>2048</v>
      </c>
      <c r="AU3" s="12">
        <f t="shared" si="0"/>
        <v>2049</v>
      </c>
      <c r="AV3" s="12">
        <f t="shared" si="0"/>
        <v>2050</v>
      </c>
      <c r="AW3" s="12">
        <f t="shared" si="0"/>
        <v>2051</v>
      </c>
      <c r="AX3" s="12">
        <f t="shared" si="0"/>
        <v>2052</v>
      </c>
      <c r="AY3" s="12">
        <f t="shared" si="0"/>
        <v>2053</v>
      </c>
      <c r="AZ3" s="12">
        <f t="shared" si="0"/>
        <v>2054</v>
      </c>
      <c r="BA3" s="12">
        <f t="shared" si="0"/>
        <v>2055</v>
      </c>
      <c r="BB3" s="12">
        <f t="shared" si="0"/>
        <v>2056</v>
      </c>
      <c r="BC3" s="12">
        <f t="shared" si="0"/>
        <v>2057</v>
      </c>
      <c r="BD3" s="12">
        <f t="shared" si="0"/>
        <v>2058</v>
      </c>
      <c r="BE3" s="12">
        <f t="shared" si="0"/>
        <v>2059</v>
      </c>
      <c r="BF3" s="12">
        <f t="shared" si="0"/>
        <v>2060</v>
      </c>
      <c r="BG3" s="12">
        <f t="shared" si="0"/>
        <v>2061</v>
      </c>
      <c r="BH3" s="12">
        <f t="shared" si="0"/>
        <v>2062</v>
      </c>
      <c r="BI3" s="12">
        <f t="shared" si="0"/>
        <v>2063</v>
      </c>
      <c r="BJ3" s="12">
        <f t="shared" si="0"/>
        <v>2064</v>
      </c>
      <c r="BK3" s="12">
        <f t="shared" si="0"/>
        <v>2065</v>
      </c>
      <c r="BL3" s="12">
        <f t="shared" si="0"/>
        <v>2066</v>
      </c>
      <c r="BM3" s="12">
        <f t="shared" si="0"/>
        <v>2067</v>
      </c>
      <c r="BN3" s="12">
        <f t="shared" si="0"/>
        <v>2068</v>
      </c>
      <c r="BO3" s="12">
        <f t="shared" si="0"/>
        <v>2069</v>
      </c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</row>
    <row r="4" spans="1:78">
      <c r="F4" t="s">
        <v>122</v>
      </c>
      <c r="G4">
        <f>G3 - 2009</f>
        <v>0</v>
      </c>
      <c r="H4" s="12">
        <f t="shared" ref="H4:BO4" si="1">H3 - 2009</f>
        <v>1</v>
      </c>
      <c r="I4" s="12">
        <f t="shared" si="1"/>
        <v>2</v>
      </c>
      <c r="J4" s="12">
        <f t="shared" si="1"/>
        <v>3</v>
      </c>
      <c r="K4" s="12">
        <f t="shared" si="1"/>
        <v>4</v>
      </c>
      <c r="L4" s="12">
        <f t="shared" si="1"/>
        <v>5</v>
      </c>
      <c r="M4" s="12">
        <f t="shared" si="1"/>
        <v>6</v>
      </c>
      <c r="N4" s="12">
        <f t="shared" si="1"/>
        <v>7</v>
      </c>
      <c r="O4" s="12">
        <f t="shared" si="1"/>
        <v>8</v>
      </c>
      <c r="P4" s="12">
        <f t="shared" si="1"/>
        <v>9</v>
      </c>
      <c r="Q4" s="12">
        <f t="shared" si="1"/>
        <v>10</v>
      </c>
      <c r="R4" s="12">
        <f t="shared" si="1"/>
        <v>11</v>
      </c>
      <c r="S4" s="12">
        <f t="shared" si="1"/>
        <v>12</v>
      </c>
      <c r="T4" s="12">
        <f t="shared" si="1"/>
        <v>13</v>
      </c>
      <c r="U4" s="12">
        <f t="shared" si="1"/>
        <v>14</v>
      </c>
      <c r="V4" s="12">
        <f t="shared" si="1"/>
        <v>15</v>
      </c>
      <c r="W4" s="12">
        <f t="shared" si="1"/>
        <v>16</v>
      </c>
      <c r="X4" s="12">
        <f t="shared" si="1"/>
        <v>17</v>
      </c>
      <c r="Y4" s="12">
        <f t="shared" si="1"/>
        <v>18</v>
      </c>
      <c r="Z4" s="12">
        <f t="shared" si="1"/>
        <v>19</v>
      </c>
      <c r="AA4" s="12">
        <f t="shared" si="1"/>
        <v>20</v>
      </c>
      <c r="AB4" s="12">
        <f t="shared" si="1"/>
        <v>21</v>
      </c>
      <c r="AC4" s="12">
        <f t="shared" si="1"/>
        <v>22</v>
      </c>
      <c r="AD4" s="12">
        <f t="shared" si="1"/>
        <v>23</v>
      </c>
      <c r="AE4" s="12">
        <f t="shared" si="1"/>
        <v>24</v>
      </c>
      <c r="AF4" s="12">
        <f t="shared" si="1"/>
        <v>25</v>
      </c>
      <c r="AG4" s="12">
        <f t="shared" si="1"/>
        <v>26</v>
      </c>
      <c r="AH4" s="12">
        <f t="shared" si="1"/>
        <v>27</v>
      </c>
      <c r="AI4" s="12">
        <f t="shared" si="1"/>
        <v>28</v>
      </c>
      <c r="AJ4" s="12">
        <f t="shared" si="1"/>
        <v>29</v>
      </c>
      <c r="AK4" s="12">
        <f t="shared" si="1"/>
        <v>30</v>
      </c>
      <c r="AL4" s="12">
        <f t="shared" si="1"/>
        <v>31</v>
      </c>
      <c r="AM4" s="12">
        <f t="shared" si="1"/>
        <v>32</v>
      </c>
      <c r="AN4" s="12">
        <f t="shared" si="1"/>
        <v>33</v>
      </c>
      <c r="AO4" s="12">
        <f t="shared" si="1"/>
        <v>34</v>
      </c>
      <c r="AP4" s="12">
        <f t="shared" si="1"/>
        <v>35</v>
      </c>
      <c r="AQ4" s="12">
        <f t="shared" si="1"/>
        <v>36</v>
      </c>
      <c r="AR4" s="12">
        <f t="shared" si="1"/>
        <v>37</v>
      </c>
      <c r="AS4" s="12">
        <f t="shared" si="1"/>
        <v>38</v>
      </c>
      <c r="AT4" s="12">
        <f t="shared" si="1"/>
        <v>39</v>
      </c>
      <c r="AU4" s="12">
        <f t="shared" si="1"/>
        <v>40</v>
      </c>
      <c r="AV4" s="12">
        <f t="shared" si="1"/>
        <v>41</v>
      </c>
      <c r="AW4" s="12">
        <f t="shared" si="1"/>
        <v>42</v>
      </c>
      <c r="AX4" s="12">
        <f t="shared" si="1"/>
        <v>43</v>
      </c>
      <c r="AY4" s="12">
        <f t="shared" si="1"/>
        <v>44</v>
      </c>
      <c r="AZ4" s="12">
        <f t="shared" si="1"/>
        <v>45</v>
      </c>
      <c r="BA4" s="12">
        <f t="shared" si="1"/>
        <v>46</v>
      </c>
      <c r="BB4" s="12">
        <f t="shared" si="1"/>
        <v>47</v>
      </c>
      <c r="BC4" s="12">
        <f t="shared" si="1"/>
        <v>48</v>
      </c>
      <c r="BD4" s="12">
        <f t="shared" si="1"/>
        <v>49</v>
      </c>
      <c r="BE4" s="12">
        <f t="shared" si="1"/>
        <v>50</v>
      </c>
      <c r="BF4" s="12">
        <f t="shared" si="1"/>
        <v>51</v>
      </c>
      <c r="BG4" s="12">
        <f t="shared" si="1"/>
        <v>52</v>
      </c>
      <c r="BH4" s="12">
        <f t="shared" si="1"/>
        <v>53</v>
      </c>
      <c r="BI4" s="12">
        <f t="shared" si="1"/>
        <v>54</v>
      </c>
      <c r="BJ4" s="12">
        <f t="shared" si="1"/>
        <v>55</v>
      </c>
      <c r="BK4" s="12">
        <f t="shared" si="1"/>
        <v>56</v>
      </c>
      <c r="BL4" s="12">
        <f t="shared" si="1"/>
        <v>57</v>
      </c>
      <c r="BM4" s="12">
        <f t="shared" si="1"/>
        <v>58</v>
      </c>
      <c r="BN4" s="12">
        <f t="shared" si="1"/>
        <v>59</v>
      </c>
      <c r="BO4" s="12">
        <f t="shared" si="1"/>
        <v>60</v>
      </c>
      <c r="BP4" s="12"/>
    </row>
    <row r="5" spans="1:78">
      <c r="A5" t="s">
        <v>116</v>
      </c>
      <c r="G5" s="17">
        <f>21582322.5*2.2575*Variables!E5</f>
        <v>48722093.043749996</v>
      </c>
    </row>
    <row r="6" spans="1:78">
      <c r="A6" t="s">
        <v>117</v>
      </c>
      <c r="G6" s="17">
        <f>-C29</f>
        <v>-9750000</v>
      </c>
    </row>
    <row r="7" spans="1:78" s="12" customFormat="1">
      <c r="A7" s="12" t="s">
        <v>217</v>
      </c>
      <c r="G7" s="18">
        <f>NPV(D2,H7:BO7)</f>
        <v>38549318.560265571</v>
      </c>
      <c r="H7" s="12">
        <f>$I$40*Noise!D16</f>
        <v>950451.10279469995</v>
      </c>
      <c r="I7" s="12">
        <f>$I$40*Noise!E16</f>
        <v>976602.48519314732</v>
      </c>
      <c r="J7" s="12">
        <f>$I$40*Noise!F16</f>
        <v>1000784.8613947113</v>
      </c>
      <c r="K7" s="12">
        <f>$I$40*Noise!G16</f>
        <v>1025566.0352930049</v>
      </c>
      <c r="L7" s="12">
        <f>$I$40*Noise!H16</f>
        <v>1050960.8341605267</v>
      </c>
      <c r="M7" s="12">
        <f>$I$40*Noise!I16</f>
        <v>1076984.452418833</v>
      </c>
      <c r="N7" s="12">
        <f>$I$40*Noise!J16</f>
        <v>1103652.4607297855</v>
      </c>
      <c r="O7" s="12">
        <f>$I$40*Noise!K16</f>
        <v>1130980.8153119173</v>
      </c>
      <c r="P7" s="12">
        <f>$I$40*Noise!L16</f>
        <v>1158985.8674874865</v>
      </c>
      <c r="Q7" s="12">
        <f>$I$40*Noise!M16</f>
        <v>1187684.3734659301</v>
      </c>
      <c r="R7" s="12">
        <f>$I$40*Noise!N16</f>
        <v>1217093.5043695769</v>
      </c>
      <c r="S7" s="12">
        <f>$I$40*Noise!O16</f>
        <v>1247230.8565076112</v>
      </c>
      <c r="T7" s="12">
        <f>$I$40*Noise!P16</f>
        <v>1271246.0533289418</v>
      </c>
      <c r="U7" s="12">
        <f>$I$40*Noise!Q16</f>
        <v>1295723.6582725199</v>
      </c>
      <c r="V7" s="12">
        <f>$I$40*Noise!R16</f>
        <v>1320672.5749202371</v>
      </c>
      <c r="W7" s="12">
        <f>$I$40*Noise!S16</f>
        <v>1346101.8782907866</v>
      </c>
      <c r="X7" s="12">
        <f>$I$40*Noise!T16</f>
        <v>1372020.8181406516</v>
      </c>
      <c r="Y7" s="12">
        <f>$I$40*Noise!U16</f>
        <v>1398438.8223286434</v>
      </c>
      <c r="Z7" s="12">
        <f>$I$40*Noise!V16</f>
        <v>1425365.5002452321</v>
      </c>
      <c r="AA7" s="12">
        <f>$I$40*Noise!W16</f>
        <v>1452810.6463079047</v>
      </c>
      <c r="AB7" s="12">
        <f>$I$40*Noise!X16</f>
        <v>1480784.2435238231</v>
      </c>
      <c r="AC7" s="12">
        <f>$I$40*Noise!Y16</f>
        <v>1509296.4671210849</v>
      </c>
      <c r="AD7" s="12">
        <f>$I$40*Noise!Z16</f>
        <v>1542506.2407427537</v>
      </c>
      <c r="AE7" s="12">
        <f>$I$40*Noise!AA16</f>
        <v>1571598.5451419207</v>
      </c>
      <c r="AF7" s="12">
        <f>$I$40*Noise!AB16</f>
        <v>1601239.5424104573</v>
      </c>
      <c r="AG7" s="12">
        <f>$I$40*Noise!AC16</f>
        <v>1631439.5811223632</v>
      </c>
      <c r="AH7" s="12">
        <f>$I$40*Noise!AD16</f>
        <v>1662209.2050300152</v>
      </c>
      <c r="AI7" s="12">
        <f>$I$40*Noise!AE16</f>
        <v>1696720.9286196246</v>
      </c>
      <c r="AJ7" s="12">
        <f>$I$40*Noise!AF16</f>
        <v>1731949.204049713</v>
      </c>
      <c r="AK7" s="12">
        <f>$I$40*Noise!AG16</f>
        <v>1767908.9087731193</v>
      </c>
      <c r="AL7" s="12">
        <f>$I$40*Noise!AH16</f>
        <v>1804615.2291367371</v>
      </c>
      <c r="AM7" s="12">
        <f>$I$40*Noise!AI16</f>
        <v>1842083.6667949453</v>
      </c>
      <c r="AN7" s="12">
        <f>$I$40*Noise!AJ16</f>
        <v>1880330.0452562012</v>
      </c>
      <c r="AO7" s="12">
        <f>$I$40*Noise!AK16</f>
        <v>1919370.5165655557</v>
      </c>
      <c r="AP7" s="12">
        <f>$I$40*Noise!AL16</f>
        <v>1959221.5681259159</v>
      </c>
      <c r="AQ7" s="12">
        <f>$I$40*Noise!AM16</f>
        <v>1999900.0296609316</v>
      </c>
      <c r="AR7" s="12">
        <f>$I$40*Noise!AN16</f>
        <v>2041423.0803224538</v>
      </c>
      <c r="AS7" s="12">
        <f>$I$40*Noise!AO16</f>
        <v>2083808.255945558</v>
      </c>
      <c r="AT7" s="12">
        <f>$I$40*Noise!AP16</f>
        <v>2127073.456454203</v>
      </c>
      <c r="AU7" s="12">
        <f>$I$40*Noise!AQ16</f>
        <v>2171236.9534206493</v>
      </c>
      <c r="AV7" s="12">
        <f>$I$40*Noise!AR16</f>
        <v>2216317.3977818307</v>
      </c>
      <c r="AW7" s="12">
        <f>$I$40*Noise!AS16</f>
        <v>2262333.8277159361</v>
      </c>
      <c r="AX7" s="12">
        <f>$I$40*Noise!AT16</f>
        <v>2303962.7044413323</v>
      </c>
      <c r="AY7" s="12">
        <f>$I$40*Noise!AU16</f>
        <v>2346357.5880911648</v>
      </c>
      <c r="AZ7" s="12">
        <f>$I$40*Noise!AV16</f>
        <v>2389532.57384778</v>
      </c>
      <c r="BA7" s="12">
        <f>$I$40*Noise!AW16</f>
        <v>2433502.0162569298</v>
      </c>
      <c r="BB7" s="12">
        <f>$I$40*Noise!AX16</f>
        <v>2478280.5340002812</v>
      </c>
      <c r="BC7" s="12">
        <f>$I$40*Noise!AY16</f>
        <v>2523883.0147557426</v>
      </c>
      <c r="BD7" s="12">
        <f>$I$40*Noise!AZ16</f>
        <v>2570324.6201472259</v>
      </c>
      <c r="BE7" s="12">
        <f>$I$40*Noise!BA16</f>
        <v>2617620.7907854849</v>
      </c>
      <c r="BF7" s="12">
        <f>$I$40*Noise!BB16</f>
        <v>2665787.2514017136</v>
      </c>
      <c r="BG7" s="12">
        <f>$I$40*Noise!BC16</f>
        <v>2714840.0160756051</v>
      </c>
      <c r="BH7" s="12">
        <f>$I$40*Noise!BD16</f>
        <v>2766034.5687107481</v>
      </c>
      <c r="BI7" s="12">
        <f>$I$40*Noise!BE16</f>
        <v>2818194.5123832976</v>
      </c>
      <c r="BJ7" s="12">
        <f>$I$40*Noise!BF16</f>
        <v>2871338.0517616631</v>
      </c>
      <c r="BK7" s="12">
        <f>$I$40*Noise!BG16</f>
        <v>2925483.7348051486</v>
      </c>
      <c r="BL7" s="12">
        <f>$I$40*Noise!BH16</f>
        <v>2980650.4592374898</v>
      </c>
      <c r="BM7" s="12">
        <f>$I$40*Noise!BI16</f>
        <v>3036857.4791424694</v>
      </c>
      <c r="BN7" s="12">
        <f>$I$40*Noise!BJ16</f>
        <v>3094124.4116839026</v>
      </c>
      <c r="BO7" s="12">
        <f>$I$40*Noise!BK16</f>
        <v>3152471.2439523498</v>
      </c>
    </row>
    <row r="8" spans="1:78">
      <c r="A8" t="s">
        <v>209</v>
      </c>
      <c r="G8" s="18">
        <f>NPV(D2,H8:BO8)</f>
        <v>-26880335.644725706</v>
      </c>
      <c r="H8">
        <f>$C$40*Noise!D15</f>
        <v>-662746.98519197991</v>
      </c>
      <c r="I8" s="12">
        <f>$C$40*Noise!E15</f>
        <v>-680982.27345900529</v>
      </c>
      <c r="J8" s="12">
        <f>$C$40*Noise!F15</f>
        <v>-697844.57902658242</v>
      </c>
      <c r="K8" s="12">
        <f>$C$40*Noise!G15</f>
        <v>-715124.42460971687</v>
      </c>
      <c r="L8" s="12">
        <f>$C$40*Noise!H15</f>
        <v>-732832.14922544837</v>
      </c>
      <c r="M8" s="12">
        <f>$C$40*Noise!I15</f>
        <v>-750978.34790286166</v>
      </c>
      <c r="N8" s="12">
        <f>$C$40*Noise!J15</f>
        <v>-769573.87802239065</v>
      </c>
      <c r="O8" s="12">
        <f>$C$40*Noise!K15</f>
        <v>-788629.86581209337</v>
      </c>
      <c r="P8" s="12">
        <f>$C$40*Noise!L15</f>
        <v>-808157.71300478757</v>
      </c>
      <c r="Q8" s="12">
        <f>$C$40*Noise!M15</f>
        <v>-828169.10366002657</v>
      </c>
      <c r="R8" s="12">
        <f>$C$40*Noise!N15</f>
        <v>-848676.01115500182</v>
      </c>
      <c r="S8" s="12">
        <f>$C$40*Noise!O15</f>
        <v>-869690.70534854999</v>
      </c>
      <c r="T8" s="12">
        <f>$C$40*Noise!P15</f>
        <v>-886436.43718612636</v>
      </c>
      <c r="U8" s="12">
        <f>$C$40*Noise!Q15</f>
        <v>-903504.60495759442</v>
      </c>
      <c r="V8" s="12">
        <f>$C$40*Noise!R15</f>
        <v>-920901.41710654297</v>
      </c>
      <c r="W8" s="12">
        <f>$C$40*Noise!S15</f>
        <v>-938633.20161898038</v>
      </c>
      <c r="X8" s="12">
        <f>$C$40*Noise!T15</f>
        <v>-956706.40832510218</v>
      </c>
      <c r="Y8" s="12">
        <f>$C$40*Noise!U15</f>
        <v>-975127.61124537734</v>
      </c>
      <c r="Z8" s="12">
        <f>$C$40*Noise!V15</f>
        <v>-993903.51098180981</v>
      </c>
      <c r="AA8" s="12">
        <f>$C$40*Noise!W15</f>
        <v>-1013040.9371552409</v>
      </c>
      <c r="AB8" s="12">
        <f>$C$40*Noise!X15</f>
        <v>-1032546.8508895838</v>
      </c>
      <c r="AC8" s="12">
        <f>$C$40*Noise!Y15</f>
        <v>-1052428.3473438909</v>
      </c>
      <c r="AD8" s="12">
        <f>$C$40*Noise!Z15</f>
        <v>-1075585.4327341355</v>
      </c>
      <c r="AE8" s="12">
        <f>$C$40*Noise!AA15</f>
        <v>-1095871.4179638249</v>
      </c>
      <c r="AF8" s="12">
        <f>$C$40*Noise!AB15</f>
        <v>-1116540.005248372</v>
      </c>
      <c r="AG8" s="12">
        <f>$C$40*Noise!AC15</f>
        <v>-1137598.4106204577</v>
      </c>
      <c r="AH8" s="12">
        <f>$C$40*Noise!AD15</f>
        <v>-1159053.986210118</v>
      </c>
      <c r="AI8" s="12">
        <f>$C$40*Noise!AE15</f>
        <v>-1183118.9177942239</v>
      </c>
      <c r="AJ8" s="12">
        <f>$C$40*Noise!AF15</f>
        <v>-1207683.4990400693</v>
      </c>
      <c r="AK8" s="12">
        <f>$C$40*Noise!AG15</f>
        <v>-1232758.1039553096</v>
      </c>
      <c r="AL8" s="12">
        <f>$C$40*Noise!AH15</f>
        <v>-1258353.3219385887</v>
      </c>
      <c r="AM8" s="12">
        <f>$C$40*Noise!AI15</f>
        <v>-1284479.9622516094</v>
      </c>
      <c r="AN8" s="12">
        <f>$C$40*Noise!AJ15</f>
        <v>-1311149.0585840526</v>
      </c>
      <c r="AO8" s="12">
        <f>$C$40*Noise!AK15</f>
        <v>-1338371.8737132782</v>
      </c>
      <c r="AP8" s="12">
        <f>$C$40*Noise!AL15</f>
        <v>-1366159.9042607725</v>
      </c>
      <c r="AQ8" s="12">
        <f>$C$40*Noise!AM15</f>
        <v>-1394524.8855473509</v>
      </c>
      <c r="AR8" s="12">
        <f>$C$40*Noise!AN15</f>
        <v>-1423478.7965491691</v>
      </c>
      <c r="AS8" s="12">
        <f>$C$40*Noise!AO15</f>
        <v>-1453033.8649566311</v>
      </c>
      <c r="AT8" s="12">
        <f>$C$40*Noise!AP15</f>
        <v>-1483202.572338335</v>
      </c>
      <c r="AU8" s="12">
        <f>$C$40*Noise!AQ15</f>
        <v>-1513997.6594122355</v>
      </c>
      <c r="AV8" s="12">
        <f>$C$40*Noise!AR15</f>
        <v>-1545432.1314262485</v>
      </c>
      <c r="AW8" s="12">
        <f>$C$40*Noise!AS15</f>
        <v>-1577519.2636505708</v>
      </c>
      <c r="AX8" s="12">
        <f>$C$40*Noise!AT15</f>
        <v>-1606546.9668807115</v>
      </c>
      <c r="AY8" s="12">
        <f>$C$40*Noise!AU15</f>
        <v>-1636108.8046689732</v>
      </c>
      <c r="AZ8" s="12">
        <f>$C$40*Noise!AV15</f>
        <v>-1666214.6055479103</v>
      </c>
      <c r="BA8" s="12">
        <f>$C$40*Noise!AW15</f>
        <v>-1696874.3789034798</v>
      </c>
      <c r="BB8" s="12">
        <f>$C$40*Noise!AX15</f>
        <v>-1728098.318302898</v>
      </c>
      <c r="BC8" s="12">
        <f>$C$40*Noise!AY15</f>
        <v>-1759896.8048837332</v>
      </c>
      <c r="BD8" s="12">
        <f>$C$40*Noise!AZ15</f>
        <v>-1792280.410805362</v>
      </c>
      <c r="BE8" s="12">
        <f>$C$40*Noise!BA15</f>
        <v>-1825259.902763932</v>
      </c>
      <c r="BF8" s="12">
        <f>$C$40*Noise!BB15</f>
        <v>-1858846.2455720049</v>
      </c>
      <c r="BG8" s="12">
        <f>$C$40*Noise!BC15</f>
        <v>-1893050.6058040699</v>
      </c>
      <c r="BH8" s="12">
        <f>$C$40*Noise!BD15</f>
        <v>-1928748.4289928991</v>
      </c>
      <c r="BI8" s="12">
        <f>$C$40*Noise!BE15</f>
        <v>-1965119.416742947</v>
      </c>
      <c r="BJ8" s="12">
        <f>$C$40*Noise!BF15</f>
        <v>-2002176.2631202941</v>
      </c>
      <c r="BK8" s="12">
        <f>$C$40*Noise!BG15</f>
        <v>-2039931.9015668326</v>
      </c>
      <c r="BL8" s="12">
        <f>$C$40*Noise!BH15</f>
        <v>-2078399.5094142489</v>
      </c>
      <c r="BM8" s="12">
        <f>$C$40*Noise!BI15</f>
        <v>-2117592.5124831265</v>
      </c>
      <c r="BN8" s="12">
        <f>$C$40*Noise!BJ15</f>
        <v>-2157524.5897687748</v>
      </c>
      <c r="BO8" s="12">
        <f>$C$40*Noise!BK15</f>
        <v>-2198209.6782154213</v>
      </c>
    </row>
    <row r="9" spans="1:78">
      <c r="A9" t="s">
        <v>118</v>
      </c>
      <c r="G9" s="18">
        <f>NPV(D2,H9:BO9)</f>
        <v>15306917.797181973</v>
      </c>
      <c r="H9">
        <f>RideQuality!U40*$E$48</f>
        <v>385591.39507410675</v>
      </c>
      <c r="I9" s="12">
        <f>RideQuality!V40*$E$48</f>
        <v>404099.78203766386</v>
      </c>
      <c r="J9" s="12">
        <f>RideQuality!W40*$E$48</f>
        <v>416626.87528083159</v>
      </c>
      <c r="K9" s="12">
        <f>RideQuality!X40*$E$48</f>
        <v>428292.4277886948</v>
      </c>
      <c r="L9" s="12">
        <f>RideQuality!Y40*$E$48</f>
        <v>439856.32333898946</v>
      </c>
      <c r="M9" s="12">
        <f>RideQuality!Z40*$E$48</f>
        <v>454371.58200917608</v>
      </c>
      <c r="N9" s="12">
        <f>RideQuality!AA40*$E$48</f>
        <v>470728.95896150637</v>
      </c>
      <c r="O9" s="12">
        <f>RideQuality!AB40*$E$48</f>
        <v>488616.65940204368</v>
      </c>
      <c r="P9" s="12">
        <f>RideQuality!AC40*$E$48</f>
        <v>507672.70911872335</v>
      </c>
      <c r="Q9" s="12">
        <f>RideQuality!AD40*$E$48</f>
        <v>526710.43571067532</v>
      </c>
      <c r="R9" s="12">
        <f>RideQuality!AE40*$E$48</f>
        <v>545672.01139625977</v>
      </c>
      <c r="S9" s="12">
        <f>RideQuality!AF40*$E$48</f>
        <v>564497.69578943064</v>
      </c>
      <c r="T9" s="12">
        <f>RideQuality!AG40*$E$48</f>
        <v>583126.1197504818</v>
      </c>
      <c r="U9" s="12">
        <f>RideQuality!AH40*$E$48</f>
        <v>602369.28170224768</v>
      </c>
      <c r="V9" s="12">
        <f>RideQuality!AI40*$E$48</f>
        <v>622247.46799842198</v>
      </c>
      <c r="W9" s="12">
        <f>RideQuality!AJ40*$E$48</f>
        <v>642781.63444236969</v>
      </c>
      <c r="X9" s="12">
        <f>RideQuality!AK40*$E$48</f>
        <v>663993.42837896803</v>
      </c>
      <c r="Y9" s="12">
        <f>RideQuality!AL40*$E$48</f>
        <v>685905.2115154739</v>
      </c>
      <c r="Z9" s="12">
        <f>RideQuality!AM40*$E$48</f>
        <v>708540.08349548443</v>
      </c>
      <c r="AA9" s="12">
        <f>RideQuality!AN40*$E$48</f>
        <v>733338.98641782638</v>
      </c>
      <c r="AB9" s="12">
        <f>RideQuality!AO40*$E$48</f>
        <v>733338.98641782638</v>
      </c>
      <c r="AC9" s="12">
        <f>RideQuality!AP40*$E$48</f>
        <v>733338.98641782638</v>
      </c>
      <c r="AD9" s="12">
        <f>RideQuality!AQ40*$E$48</f>
        <v>733338.98641782638</v>
      </c>
      <c r="AE9" s="12">
        <f>RideQuality!AR40*$E$48</f>
        <v>733338.98641782638</v>
      </c>
      <c r="AF9" s="12">
        <f>RideQuality!AS40*$E$48</f>
        <v>733338.98641782638</v>
      </c>
      <c r="AG9" s="12">
        <f>RideQuality!AT40*$E$48</f>
        <v>733338.98641782638</v>
      </c>
      <c r="AH9" s="12">
        <f>RideQuality!AU40*$E$48</f>
        <v>733338.98641782638</v>
      </c>
      <c r="AI9" s="12">
        <f>RideQuality!AV40*$E$48</f>
        <v>733338.98641782638</v>
      </c>
      <c r="AJ9" s="12">
        <f>RideQuality!AW40*$E$48</f>
        <v>733338.98641782638</v>
      </c>
      <c r="AK9" s="12">
        <f>RideQuality!AX40*$E$48</f>
        <v>733338.98641782638</v>
      </c>
      <c r="AL9" s="12">
        <f>RideQuality!AY40*$E$48</f>
        <v>733338.98641782638</v>
      </c>
      <c r="AM9" s="12">
        <f>RideQuality!AZ40*$E$48</f>
        <v>733338.98641782638</v>
      </c>
      <c r="AN9" s="12">
        <f>RideQuality!BA40*$E$48</f>
        <v>733338.98641782638</v>
      </c>
      <c r="AO9" s="12">
        <f>RideQuality!BB40*$E$48</f>
        <v>733338.98641782638</v>
      </c>
      <c r="AP9" s="12">
        <f>RideQuality!BC40*$E$48</f>
        <v>733338.98641782638</v>
      </c>
      <c r="AQ9" s="12">
        <f>RideQuality!BD40*$E$48</f>
        <v>733338.98641782638</v>
      </c>
      <c r="AR9" s="12">
        <f>RideQuality!BE40*$E$48</f>
        <v>733338.98641782638</v>
      </c>
      <c r="AS9" s="12">
        <f>RideQuality!BF40*$E$48</f>
        <v>733338.98641782638</v>
      </c>
      <c r="AT9" s="12">
        <f>RideQuality!BG40*$E$48</f>
        <v>733338.98641782638</v>
      </c>
      <c r="AU9" s="12">
        <f>RideQuality!BH40*$E$48</f>
        <v>733338.98641782638</v>
      </c>
      <c r="AV9" s="12">
        <f>RideQuality!BI40*$E$48</f>
        <v>733338.98641782638</v>
      </c>
      <c r="AW9" s="12">
        <f>RideQuality!BJ40*$E$48</f>
        <v>733338.98641782638</v>
      </c>
      <c r="AX9" s="12">
        <f>RideQuality!BK40*$E$48</f>
        <v>733338.98641782638</v>
      </c>
      <c r="AY9" s="12">
        <f>RideQuality!BL40*$E$48</f>
        <v>733338.98641782638</v>
      </c>
      <c r="AZ9" s="12">
        <f>RideQuality!BM40*$E$48</f>
        <v>733338.98641782638</v>
      </c>
      <c r="BA9" s="12">
        <f>RideQuality!BN40*$E$48</f>
        <v>733338.98641782638</v>
      </c>
      <c r="BB9" s="12">
        <f>RideQuality!BO40*$E$48</f>
        <v>733338.98641782638</v>
      </c>
      <c r="BC9" s="12">
        <f>RideQuality!BP40*$E$48</f>
        <v>733338.98641782638</v>
      </c>
      <c r="BD9" s="12">
        <f>RideQuality!BQ40*$E$48</f>
        <v>733338.98641782638</v>
      </c>
      <c r="BE9" s="12">
        <f>RideQuality!BR40*$E$48</f>
        <v>733338.98641782638</v>
      </c>
      <c r="BF9" s="12">
        <f>RideQuality!BS40*$E$48</f>
        <v>733338.98641782638</v>
      </c>
      <c r="BG9" s="12">
        <f>RideQuality!BT40*$E$48</f>
        <v>733338.98641782638</v>
      </c>
      <c r="BH9" s="12">
        <f>RideQuality!BU40*$E$48</f>
        <v>733338.98641782638</v>
      </c>
      <c r="BI9" s="12">
        <f>RideQuality!BV40*$E$48</f>
        <v>733338.98641782638</v>
      </c>
      <c r="BJ9" s="12">
        <f>RideQuality!BW40*$E$48</f>
        <v>733338.98641782638</v>
      </c>
      <c r="BK9" s="12">
        <f>RideQuality!BX40*$E$48</f>
        <v>733338.98641782638</v>
      </c>
      <c r="BL9" s="12">
        <f>RideQuality!BY40*$E$48</f>
        <v>733338.98641782638</v>
      </c>
      <c r="BM9" s="12">
        <f>RideQuality!BZ40*$E$48</f>
        <v>733338.98641782638</v>
      </c>
      <c r="BN9" s="12">
        <f>RideQuality!CA40*$E$48</f>
        <v>733338.98641782638</v>
      </c>
      <c r="BO9" s="12">
        <f>RideQuality!CB40*$E$48</f>
        <v>733338.98641782638</v>
      </c>
    </row>
    <row r="10" spans="1:78">
      <c r="A10" t="s">
        <v>119</v>
      </c>
      <c r="G10" s="18">
        <f>NPV(D2,H10:BO10)</f>
        <v>1734937.2296190939</v>
      </c>
      <c r="H10">
        <f>Reliability!R51*$D$44</f>
        <v>34327.951974967938</v>
      </c>
      <c r="I10" s="12">
        <f>Reliability!S51*$D$44</f>
        <v>35385.634353567038</v>
      </c>
      <c r="J10" s="12">
        <f>Reliability!T51*$D$44</f>
        <v>35765.855705388538</v>
      </c>
      <c r="K10" s="12">
        <f>Reliability!U51*$D$44</f>
        <v>36780.301113840847</v>
      </c>
      <c r="L10" s="12">
        <f>Reliability!V51*$D$44</f>
        <v>38360.438901507368</v>
      </c>
      <c r="M10" s="12">
        <f>Reliability!W51*$D$44</f>
        <v>39624.22685550154</v>
      </c>
      <c r="N10" s="12">
        <f>Reliability!X51*$D$44</f>
        <v>41164.880184612812</v>
      </c>
      <c r="O10" s="12">
        <f>Reliability!Y51*$D$44</f>
        <v>42780.367939539858</v>
      </c>
      <c r="P10" s="12">
        <f>Reliability!Z51*$D$44</f>
        <v>44465.60092720516</v>
      </c>
      <c r="Q10" s="12">
        <f>Reliability!AA51*$D$44</f>
        <v>46244.506755663737</v>
      </c>
      <c r="R10" s="12">
        <f>Reliability!AB51*$D$44</f>
        <v>48111.21309934189</v>
      </c>
      <c r="S10" s="12">
        <f>Reliability!AC51*$D$44</f>
        <v>50071.4337148208</v>
      </c>
      <c r="T10" s="12">
        <f>Reliability!AD51*$D$44</f>
        <v>52131.058046660291</v>
      </c>
      <c r="U10" s="12">
        <f>Reliability!AE51*$D$44</f>
        <v>54283.064949706677</v>
      </c>
      <c r="V10" s="12">
        <f>Reliability!AF51*$D$44</f>
        <v>56532.518811945272</v>
      </c>
      <c r="W10" s="12">
        <f>Reliability!AG51*$D$44</f>
        <v>58884.675119966028</v>
      </c>
      <c r="X10" s="12">
        <f>Reliability!AH51*$D$44</f>
        <v>61345.053695459654</v>
      </c>
      <c r="Y10" s="12">
        <f>Reliability!AI51*$D$44</f>
        <v>63919.266340711722</v>
      </c>
      <c r="Z10" s="12">
        <f>Reliability!AJ51*$D$44</f>
        <v>66612.921088071482</v>
      </c>
      <c r="AA10" s="12">
        <f>Reliability!AK51*$D$44</f>
        <v>69431.919464617269</v>
      </c>
      <c r="AB10" s="12">
        <f>Reliability!AL51*$D$44</f>
        <v>70824.032589621769</v>
      </c>
      <c r="AC10" s="12">
        <f>Reliability!AM51*$D$44</f>
        <v>72255.518141251334</v>
      </c>
      <c r="AD10" s="12">
        <f>Reliability!AN51*$D$44</f>
        <v>73726.972531774722</v>
      </c>
      <c r="AE10" s="12">
        <f>Reliability!AO51*$D$44</f>
        <v>75238.779909415636</v>
      </c>
      <c r="AF10" s="12">
        <f>Reliability!AP51*$D$44</f>
        <v>76790.99000598822</v>
      </c>
      <c r="AG10" s="12">
        <f>Reliability!AQ51*$D$44</f>
        <v>78383.561296349406</v>
      </c>
      <c r="AH10" s="12">
        <f>Reliability!AR51*$D$44</f>
        <v>80016.397652123807</v>
      </c>
      <c r="AI10" s="12">
        <f>Reliability!AS51*$D$44</f>
        <v>81689.337097117474</v>
      </c>
      <c r="AJ10" s="12">
        <f>Reliability!AT51*$D$44</f>
        <v>83407.849743698287</v>
      </c>
      <c r="AK10" s="12">
        <f>Reliability!AU51*$D$44</f>
        <v>85162.515036651108</v>
      </c>
      <c r="AL10" s="12">
        <f>Reliability!AV51*$D$44</f>
        <v>86954.093525421442</v>
      </c>
      <c r="AM10" s="12">
        <f>Reliability!AW51*$D$44</f>
        <v>88783.361759263818</v>
      </c>
      <c r="AN10" s="12">
        <f>Reliability!AX51*$D$44</f>
        <v>90667.158090546742</v>
      </c>
      <c r="AO10" s="12">
        <f>Reliability!AY51*$D$44</f>
        <v>92590.924620608523</v>
      </c>
      <c r="AP10" s="12">
        <f>Reliability!AZ51*$D$44</f>
        <v>94555.509433057246</v>
      </c>
      <c r="AQ10" s="12">
        <f>Reliability!BA51*$D$44</f>
        <v>96561.778606053573</v>
      </c>
      <c r="AR10" s="12">
        <f>Reliability!BB51*$D$44</f>
        <v>98610.616594115767</v>
      </c>
      <c r="AS10" s="12">
        <f>Reliability!BC51*$D$44</f>
        <v>100731.19929164504</v>
      </c>
      <c r="AT10" s="12">
        <f>Reliability!BD51*$D$44</f>
        <v>102897.38428974168</v>
      </c>
      <c r="AU10" s="12">
        <f>Reliability!BE51*$D$44</f>
        <v>105110.15224802296</v>
      </c>
      <c r="AV10" s="12">
        <f>Reliability!BF51*$D$44</f>
        <v>107370.50491480788</v>
      </c>
      <c r="AW10" s="12">
        <f>Reliability!BG51*$D$44</f>
        <v>109679.46558062028</v>
      </c>
      <c r="AX10" s="12">
        <f>Reliability!BH51*$D$44</f>
        <v>112077.2271564845</v>
      </c>
      <c r="AY10" s="12">
        <f>Reliability!BI51*$D$44</f>
        <v>114527.40748315382</v>
      </c>
      <c r="AZ10" s="12">
        <f>Reliability!BJ51*$D$44</f>
        <v>117031.15251503156</v>
      </c>
      <c r="BA10" s="12">
        <f>Reliability!BK51*$D$44</f>
        <v>119589.63325884422</v>
      </c>
      <c r="BB10" s="12">
        <f>Reliability!BL51*$D$44</f>
        <v>122204.04632132377</v>
      </c>
      <c r="BC10" s="12">
        <f>Reliability!BM51*$D$44</f>
        <v>124907.55557748408</v>
      </c>
      <c r="BD10" s="12">
        <f>Reliability!BN51*$D$44</f>
        <v>127670.87432865023</v>
      </c>
      <c r="BE10" s="12">
        <f>Reliability!BO51*$D$44</f>
        <v>130495.3257349644</v>
      </c>
      <c r="BF10" s="12">
        <f>Reliability!BP51*$D$44</f>
        <v>133382.26222872405</v>
      </c>
      <c r="BG10" s="12">
        <f>Reliability!BQ51*$D$44</f>
        <v>136333.06616196543</v>
      </c>
      <c r="BH10" s="12">
        <f>Reliability!BR51*$D$44</f>
        <v>139357.10918198881</v>
      </c>
      <c r="BI10" s="12">
        <f>Reliability!BS51*$D$44</f>
        <v>142442.59885740117</v>
      </c>
      <c r="BJ10" s="12">
        <f>Reliability!BT51*$D$44</f>
        <v>145596.40400371401</v>
      </c>
      <c r="BK10" s="12">
        <f>Reliability!BU51*$D$44</f>
        <v>148820.03718588594</v>
      </c>
      <c r="BL10" s="12">
        <f>Reliability!BV51*$D$44</f>
        <v>152115.04445840244</v>
      </c>
      <c r="BM10" s="12">
        <f>Reliability!BW51*$D$44</f>
        <v>155455.72022660126</v>
      </c>
      <c r="BN10" s="12">
        <f>Reliability!BX51*$D$44</f>
        <v>158869.76227246207</v>
      </c>
      <c r="BO10" s="12">
        <f>Reliability!BY51*$D$44</f>
        <v>162358.78183007851</v>
      </c>
    </row>
    <row r="11" spans="1:78">
      <c r="A11" t="s">
        <v>120</v>
      </c>
      <c r="E11" t="s">
        <v>135</v>
      </c>
      <c r="G11" s="18">
        <f>AH11/(1 +C2/100)^AH4 + BI11/(1 + C2/100)^BI4</f>
        <v>0</v>
      </c>
      <c r="AH11">
        <f>Tickets!AC276</f>
        <v>0</v>
      </c>
      <c r="BI11">
        <f>Tickets!BD276</f>
        <v>0</v>
      </c>
    </row>
    <row r="12" spans="1:78">
      <c r="E12" t="s">
        <v>136</v>
      </c>
      <c r="G12" s="18">
        <f>AK12/(1 +C2/100)^AK4 + BO12/(1 + C2/100)^BO4</f>
        <v>0</v>
      </c>
      <c r="N12" s="17"/>
      <c r="AK12">
        <f>Tickets!AF277</f>
        <v>0</v>
      </c>
      <c r="BO12">
        <f>Tickets!BJ277</f>
        <v>0</v>
      </c>
    </row>
    <row r="13" spans="1:78">
      <c r="G13" s="17">
        <f>G11-G12</f>
        <v>0</v>
      </c>
      <c r="N13" s="17"/>
    </row>
    <row r="14" spans="1:78" ht="15.75" thickBot="1">
      <c r="N14" s="17"/>
    </row>
    <row r="15" spans="1:78" ht="15.75" thickBot="1">
      <c r="A15" t="s">
        <v>155</v>
      </c>
      <c r="G15" s="24">
        <f>G5 +G6 + G7 + G8  + G9 + G10 + G13</f>
        <v>67682930.986090913</v>
      </c>
      <c r="K15" s="17"/>
      <c r="M15" s="17"/>
    </row>
    <row r="17" spans="1:7">
      <c r="A17" t="s">
        <v>170</v>
      </c>
      <c r="G17" s="17">
        <f>G15/60</f>
        <v>1128048.8497681818</v>
      </c>
    </row>
    <row r="28" spans="1:7">
      <c r="A28" s="12" t="s">
        <v>123</v>
      </c>
      <c r="B28" s="12" t="s">
        <v>124</v>
      </c>
    </row>
    <row r="29" spans="1:7">
      <c r="A29" s="12">
        <v>650000</v>
      </c>
      <c r="B29" s="12">
        <f>15*Variables!E8</f>
        <v>15</v>
      </c>
      <c r="C29">
        <f>A29*B29</f>
        <v>9750000</v>
      </c>
    </row>
    <row r="34" spans="1:9">
      <c r="A34" t="s">
        <v>125</v>
      </c>
    </row>
    <row r="35" spans="1:9">
      <c r="A35">
        <v>196</v>
      </c>
      <c r="B35" t="s">
        <v>126</v>
      </c>
    </row>
    <row r="36" spans="1:9">
      <c r="A36">
        <v>122</v>
      </c>
      <c r="B36" t="s">
        <v>127</v>
      </c>
    </row>
    <row r="37" spans="1:9">
      <c r="A37" t="s">
        <v>128</v>
      </c>
    </row>
    <row r="39" spans="1:9">
      <c r="A39" t="s">
        <v>219</v>
      </c>
    </row>
    <row r="40" spans="1:9">
      <c r="A40" t="s">
        <v>218</v>
      </c>
      <c r="C40">
        <f>-1*Variables!E11</f>
        <v>-1</v>
      </c>
      <c r="G40" t="s">
        <v>220</v>
      </c>
      <c r="I40" s="12">
        <f>5*Variables!E12</f>
        <v>5</v>
      </c>
    </row>
    <row r="42" spans="1:9">
      <c r="A42" t="s">
        <v>164</v>
      </c>
    </row>
    <row r="43" spans="1:9">
      <c r="A43" t="s">
        <v>190</v>
      </c>
    </row>
    <row r="44" spans="1:9">
      <c r="A44" t="s">
        <v>165</v>
      </c>
      <c r="D44">
        <f>0.03*Variables!E14</f>
        <v>1.4999999999999999E-2</v>
      </c>
      <c r="H44" s="2"/>
      <c r="I44" s="8"/>
    </row>
    <row r="45" spans="1:9">
      <c r="H45" s="2"/>
      <c r="I45" s="8"/>
    </row>
    <row r="47" spans="1:9">
      <c r="A47" t="s">
        <v>206</v>
      </c>
    </row>
    <row r="48" spans="1:9">
      <c r="A48" t="s">
        <v>166</v>
      </c>
      <c r="E48">
        <f>0.01*Variables!E16</f>
        <v>0.01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Variables</vt:lpstr>
      <vt:lpstr>Tickets</vt:lpstr>
      <vt:lpstr>Users</vt:lpstr>
      <vt:lpstr>Reliability</vt:lpstr>
      <vt:lpstr>RideQuality</vt:lpstr>
      <vt:lpstr>Noise</vt:lpstr>
      <vt:lpstr>CBA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2017-06-19T11:15:56Z</dcterms:modified>
</cp:coreProperties>
</file>