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o2g12\Downloads\"/>
    </mc:Choice>
  </mc:AlternateContent>
  <bookViews>
    <workbookView xWindow="0" yWindow="465" windowWidth="20730" windowHeight="11760"/>
  </bookViews>
  <sheets>
    <sheet name="Cu-Polyimide Sensor Plate" sheetId="1" r:id="rId1"/>
    <sheet name="Compiled Average Results" sheetId="4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9" i="4" l="1"/>
  <c r="E18" i="4"/>
  <c r="E17" i="4"/>
  <c r="E16" i="4"/>
  <c r="E15" i="4"/>
  <c r="E14" i="4"/>
  <c r="E13" i="4"/>
  <c r="E12" i="4"/>
  <c r="E11" i="4"/>
  <c r="E10" i="4"/>
  <c r="E9" i="4"/>
  <c r="E8" i="4"/>
  <c r="E7" i="4"/>
  <c r="B104" i="4"/>
  <c r="F19" i="4"/>
  <c r="B98" i="4"/>
  <c r="F18" i="4"/>
  <c r="B92" i="4"/>
  <c r="F17" i="4"/>
  <c r="B86" i="4"/>
  <c r="F16" i="4"/>
  <c r="B80" i="4"/>
  <c r="F15" i="4"/>
  <c r="B74" i="4"/>
  <c r="F14" i="4"/>
  <c r="B68" i="4"/>
  <c r="F13" i="4"/>
  <c r="B62" i="4"/>
  <c r="F12" i="4"/>
  <c r="B56" i="4"/>
  <c r="F11" i="4"/>
  <c r="B50" i="4"/>
  <c r="F10" i="4"/>
  <c r="B44" i="4"/>
  <c r="F9" i="4"/>
  <c r="B38" i="4"/>
  <c r="F8" i="4"/>
  <c r="B32" i="4"/>
  <c r="F7" i="4"/>
  <c r="B26" i="4"/>
  <c r="F6" i="4"/>
  <c r="B20" i="4"/>
  <c r="F5" i="4"/>
  <c r="B14" i="4"/>
  <c r="F4" i="4"/>
  <c r="B8" i="4"/>
  <c r="F3" i="4"/>
  <c r="I34" i="1"/>
  <c r="I33" i="1"/>
  <c r="O83" i="1"/>
  <c r="Q83" i="1"/>
  <c r="O84" i="1"/>
  <c r="Q84" i="1"/>
  <c r="O85" i="1"/>
  <c r="Q85" i="1"/>
  <c r="O86" i="1"/>
  <c r="Q86" i="1"/>
  <c r="O87" i="1"/>
  <c r="Q87" i="1"/>
  <c r="N83" i="1"/>
  <c r="P83" i="1"/>
  <c r="N84" i="1"/>
  <c r="P84" i="1"/>
  <c r="N85" i="1"/>
  <c r="P85" i="1"/>
  <c r="N86" i="1"/>
  <c r="P86" i="1"/>
  <c r="N87" i="1"/>
  <c r="P87" i="1"/>
  <c r="J83" i="1"/>
  <c r="L83" i="1"/>
  <c r="J84" i="1"/>
  <c r="L84" i="1"/>
  <c r="J85" i="1"/>
  <c r="L85" i="1"/>
  <c r="J86" i="1"/>
  <c r="L86" i="1"/>
  <c r="J87" i="1"/>
  <c r="L87" i="1"/>
  <c r="I83" i="1"/>
  <c r="K83" i="1"/>
  <c r="I84" i="1"/>
  <c r="K84" i="1"/>
  <c r="I85" i="1"/>
  <c r="K85" i="1"/>
  <c r="I86" i="1"/>
  <c r="K86" i="1"/>
  <c r="I87" i="1"/>
  <c r="K87" i="1"/>
  <c r="E83" i="1"/>
  <c r="G83" i="1"/>
  <c r="E84" i="1"/>
  <c r="G84" i="1"/>
  <c r="E85" i="1"/>
  <c r="G85" i="1"/>
  <c r="E86" i="1"/>
  <c r="G86" i="1"/>
  <c r="E87" i="1"/>
  <c r="G87" i="1"/>
  <c r="D83" i="1"/>
  <c r="F83" i="1"/>
  <c r="D84" i="1"/>
  <c r="F84" i="1"/>
  <c r="D85" i="1"/>
  <c r="F85" i="1"/>
  <c r="D86" i="1"/>
  <c r="F86" i="1"/>
  <c r="D87" i="1"/>
  <c r="F87" i="1"/>
  <c r="O78" i="1"/>
  <c r="Q78" i="1"/>
  <c r="O79" i="1"/>
  <c r="Q79" i="1"/>
  <c r="O80" i="1"/>
  <c r="Q80" i="1"/>
  <c r="O81" i="1"/>
  <c r="Q81" i="1"/>
  <c r="O82" i="1"/>
  <c r="Q82" i="1"/>
  <c r="N78" i="1"/>
  <c r="P78" i="1"/>
  <c r="N79" i="1"/>
  <c r="P79" i="1"/>
  <c r="N80" i="1"/>
  <c r="P80" i="1"/>
  <c r="N81" i="1"/>
  <c r="P81" i="1"/>
  <c r="N82" i="1"/>
  <c r="P82" i="1"/>
  <c r="J78" i="1"/>
  <c r="L78" i="1"/>
  <c r="J79" i="1"/>
  <c r="L79" i="1"/>
  <c r="J80" i="1"/>
  <c r="L80" i="1"/>
  <c r="J81" i="1"/>
  <c r="L81" i="1"/>
  <c r="J82" i="1"/>
  <c r="L82" i="1"/>
  <c r="I78" i="1"/>
  <c r="K78" i="1"/>
  <c r="I79" i="1"/>
  <c r="K79" i="1"/>
  <c r="I80" i="1"/>
  <c r="K80" i="1"/>
  <c r="I81" i="1"/>
  <c r="K81" i="1"/>
  <c r="I82" i="1"/>
  <c r="K82" i="1"/>
  <c r="E78" i="1"/>
  <c r="G78" i="1"/>
  <c r="E79" i="1"/>
  <c r="G79" i="1"/>
  <c r="E80" i="1"/>
  <c r="G80" i="1"/>
  <c r="E81" i="1"/>
  <c r="G81" i="1"/>
  <c r="E82" i="1"/>
  <c r="G82" i="1"/>
  <c r="D78" i="1"/>
  <c r="F78" i="1"/>
  <c r="D79" i="1"/>
  <c r="F79" i="1"/>
  <c r="D80" i="1"/>
  <c r="F80" i="1"/>
  <c r="D81" i="1"/>
  <c r="F81" i="1"/>
  <c r="D82" i="1"/>
  <c r="F82" i="1"/>
  <c r="O73" i="1"/>
  <c r="Q73" i="1"/>
  <c r="O74" i="1"/>
  <c r="Q74" i="1"/>
  <c r="O75" i="1"/>
  <c r="Q75" i="1"/>
  <c r="O76" i="1"/>
  <c r="Q76" i="1"/>
  <c r="O77" i="1"/>
  <c r="Q77" i="1"/>
  <c r="N73" i="1"/>
  <c r="P73" i="1"/>
  <c r="N74" i="1"/>
  <c r="P74" i="1"/>
  <c r="N75" i="1"/>
  <c r="P75" i="1"/>
  <c r="N76" i="1"/>
  <c r="P76" i="1"/>
  <c r="N77" i="1"/>
  <c r="P77" i="1"/>
  <c r="J76" i="1"/>
  <c r="J73" i="1"/>
  <c r="L73" i="1"/>
  <c r="J74" i="1"/>
  <c r="L74" i="1"/>
  <c r="J75" i="1"/>
  <c r="L75" i="1"/>
  <c r="L76" i="1"/>
  <c r="J77" i="1"/>
  <c r="L77" i="1"/>
  <c r="I73" i="1"/>
  <c r="K73" i="1"/>
  <c r="I74" i="1"/>
  <c r="K74" i="1"/>
  <c r="I75" i="1"/>
  <c r="K75" i="1"/>
  <c r="I76" i="1"/>
  <c r="K76" i="1"/>
  <c r="I77" i="1"/>
  <c r="K77" i="1"/>
  <c r="E73" i="1"/>
  <c r="G73" i="1"/>
  <c r="E74" i="1"/>
  <c r="G74" i="1"/>
  <c r="E75" i="1"/>
  <c r="G75" i="1"/>
  <c r="E76" i="1"/>
  <c r="G76" i="1"/>
  <c r="E77" i="1"/>
  <c r="G77" i="1"/>
  <c r="D73" i="1"/>
  <c r="F73" i="1"/>
  <c r="D74" i="1"/>
  <c r="F74" i="1"/>
  <c r="D75" i="1"/>
  <c r="F75" i="1"/>
  <c r="D76" i="1"/>
  <c r="F76" i="1"/>
  <c r="D77" i="1"/>
  <c r="F77" i="1"/>
  <c r="O68" i="1"/>
  <c r="Q68" i="1"/>
  <c r="O69" i="1"/>
  <c r="Q69" i="1"/>
  <c r="O70" i="1"/>
  <c r="Q70" i="1"/>
  <c r="O71" i="1"/>
  <c r="Q71" i="1"/>
  <c r="O72" i="1"/>
  <c r="Q72" i="1"/>
  <c r="N68" i="1"/>
  <c r="P68" i="1"/>
  <c r="N69" i="1"/>
  <c r="P69" i="1"/>
  <c r="N70" i="1"/>
  <c r="P70" i="1"/>
  <c r="N71" i="1"/>
  <c r="P71" i="1"/>
  <c r="N72" i="1"/>
  <c r="P72" i="1"/>
  <c r="J68" i="1"/>
  <c r="L68" i="1"/>
  <c r="J69" i="1"/>
  <c r="L69" i="1"/>
  <c r="J70" i="1"/>
  <c r="L70" i="1"/>
  <c r="J71" i="1"/>
  <c r="L71" i="1"/>
  <c r="J72" i="1"/>
  <c r="L72" i="1"/>
  <c r="I68" i="1"/>
  <c r="K68" i="1"/>
  <c r="I69" i="1"/>
  <c r="K69" i="1"/>
  <c r="I70" i="1"/>
  <c r="K70" i="1"/>
  <c r="I71" i="1"/>
  <c r="K71" i="1"/>
  <c r="I72" i="1"/>
  <c r="K72" i="1"/>
  <c r="E68" i="1"/>
  <c r="G68" i="1"/>
  <c r="E69" i="1"/>
  <c r="G69" i="1"/>
  <c r="E70" i="1"/>
  <c r="G70" i="1"/>
  <c r="E71" i="1"/>
  <c r="G71" i="1"/>
  <c r="E72" i="1"/>
  <c r="G72" i="1"/>
  <c r="D72" i="1"/>
  <c r="F72" i="1"/>
  <c r="D68" i="1"/>
  <c r="F68" i="1"/>
  <c r="D69" i="1"/>
  <c r="F69" i="1"/>
  <c r="D70" i="1"/>
  <c r="F70" i="1"/>
  <c r="D71" i="1"/>
  <c r="F71" i="1"/>
  <c r="O63" i="1"/>
  <c r="Q63" i="1"/>
  <c r="O64" i="1"/>
  <c r="Q64" i="1"/>
  <c r="O65" i="1"/>
  <c r="Q65" i="1"/>
  <c r="O66" i="1"/>
  <c r="Q66" i="1"/>
  <c r="O67" i="1"/>
  <c r="Q67" i="1"/>
  <c r="N63" i="1"/>
  <c r="P63" i="1"/>
  <c r="N64" i="1"/>
  <c r="P64" i="1"/>
  <c r="N65" i="1"/>
  <c r="P65" i="1"/>
  <c r="N66" i="1"/>
  <c r="P66" i="1"/>
  <c r="N67" i="1"/>
  <c r="P67" i="1"/>
  <c r="J63" i="1"/>
  <c r="L63" i="1"/>
  <c r="J64" i="1"/>
  <c r="L64" i="1"/>
  <c r="J65" i="1"/>
  <c r="L65" i="1"/>
  <c r="J66" i="1"/>
  <c r="L66" i="1"/>
  <c r="J67" i="1"/>
  <c r="L67" i="1"/>
  <c r="I63" i="1"/>
  <c r="K63" i="1"/>
  <c r="I64" i="1"/>
  <c r="K64" i="1"/>
  <c r="I65" i="1"/>
  <c r="K65" i="1"/>
  <c r="I66" i="1"/>
  <c r="K66" i="1"/>
  <c r="I67" i="1"/>
  <c r="K67" i="1"/>
  <c r="E63" i="1"/>
  <c r="G63" i="1"/>
  <c r="E64" i="1"/>
  <c r="G64" i="1"/>
  <c r="E65" i="1"/>
  <c r="G65" i="1"/>
  <c r="E66" i="1"/>
  <c r="G66" i="1"/>
  <c r="E67" i="1"/>
  <c r="G67" i="1"/>
  <c r="D63" i="1"/>
  <c r="F63" i="1"/>
  <c r="D64" i="1"/>
  <c r="F64" i="1"/>
  <c r="D65" i="1"/>
  <c r="F65" i="1"/>
  <c r="D66" i="1"/>
  <c r="F66" i="1"/>
  <c r="D67" i="1"/>
  <c r="F67" i="1"/>
  <c r="O58" i="1"/>
  <c r="Q58" i="1"/>
  <c r="O59" i="1"/>
  <c r="Q59" i="1"/>
  <c r="O60" i="1"/>
  <c r="Q60" i="1"/>
  <c r="O61" i="1"/>
  <c r="Q61" i="1"/>
  <c r="O62" i="1"/>
  <c r="Q62" i="1"/>
  <c r="N58" i="1"/>
  <c r="P58" i="1"/>
  <c r="N59" i="1"/>
  <c r="P59" i="1"/>
  <c r="N60" i="1"/>
  <c r="P60" i="1"/>
  <c r="N61" i="1"/>
  <c r="P61" i="1"/>
  <c r="N62" i="1"/>
  <c r="P62" i="1"/>
  <c r="J58" i="1"/>
  <c r="L58" i="1"/>
  <c r="J59" i="1"/>
  <c r="L59" i="1"/>
  <c r="J60" i="1"/>
  <c r="L60" i="1"/>
  <c r="J61" i="1"/>
  <c r="L61" i="1"/>
  <c r="J62" i="1"/>
  <c r="L62" i="1"/>
  <c r="I58" i="1"/>
  <c r="K58" i="1"/>
  <c r="I59" i="1"/>
  <c r="K59" i="1"/>
  <c r="I60" i="1"/>
  <c r="K60" i="1"/>
  <c r="I61" i="1"/>
  <c r="K61" i="1"/>
  <c r="I62" i="1"/>
  <c r="K62" i="1"/>
  <c r="E58" i="1"/>
  <c r="G58" i="1"/>
  <c r="E59" i="1"/>
  <c r="G59" i="1"/>
  <c r="E60" i="1"/>
  <c r="G60" i="1"/>
  <c r="E61" i="1"/>
  <c r="G61" i="1"/>
  <c r="E62" i="1"/>
  <c r="G62" i="1"/>
  <c r="D58" i="1"/>
  <c r="F58" i="1"/>
  <c r="D59" i="1"/>
  <c r="F59" i="1"/>
  <c r="D60" i="1"/>
  <c r="F60" i="1"/>
  <c r="D61" i="1"/>
  <c r="F61" i="1"/>
  <c r="D62" i="1"/>
  <c r="F62" i="1"/>
  <c r="O53" i="1"/>
  <c r="Q53" i="1"/>
  <c r="O54" i="1"/>
  <c r="Q54" i="1"/>
  <c r="O55" i="1"/>
  <c r="Q55" i="1"/>
  <c r="O56" i="1"/>
  <c r="Q56" i="1"/>
  <c r="O57" i="1"/>
  <c r="Q57" i="1"/>
  <c r="N53" i="1"/>
  <c r="P53" i="1"/>
  <c r="N54" i="1"/>
  <c r="P54" i="1"/>
  <c r="N55" i="1"/>
  <c r="P55" i="1"/>
  <c r="N56" i="1"/>
  <c r="P56" i="1"/>
  <c r="N57" i="1"/>
  <c r="P57" i="1"/>
  <c r="J53" i="1"/>
  <c r="L53" i="1"/>
  <c r="J54" i="1"/>
  <c r="L54" i="1"/>
  <c r="J55" i="1"/>
  <c r="L55" i="1"/>
  <c r="J56" i="1"/>
  <c r="L56" i="1"/>
  <c r="J57" i="1"/>
  <c r="L57" i="1"/>
  <c r="I53" i="1"/>
  <c r="K53" i="1"/>
  <c r="I54" i="1"/>
  <c r="K54" i="1"/>
  <c r="I55" i="1"/>
  <c r="K55" i="1"/>
  <c r="I56" i="1"/>
  <c r="K56" i="1"/>
  <c r="I57" i="1"/>
  <c r="K57" i="1"/>
  <c r="E53" i="1"/>
  <c r="G53" i="1"/>
  <c r="E54" i="1"/>
  <c r="G54" i="1"/>
  <c r="E55" i="1"/>
  <c r="G55" i="1"/>
  <c r="E56" i="1"/>
  <c r="G56" i="1"/>
  <c r="E57" i="1"/>
  <c r="G57" i="1"/>
  <c r="D53" i="1"/>
  <c r="F53" i="1"/>
  <c r="D54" i="1"/>
  <c r="F54" i="1"/>
  <c r="D55" i="1"/>
  <c r="F55" i="1"/>
  <c r="D56" i="1"/>
  <c r="F56" i="1"/>
  <c r="D57" i="1"/>
  <c r="F57" i="1"/>
  <c r="O48" i="1"/>
  <c r="Q48" i="1"/>
  <c r="O49" i="1"/>
  <c r="Q49" i="1"/>
  <c r="O50" i="1"/>
  <c r="Q50" i="1"/>
  <c r="O51" i="1"/>
  <c r="Q51" i="1"/>
  <c r="O52" i="1"/>
  <c r="Q52" i="1"/>
  <c r="N48" i="1"/>
  <c r="P48" i="1"/>
  <c r="N49" i="1"/>
  <c r="P49" i="1"/>
  <c r="N50" i="1"/>
  <c r="P50" i="1"/>
  <c r="N51" i="1"/>
  <c r="P51" i="1"/>
  <c r="N52" i="1"/>
  <c r="P52" i="1"/>
  <c r="J48" i="1"/>
  <c r="L48" i="1"/>
  <c r="J49" i="1"/>
  <c r="L49" i="1"/>
  <c r="J50" i="1"/>
  <c r="L50" i="1"/>
  <c r="J51" i="1"/>
  <c r="L51" i="1"/>
  <c r="J52" i="1"/>
  <c r="L52" i="1"/>
  <c r="I48" i="1"/>
  <c r="K48" i="1"/>
  <c r="I49" i="1"/>
  <c r="K49" i="1"/>
  <c r="I50" i="1"/>
  <c r="K50" i="1"/>
  <c r="I51" i="1"/>
  <c r="K51" i="1"/>
  <c r="I52" i="1"/>
  <c r="K52" i="1"/>
  <c r="E48" i="1"/>
  <c r="G48" i="1"/>
  <c r="E49" i="1"/>
  <c r="G49" i="1"/>
  <c r="E50" i="1"/>
  <c r="G50" i="1"/>
  <c r="E51" i="1"/>
  <c r="G51" i="1"/>
  <c r="E52" i="1"/>
  <c r="G52" i="1"/>
  <c r="D48" i="1"/>
  <c r="F48" i="1"/>
  <c r="D49" i="1"/>
  <c r="F49" i="1"/>
  <c r="D50" i="1"/>
  <c r="F50" i="1"/>
  <c r="D51" i="1"/>
  <c r="F51" i="1"/>
  <c r="D52" i="1"/>
  <c r="F52" i="1"/>
  <c r="O43" i="1"/>
  <c r="Q43" i="1"/>
  <c r="O44" i="1"/>
  <c r="Q44" i="1"/>
  <c r="O45" i="1"/>
  <c r="Q45" i="1"/>
  <c r="O46" i="1"/>
  <c r="Q46" i="1"/>
  <c r="O47" i="1"/>
  <c r="Q47" i="1"/>
  <c r="N43" i="1"/>
  <c r="P43" i="1"/>
  <c r="N44" i="1"/>
  <c r="P44" i="1"/>
  <c r="N45" i="1"/>
  <c r="P45" i="1"/>
  <c r="N46" i="1"/>
  <c r="P46" i="1"/>
  <c r="N47" i="1"/>
  <c r="P47" i="1"/>
  <c r="J43" i="1"/>
  <c r="L43" i="1"/>
  <c r="J44" i="1"/>
  <c r="L44" i="1"/>
  <c r="J45" i="1"/>
  <c r="L45" i="1"/>
  <c r="J46" i="1"/>
  <c r="L46" i="1"/>
  <c r="J47" i="1"/>
  <c r="L47" i="1"/>
  <c r="I43" i="1"/>
  <c r="K43" i="1"/>
  <c r="I44" i="1"/>
  <c r="K44" i="1"/>
  <c r="I45" i="1"/>
  <c r="K45" i="1"/>
  <c r="I46" i="1"/>
  <c r="K46" i="1"/>
  <c r="I47" i="1"/>
  <c r="K47" i="1"/>
  <c r="E43" i="1"/>
  <c r="G43" i="1"/>
  <c r="E44" i="1"/>
  <c r="G44" i="1"/>
  <c r="E45" i="1"/>
  <c r="G45" i="1"/>
  <c r="E46" i="1"/>
  <c r="G46" i="1"/>
  <c r="E47" i="1"/>
  <c r="G47" i="1"/>
  <c r="D43" i="1"/>
  <c r="F43" i="1"/>
  <c r="D44" i="1"/>
  <c r="F44" i="1"/>
  <c r="D45" i="1"/>
  <c r="F45" i="1"/>
  <c r="D46" i="1"/>
  <c r="F46" i="1"/>
  <c r="D47" i="1"/>
  <c r="F47" i="1"/>
  <c r="O38" i="1"/>
  <c r="Q38" i="1"/>
  <c r="O39" i="1"/>
  <c r="Q39" i="1"/>
  <c r="O40" i="1"/>
  <c r="Q40" i="1"/>
  <c r="O41" i="1"/>
  <c r="Q41" i="1"/>
  <c r="O42" i="1"/>
  <c r="Q42" i="1"/>
  <c r="N38" i="1"/>
  <c r="P38" i="1"/>
  <c r="N39" i="1"/>
  <c r="P39" i="1"/>
  <c r="N40" i="1"/>
  <c r="P40" i="1"/>
  <c r="N41" i="1"/>
  <c r="P41" i="1"/>
  <c r="N42" i="1"/>
  <c r="P42" i="1"/>
  <c r="J38" i="1"/>
  <c r="L38" i="1"/>
  <c r="J39" i="1"/>
  <c r="L39" i="1"/>
  <c r="J40" i="1"/>
  <c r="L40" i="1"/>
  <c r="J41" i="1"/>
  <c r="L41" i="1"/>
  <c r="J42" i="1"/>
  <c r="L42" i="1"/>
  <c r="I38" i="1"/>
  <c r="K38" i="1"/>
  <c r="I39" i="1"/>
  <c r="K39" i="1"/>
  <c r="I40" i="1"/>
  <c r="K40" i="1"/>
  <c r="I41" i="1"/>
  <c r="K41" i="1"/>
  <c r="I42" i="1"/>
  <c r="K42" i="1"/>
  <c r="E38" i="1"/>
  <c r="G38" i="1"/>
  <c r="E39" i="1"/>
  <c r="G39" i="1"/>
  <c r="E40" i="1"/>
  <c r="G40" i="1"/>
  <c r="E41" i="1"/>
  <c r="G41" i="1"/>
  <c r="E42" i="1"/>
  <c r="G42" i="1"/>
  <c r="D38" i="1"/>
  <c r="F38" i="1"/>
  <c r="D39" i="1"/>
  <c r="F39" i="1"/>
  <c r="D40" i="1"/>
  <c r="F40" i="1"/>
  <c r="D41" i="1"/>
  <c r="F41" i="1"/>
  <c r="D42" i="1"/>
  <c r="F42" i="1"/>
  <c r="O33" i="1"/>
  <c r="Q33" i="1"/>
  <c r="O34" i="1"/>
  <c r="Q34" i="1"/>
  <c r="O35" i="1"/>
  <c r="Q35" i="1"/>
  <c r="O36" i="1"/>
  <c r="Q36" i="1"/>
  <c r="O37" i="1"/>
  <c r="Q37" i="1"/>
  <c r="N33" i="1"/>
  <c r="P33" i="1"/>
  <c r="N34" i="1"/>
  <c r="P34" i="1"/>
  <c r="N35" i="1"/>
  <c r="P35" i="1"/>
  <c r="N36" i="1"/>
  <c r="P36" i="1"/>
  <c r="N37" i="1"/>
  <c r="P37" i="1"/>
  <c r="J33" i="1"/>
  <c r="L33" i="1"/>
  <c r="J34" i="1"/>
  <c r="L34" i="1"/>
  <c r="J35" i="1"/>
  <c r="L35" i="1"/>
  <c r="J36" i="1"/>
  <c r="L36" i="1"/>
  <c r="J37" i="1"/>
  <c r="L37" i="1"/>
  <c r="K33" i="1"/>
  <c r="K34" i="1"/>
  <c r="I35" i="1"/>
  <c r="K35" i="1"/>
  <c r="I36" i="1"/>
  <c r="K36" i="1"/>
  <c r="I37" i="1"/>
  <c r="K37" i="1"/>
  <c r="E37" i="1"/>
  <c r="E36" i="1"/>
  <c r="E35" i="1"/>
  <c r="E34" i="1"/>
  <c r="E33" i="1"/>
  <c r="G33" i="1"/>
  <c r="G34" i="1"/>
  <c r="G35" i="1"/>
  <c r="G36" i="1"/>
  <c r="G37" i="1"/>
  <c r="D33" i="1"/>
  <c r="F33" i="1"/>
  <c r="D34" i="1"/>
  <c r="F34" i="1"/>
  <c r="D35" i="1"/>
  <c r="F35" i="1"/>
  <c r="D36" i="1"/>
  <c r="F36" i="1"/>
  <c r="D37" i="1"/>
  <c r="F37" i="1"/>
  <c r="O28" i="1"/>
  <c r="Q28" i="1"/>
  <c r="O29" i="1"/>
  <c r="Q29" i="1"/>
  <c r="O30" i="1"/>
  <c r="Q30" i="1"/>
  <c r="O31" i="1"/>
  <c r="Q31" i="1"/>
  <c r="O32" i="1"/>
  <c r="Q32" i="1"/>
  <c r="N28" i="1"/>
  <c r="P28" i="1"/>
  <c r="N29" i="1"/>
  <c r="P29" i="1"/>
  <c r="N30" i="1"/>
  <c r="P30" i="1"/>
  <c r="N31" i="1"/>
  <c r="P31" i="1"/>
  <c r="N32" i="1"/>
  <c r="P32" i="1"/>
  <c r="J28" i="1"/>
  <c r="L28" i="1"/>
  <c r="J29" i="1"/>
  <c r="L29" i="1"/>
  <c r="J30" i="1"/>
  <c r="L30" i="1"/>
  <c r="J31" i="1"/>
  <c r="L31" i="1"/>
  <c r="J32" i="1"/>
  <c r="L32" i="1"/>
  <c r="I28" i="1"/>
  <c r="K28" i="1"/>
  <c r="I29" i="1"/>
  <c r="K29" i="1"/>
  <c r="I30" i="1"/>
  <c r="K30" i="1"/>
  <c r="I31" i="1"/>
  <c r="K31" i="1"/>
  <c r="I32" i="1"/>
  <c r="K32" i="1"/>
  <c r="E28" i="1"/>
  <c r="G28" i="1"/>
  <c r="G29" i="1"/>
  <c r="E30" i="1"/>
  <c r="G30" i="1"/>
  <c r="G31" i="1"/>
  <c r="G32" i="1"/>
  <c r="D28" i="1"/>
  <c r="F28" i="1"/>
  <c r="D29" i="1"/>
  <c r="F29" i="1"/>
  <c r="F30" i="1"/>
  <c r="D31" i="1"/>
  <c r="F31" i="1"/>
  <c r="F32" i="1"/>
  <c r="O27" i="1"/>
  <c r="O26" i="1"/>
  <c r="O25" i="1"/>
  <c r="O24" i="1"/>
  <c r="O23" i="1"/>
  <c r="Q23" i="1"/>
  <c r="Q24" i="1"/>
  <c r="Q25" i="1"/>
  <c r="Q26" i="1"/>
  <c r="Q27" i="1"/>
  <c r="N23" i="1"/>
  <c r="P23" i="1"/>
  <c r="N24" i="1"/>
  <c r="P24" i="1"/>
  <c r="N25" i="1"/>
  <c r="P25" i="1"/>
  <c r="N26" i="1"/>
  <c r="P26" i="1"/>
  <c r="N27" i="1"/>
  <c r="P27" i="1"/>
  <c r="J23" i="1"/>
  <c r="L23" i="1"/>
  <c r="J24" i="1"/>
  <c r="L24" i="1"/>
  <c r="J25" i="1"/>
  <c r="L25" i="1"/>
  <c r="J26" i="1"/>
  <c r="L26" i="1"/>
  <c r="J27" i="1"/>
  <c r="L27" i="1"/>
  <c r="I23" i="1"/>
  <c r="K23" i="1"/>
  <c r="I24" i="1"/>
  <c r="K24" i="1"/>
  <c r="I25" i="1"/>
  <c r="K25" i="1"/>
  <c r="I26" i="1"/>
  <c r="K26" i="1"/>
  <c r="I27" i="1"/>
  <c r="K27" i="1"/>
  <c r="E23" i="1"/>
  <c r="G23" i="1"/>
  <c r="E24" i="1"/>
  <c r="G24" i="1"/>
  <c r="E25" i="1"/>
  <c r="G25" i="1"/>
  <c r="E26" i="1"/>
  <c r="G26" i="1"/>
  <c r="E27" i="1"/>
  <c r="G27" i="1"/>
  <c r="D23" i="1"/>
  <c r="F23" i="1"/>
  <c r="D24" i="1"/>
  <c r="F24" i="1"/>
  <c r="D25" i="1"/>
  <c r="F25" i="1"/>
  <c r="D26" i="1"/>
  <c r="F26" i="1"/>
  <c r="D27" i="1"/>
  <c r="F27" i="1"/>
  <c r="O22" i="1"/>
  <c r="O20" i="1"/>
  <c r="O21" i="1"/>
  <c r="O19" i="1"/>
  <c r="O18" i="1"/>
  <c r="N22" i="1"/>
  <c r="N21" i="1"/>
  <c r="N20" i="1"/>
  <c r="N19" i="1"/>
  <c r="N18" i="1"/>
  <c r="J21" i="1"/>
  <c r="J19" i="1"/>
  <c r="J20" i="1"/>
  <c r="J22" i="1"/>
  <c r="J18" i="1"/>
  <c r="O17" i="1"/>
  <c r="O16" i="1"/>
  <c r="O14" i="1"/>
  <c r="O15" i="1"/>
  <c r="O13" i="1"/>
  <c r="Q13" i="1"/>
  <c r="Q14" i="1"/>
  <c r="Q15" i="1"/>
  <c r="Q16" i="1"/>
  <c r="Q17" i="1"/>
  <c r="N13" i="1"/>
  <c r="P13" i="1"/>
  <c r="N14" i="1"/>
  <c r="P14" i="1"/>
  <c r="N15" i="1"/>
  <c r="P15" i="1"/>
  <c r="N16" i="1"/>
  <c r="P16" i="1"/>
  <c r="N17" i="1"/>
  <c r="P17" i="1"/>
  <c r="J17" i="1"/>
  <c r="J16" i="1"/>
  <c r="J15" i="1"/>
  <c r="J14" i="1"/>
  <c r="J13" i="1"/>
  <c r="L13" i="1"/>
  <c r="L14" i="1"/>
  <c r="L15" i="1"/>
  <c r="L16" i="1"/>
  <c r="L17" i="1"/>
  <c r="I13" i="1"/>
  <c r="K13" i="1"/>
  <c r="I14" i="1"/>
  <c r="K14" i="1"/>
  <c r="I15" i="1"/>
  <c r="K15" i="1"/>
  <c r="I16" i="1"/>
  <c r="K16" i="1"/>
  <c r="I17" i="1"/>
  <c r="K17" i="1"/>
  <c r="E17" i="1"/>
  <c r="E16" i="1"/>
  <c r="E15" i="1"/>
  <c r="E14" i="1"/>
  <c r="E13" i="1"/>
  <c r="G13" i="1"/>
  <c r="G14" i="1"/>
  <c r="G15" i="1"/>
  <c r="G16" i="1"/>
  <c r="G17" i="1"/>
  <c r="D13" i="1"/>
  <c r="F13" i="1"/>
  <c r="D14" i="1"/>
  <c r="F14" i="1"/>
  <c r="D15" i="1"/>
  <c r="F15" i="1"/>
  <c r="D16" i="1"/>
  <c r="F16" i="1"/>
  <c r="D17" i="1"/>
  <c r="F17" i="1"/>
  <c r="I19" i="1"/>
  <c r="I20" i="1"/>
  <c r="I21" i="1"/>
  <c r="I22" i="1"/>
  <c r="I18" i="1"/>
  <c r="E22" i="1"/>
  <c r="E21" i="1"/>
  <c r="E20" i="1"/>
  <c r="E19" i="1"/>
  <c r="Q18" i="1"/>
  <c r="Q19" i="1"/>
  <c r="Q20" i="1"/>
  <c r="Q21" i="1"/>
  <c r="Q22" i="1"/>
  <c r="P18" i="1"/>
  <c r="P19" i="1"/>
  <c r="P20" i="1"/>
  <c r="P21" i="1"/>
  <c r="P22" i="1"/>
  <c r="L18" i="1"/>
  <c r="L19" i="1"/>
  <c r="L20" i="1"/>
  <c r="L21" i="1"/>
  <c r="L22" i="1"/>
  <c r="K18" i="1"/>
  <c r="K19" i="1"/>
  <c r="K20" i="1"/>
  <c r="K21" i="1"/>
  <c r="K22" i="1"/>
  <c r="E18" i="1"/>
  <c r="G18" i="1"/>
  <c r="G19" i="1"/>
  <c r="G20" i="1"/>
  <c r="G21" i="1"/>
  <c r="G22" i="1"/>
  <c r="D18" i="1"/>
  <c r="F18" i="1"/>
  <c r="D19" i="1"/>
  <c r="F19" i="1"/>
  <c r="D20" i="1"/>
  <c r="F20" i="1"/>
  <c r="D21" i="1"/>
  <c r="F21" i="1"/>
  <c r="D22" i="1"/>
  <c r="F22" i="1"/>
  <c r="O9" i="1"/>
  <c r="Q9" i="1"/>
  <c r="O10" i="1"/>
  <c r="Q10" i="1"/>
  <c r="O11" i="1"/>
  <c r="Q11" i="1"/>
  <c r="O12" i="1"/>
  <c r="Q12" i="1"/>
  <c r="O8" i="1"/>
  <c r="Q8" i="1"/>
  <c r="N9" i="1"/>
  <c r="P9" i="1"/>
  <c r="N10" i="1"/>
  <c r="P10" i="1"/>
  <c r="N11" i="1"/>
  <c r="P11" i="1"/>
  <c r="N12" i="1"/>
  <c r="P12" i="1"/>
  <c r="N8" i="1"/>
  <c r="P8" i="1"/>
  <c r="J9" i="1"/>
  <c r="L9" i="1"/>
  <c r="J10" i="1"/>
  <c r="L10" i="1"/>
  <c r="J11" i="1"/>
  <c r="L11" i="1"/>
  <c r="J12" i="1"/>
  <c r="L12" i="1"/>
  <c r="J8" i="1"/>
  <c r="L8" i="1"/>
  <c r="I9" i="1"/>
  <c r="K9" i="1"/>
  <c r="I10" i="1"/>
  <c r="K10" i="1"/>
  <c r="I11" i="1"/>
  <c r="K11" i="1"/>
  <c r="I12" i="1"/>
  <c r="K12" i="1"/>
  <c r="I8" i="1"/>
  <c r="K8" i="1"/>
  <c r="E9" i="1"/>
  <c r="G9" i="1"/>
  <c r="E10" i="1"/>
  <c r="G10" i="1"/>
  <c r="E11" i="1"/>
  <c r="G11" i="1"/>
  <c r="E12" i="1"/>
  <c r="G12" i="1"/>
  <c r="E8" i="1"/>
  <c r="G8" i="1"/>
  <c r="D9" i="1"/>
  <c r="F9" i="1"/>
  <c r="D10" i="1"/>
  <c r="F10" i="1"/>
  <c r="D11" i="1"/>
  <c r="F11" i="1"/>
  <c r="D12" i="1"/>
  <c r="F12" i="1"/>
  <c r="D8" i="1"/>
  <c r="F8" i="1"/>
  <c r="O4" i="1"/>
  <c r="Q4" i="1"/>
  <c r="O5" i="1"/>
  <c r="Q5" i="1"/>
  <c r="O6" i="1"/>
  <c r="Q6" i="1"/>
  <c r="O7" i="1"/>
  <c r="Q7" i="1"/>
  <c r="O3" i="1"/>
  <c r="Q3" i="1"/>
  <c r="N4" i="1"/>
  <c r="P4" i="1"/>
  <c r="N5" i="1"/>
  <c r="P5" i="1"/>
  <c r="N6" i="1"/>
  <c r="P6" i="1"/>
  <c r="N7" i="1"/>
  <c r="P7" i="1"/>
  <c r="N3" i="1"/>
  <c r="P3" i="1"/>
  <c r="J7" i="1"/>
  <c r="L7" i="1"/>
  <c r="J6" i="1"/>
  <c r="L6" i="1"/>
  <c r="J5" i="1"/>
  <c r="L5" i="1"/>
  <c r="J4" i="1"/>
  <c r="L4" i="1"/>
  <c r="J3" i="1"/>
  <c r="L3" i="1"/>
  <c r="E7" i="1"/>
  <c r="G7" i="1"/>
  <c r="E6" i="1"/>
  <c r="G6" i="1"/>
  <c r="E5" i="1"/>
  <c r="G5" i="1"/>
  <c r="E4" i="1"/>
  <c r="G4" i="1"/>
  <c r="E3" i="1"/>
  <c r="G3" i="1"/>
  <c r="I7" i="1"/>
  <c r="K7" i="1"/>
  <c r="I6" i="1"/>
  <c r="K6" i="1"/>
  <c r="I5" i="1"/>
  <c r="K5" i="1"/>
  <c r="I4" i="1"/>
  <c r="K4" i="1"/>
  <c r="I3" i="1"/>
  <c r="K3" i="1"/>
  <c r="D3" i="1"/>
  <c r="F3" i="1"/>
  <c r="D4" i="1"/>
  <c r="F4" i="1"/>
  <c r="D5" i="1"/>
  <c r="F5" i="1"/>
  <c r="D6" i="1"/>
  <c r="F6" i="1"/>
  <c r="D7" i="1"/>
  <c r="F7" i="1"/>
</calcChain>
</file>

<file path=xl/sharedStrings.xml><?xml version="1.0" encoding="utf-8"?>
<sst xmlns="http://schemas.openxmlformats.org/spreadsheetml/2006/main" count="41" uniqueCount="12">
  <si>
    <t>Additional Electrode Size area (cm2)</t>
  </si>
  <si>
    <t>No Prox/Touch</t>
  </si>
  <si>
    <t>Proximity</t>
  </si>
  <si>
    <t>Touch</t>
  </si>
  <si>
    <t>Vmax (V)</t>
  </si>
  <si>
    <t>Max. Proximty Detection Distance (cm2)</t>
  </si>
  <si>
    <t>Rise Time (s)</t>
  </si>
  <si>
    <t>Fall Time (s)</t>
  </si>
  <si>
    <t>RiseCapacitance (F)</t>
  </si>
  <si>
    <t>Fall Capacitance (F)</t>
  </si>
  <si>
    <t>Average</t>
  </si>
  <si>
    <t>Avg. Max. Proximty Detection Distance (cm2)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</si>
</sst>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2" xfId="0" applyBorder="1" applyAlignment="1">
      <alignment horizontal="center"/>
    </xf>
    <xf numFmtId="0" fontId="0" fillId="0" borderId="1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1" xfId="0" applyFill="1" applyBorder="1"/>
    <xf numFmtId="0" fontId="0" fillId="0" borderId="7" xfId="0" applyFill="1" applyBorder="1"/>
    <xf numFmtId="0" fontId="0" fillId="0" borderId="8" xfId="0" applyBorder="1"/>
    <xf numFmtId="0" fontId="0" fillId="0" borderId="2" xfId="0" applyBorder="1"/>
    <xf numFmtId="0" fontId="0" fillId="0" borderId="4" xfId="0" applyBorder="1"/>
    <xf numFmtId="0" fontId="0" fillId="0" borderId="0" xfId="0" applyBorder="1"/>
    <xf numFmtId="0" fontId="0" fillId="0" borderId="9" xfId="0" applyBorder="1"/>
    <xf numFmtId="0" fontId="0" fillId="0" borderId="0" xfId="0" applyFill="1" applyBorder="1"/>
    <xf numFmtId="0" fontId="0" fillId="0" borderId="9" xfId="0" applyFill="1" applyBorder="1"/>
    <xf numFmtId="0" fontId="0" fillId="0" borderId="5" xfId="0" applyFill="1" applyBorder="1"/>
    <xf numFmtId="0" fontId="0" fillId="0" borderId="2" xfId="0" applyFill="1" applyBorder="1"/>
    <xf numFmtId="0" fontId="0" fillId="0" borderId="4" xfId="0" applyFill="1" applyBorder="1"/>
    <xf numFmtId="0" fontId="0" fillId="0" borderId="1" xfId="0" applyBorder="1"/>
    <xf numFmtId="0" fontId="3" fillId="0" borderId="0" xfId="0" applyFont="1" applyBorder="1"/>
    <xf numFmtId="0" fontId="3" fillId="0" borderId="5" xfId="0" applyFont="1" applyBorder="1"/>
    <xf numFmtId="0" fontId="0" fillId="0" borderId="3" xfId="0" applyBorder="1"/>
    <xf numFmtId="0" fontId="0" fillId="0" borderId="1" xfId="0" applyBorder="1"/>
    <xf numFmtId="0" fontId="0" fillId="0" borderId="10" xfId="0" applyBorder="1"/>
    <xf numFmtId="0" fontId="0" fillId="0" borderId="11" xfId="0" applyBorder="1"/>
    <xf numFmtId="0" fontId="0" fillId="0" borderId="11" xfId="0" applyFill="1" applyBorder="1"/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/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/>
              <a:t>Maximum Proximity Detection distance (cm) </a:t>
            </a:r>
            <a:r>
              <a:rPr lang="en-GB" sz="1800" b="1" i="0" baseline="0">
                <a:effectLst/>
              </a:rPr>
              <a:t>of Copper Polyimide Capacitive Electrode Plate with changing surface area for Vss = 4.5V and Iss = 30mA </a:t>
            </a:r>
            <a:endParaRPr lang="en-GB" sz="1800" b="1">
              <a:effectLst/>
            </a:endParaRPr>
          </a:p>
          <a:p>
            <a:pPr>
              <a:defRPr/>
            </a:pPr>
            <a:endParaRPr lang="en-US"/>
          </a:p>
        </c:rich>
      </c:tx>
      <c:layout/>
      <c:overlay val="0"/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line3DChart>
        <c:grouping val="standard"/>
        <c:varyColors val="0"/>
        <c:ser>
          <c:idx val="0"/>
          <c:order val="0"/>
          <c:tx>
            <c:v>Maximum Proximity Detection distance (cm)</c:v>
          </c:tx>
          <c:cat>
            <c:numRef>
              <c:f>'Cu-Polyimide Sensor Plate'!$A$3:$A$87</c:f>
              <c:numCache>
                <c:formatCode>General</c:formatCode>
                <c:ptCount val="85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8</c:v>
                </c:pt>
                <c:pt idx="45">
                  <c:v>9</c:v>
                </c:pt>
                <c:pt idx="46">
                  <c:v>9</c:v>
                </c:pt>
                <c:pt idx="47">
                  <c:v>9</c:v>
                </c:pt>
                <c:pt idx="48">
                  <c:v>9</c:v>
                </c:pt>
                <c:pt idx="49">
                  <c:v>9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11</c:v>
                </c:pt>
                <c:pt idx="56">
                  <c:v>11</c:v>
                </c:pt>
                <c:pt idx="57">
                  <c:v>11</c:v>
                </c:pt>
                <c:pt idx="58">
                  <c:v>11</c:v>
                </c:pt>
                <c:pt idx="59">
                  <c:v>11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13</c:v>
                </c:pt>
                <c:pt idx="66">
                  <c:v>13</c:v>
                </c:pt>
                <c:pt idx="67">
                  <c:v>13</c:v>
                </c:pt>
                <c:pt idx="68">
                  <c:v>13</c:v>
                </c:pt>
                <c:pt idx="69">
                  <c:v>13</c:v>
                </c:pt>
                <c:pt idx="70">
                  <c:v>14</c:v>
                </c:pt>
                <c:pt idx="71">
                  <c:v>14</c:v>
                </c:pt>
                <c:pt idx="72">
                  <c:v>14</c:v>
                </c:pt>
                <c:pt idx="73">
                  <c:v>14</c:v>
                </c:pt>
                <c:pt idx="74">
                  <c:v>14</c:v>
                </c:pt>
                <c:pt idx="75">
                  <c:v>15</c:v>
                </c:pt>
                <c:pt idx="76">
                  <c:v>15</c:v>
                </c:pt>
                <c:pt idx="77">
                  <c:v>15</c:v>
                </c:pt>
                <c:pt idx="78">
                  <c:v>15</c:v>
                </c:pt>
                <c:pt idx="79">
                  <c:v>15</c:v>
                </c:pt>
                <c:pt idx="80">
                  <c:v>16</c:v>
                </c:pt>
                <c:pt idx="81">
                  <c:v>16</c:v>
                </c:pt>
                <c:pt idx="82">
                  <c:v>16</c:v>
                </c:pt>
                <c:pt idx="83">
                  <c:v>16</c:v>
                </c:pt>
                <c:pt idx="84">
                  <c:v>16</c:v>
                </c:pt>
              </c:numCache>
            </c:numRef>
          </c:cat>
          <c:val>
            <c:numRef>
              <c:f>'Cu-Polyimide Sensor Plate'!$B$3:$B$87</c:f>
              <c:numCache>
                <c:formatCode>General</c:formatCode>
                <c:ptCount val="8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0.5</c:v>
                </c:pt>
                <c:pt idx="6">
                  <c:v>2.5</c:v>
                </c:pt>
                <c:pt idx="7">
                  <c:v>1</c:v>
                </c:pt>
                <c:pt idx="8">
                  <c:v>2</c:v>
                </c:pt>
                <c:pt idx="9">
                  <c:v>1.5</c:v>
                </c:pt>
                <c:pt idx="10">
                  <c:v>1.5</c:v>
                </c:pt>
                <c:pt idx="11">
                  <c:v>2</c:v>
                </c:pt>
                <c:pt idx="12">
                  <c:v>1.5</c:v>
                </c:pt>
                <c:pt idx="13">
                  <c:v>2.1</c:v>
                </c:pt>
                <c:pt idx="14">
                  <c:v>1.6</c:v>
                </c:pt>
                <c:pt idx="15">
                  <c:v>1</c:v>
                </c:pt>
                <c:pt idx="16">
                  <c:v>1.5</c:v>
                </c:pt>
                <c:pt idx="17">
                  <c:v>1.8</c:v>
                </c:pt>
                <c:pt idx="18">
                  <c:v>1.7</c:v>
                </c:pt>
                <c:pt idx="19">
                  <c:v>2.2000000000000002</c:v>
                </c:pt>
                <c:pt idx="20">
                  <c:v>3</c:v>
                </c:pt>
                <c:pt idx="21">
                  <c:v>2.6</c:v>
                </c:pt>
                <c:pt idx="22">
                  <c:v>2.5</c:v>
                </c:pt>
                <c:pt idx="23">
                  <c:v>2.8</c:v>
                </c:pt>
                <c:pt idx="24">
                  <c:v>3.2</c:v>
                </c:pt>
                <c:pt idx="25">
                  <c:v>3.5</c:v>
                </c:pt>
                <c:pt idx="26">
                  <c:v>4.5</c:v>
                </c:pt>
                <c:pt idx="27">
                  <c:v>4.5999999999999996</c:v>
                </c:pt>
                <c:pt idx="28">
                  <c:v>4.8</c:v>
                </c:pt>
                <c:pt idx="29">
                  <c:v>4.7</c:v>
                </c:pt>
                <c:pt idx="30">
                  <c:v>4</c:v>
                </c:pt>
                <c:pt idx="31">
                  <c:v>4.5</c:v>
                </c:pt>
                <c:pt idx="32">
                  <c:v>5.4</c:v>
                </c:pt>
                <c:pt idx="33">
                  <c:v>5.4</c:v>
                </c:pt>
                <c:pt idx="34">
                  <c:v>6</c:v>
                </c:pt>
                <c:pt idx="35">
                  <c:v>5</c:v>
                </c:pt>
                <c:pt idx="36">
                  <c:v>5.3</c:v>
                </c:pt>
                <c:pt idx="37">
                  <c:v>5.7</c:v>
                </c:pt>
                <c:pt idx="38">
                  <c:v>6.2</c:v>
                </c:pt>
                <c:pt idx="39">
                  <c:v>6</c:v>
                </c:pt>
                <c:pt idx="40">
                  <c:v>4.4000000000000004</c:v>
                </c:pt>
                <c:pt idx="41">
                  <c:v>6.7</c:v>
                </c:pt>
                <c:pt idx="42">
                  <c:v>7</c:v>
                </c:pt>
                <c:pt idx="43">
                  <c:v>7.5</c:v>
                </c:pt>
                <c:pt idx="44">
                  <c:v>7.5</c:v>
                </c:pt>
                <c:pt idx="45">
                  <c:v>9.5</c:v>
                </c:pt>
                <c:pt idx="46">
                  <c:v>10</c:v>
                </c:pt>
                <c:pt idx="47">
                  <c:v>10.199999999999999</c:v>
                </c:pt>
                <c:pt idx="48">
                  <c:v>10.5</c:v>
                </c:pt>
                <c:pt idx="49">
                  <c:v>6</c:v>
                </c:pt>
                <c:pt idx="50">
                  <c:v>7.5</c:v>
                </c:pt>
                <c:pt idx="51">
                  <c:v>10</c:v>
                </c:pt>
                <c:pt idx="52">
                  <c:v>11</c:v>
                </c:pt>
                <c:pt idx="53">
                  <c:v>12</c:v>
                </c:pt>
                <c:pt idx="54">
                  <c:v>13</c:v>
                </c:pt>
                <c:pt idx="55">
                  <c:v>10.5</c:v>
                </c:pt>
                <c:pt idx="56">
                  <c:v>12</c:v>
                </c:pt>
                <c:pt idx="57">
                  <c:v>12.5</c:v>
                </c:pt>
                <c:pt idx="58">
                  <c:v>13</c:v>
                </c:pt>
                <c:pt idx="59">
                  <c:v>14</c:v>
                </c:pt>
                <c:pt idx="60">
                  <c:v>14</c:v>
                </c:pt>
                <c:pt idx="61">
                  <c:v>1</c:v>
                </c:pt>
                <c:pt idx="62">
                  <c:v>20</c:v>
                </c:pt>
                <c:pt idx="63">
                  <c:v>5</c:v>
                </c:pt>
                <c:pt idx="64">
                  <c:v>17</c:v>
                </c:pt>
                <c:pt idx="65">
                  <c:v>5</c:v>
                </c:pt>
                <c:pt idx="66">
                  <c:v>10</c:v>
                </c:pt>
                <c:pt idx="67">
                  <c:v>11</c:v>
                </c:pt>
                <c:pt idx="68">
                  <c:v>9</c:v>
                </c:pt>
                <c:pt idx="69">
                  <c:v>15</c:v>
                </c:pt>
                <c:pt idx="70">
                  <c:v>6</c:v>
                </c:pt>
                <c:pt idx="71">
                  <c:v>17</c:v>
                </c:pt>
                <c:pt idx="72">
                  <c:v>18</c:v>
                </c:pt>
                <c:pt idx="73">
                  <c:v>17</c:v>
                </c:pt>
                <c:pt idx="74">
                  <c:v>17</c:v>
                </c:pt>
                <c:pt idx="75">
                  <c:v>1</c:v>
                </c:pt>
                <c:pt idx="76">
                  <c:v>2</c:v>
                </c:pt>
                <c:pt idx="77">
                  <c:v>4</c:v>
                </c:pt>
                <c:pt idx="78">
                  <c:v>4.5</c:v>
                </c:pt>
                <c:pt idx="79">
                  <c:v>6</c:v>
                </c:pt>
                <c:pt idx="80">
                  <c:v>4</c:v>
                </c:pt>
                <c:pt idx="81">
                  <c:v>4.5</c:v>
                </c:pt>
                <c:pt idx="82">
                  <c:v>7</c:v>
                </c:pt>
                <c:pt idx="83">
                  <c:v>8.5</c:v>
                </c:pt>
                <c:pt idx="84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0622904"/>
        <c:axId val="550631920"/>
        <c:axId val="549789592"/>
      </c:line3DChart>
      <c:catAx>
        <c:axId val="550622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Electrode size area (cm^2)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550631920"/>
        <c:crosses val="autoZero"/>
        <c:auto val="1"/>
        <c:lblAlgn val="ctr"/>
        <c:lblOffset val="100"/>
        <c:noMultiLvlLbl val="0"/>
      </c:catAx>
      <c:valAx>
        <c:axId val="550631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Proximity Detction</a:t>
                </a:r>
                <a:r>
                  <a:rPr lang="en-GB" baseline="0"/>
                  <a:t> Distnce (cm)</a:t>
                </a:r>
                <a:endParaRPr lang="en-GB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50622904"/>
        <c:crosses val="autoZero"/>
        <c:crossBetween val="between"/>
      </c:valAx>
      <c:serAx>
        <c:axId val="549789592"/>
        <c:scaling>
          <c:orientation val="minMax"/>
        </c:scaling>
        <c:delete val="1"/>
        <c:axPos val="b"/>
        <c:majorTickMark val="out"/>
        <c:minorTickMark val="none"/>
        <c:tickLblPos val="nextTo"/>
        <c:crossAx val="550631920"/>
        <c:crosses val="autoZero"/>
      </c:ser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Max Voltage</a:t>
            </a:r>
            <a:r>
              <a:rPr lang="en-GB" baseline="0"/>
              <a:t> on Electrode Plate Surface Area (V) </a:t>
            </a:r>
            <a:r>
              <a:rPr lang="en-GB" sz="1800" b="1" i="0" baseline="0">
                <a:effectLst/>
              </a:rPr>
              <a:t>of Copper Polyimide Capacitive Electrode Plate with changing surface area for Vss = 4.5V and Iss = 30mA </a:t>
            </a:r>
            <a:endParaRPr lang="en-GB">
              <a:effectLst/>
            </a:endParaRPr>
          </a:p>
          <a:p>
            <a:pPr>
              <a:defRPr/>
            </a:pPr>
            <a:endParaRPr lang="en-GB"/>
          </a:p>
        </c:rich>
      </c:tx>
      <c:layout/>
      <c:overlay val="0"/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line3DChart>
        <c:grouping val="standard"/>
        <c:varyColors val="0"/>
        <c:ser>
          <c:idx val="0"/>
          <c:order val="0"/>
          <c:tx>
            <c:v>No trigger object</c:v>
          </c:tx>
          <c:cat>
            <c:numRef>
              <c:f>'Cu-Polyimide Sensor Plate'!$A$3:$A$87</c:f>
              <c:numCache>
                <c:formatCode>General</c:formatCode>
                <c:ptCount val="85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8</c:v>
                </c:pt>
                <c:pt idx="45">
                  <c:v>9</c:v>
                </c:pt>
                <c:pt idx="46">
                  <c:v>9</c:v>
                </c:pt>
                <c:pt idx="47">
                  <c:v>9</c:v>
                </c:pt>
                <c:pt idx="48">
                  <c:v>9</c:v>
                </c:pt>
                <c:pt idx="49">
                  <c:v>9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11</c:v>
                </c:pt>
                <c:pt idx="56">
                  <c:v>11</c:v>
                </c:pt>
                <c:pt idx="57">
                  <c:v>11</c:v>
                </c:pt>
                <c:pt idx="58">
                  <c:v>11</c:v>
                </c:pt>
                <c:pt idx="59">
                  <c:v>11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13</c:v>
                </c:pt>
                <c:pt idx="66">
                  <c:v>13</c:v>
                </c:pt>
                <c:pt idx="67">
                  <c:v>13</c:v>
                </c:pt>
                <c:pt idx="68">
                  <c:v>13</c:v>
                </c:pt>
                <c:pt idx="69">
                  <c:v>13</c:v>
                </c:pt>
                <c:pt idx="70">
                  <c:v>14</c:v>
                </c:pt>
                <c:pt idx="71">
                  <c:v>14</c:v>
                </c:pt>
                <c:pt idx="72">
                  <c:v>14</c:v>
                </c:pt>
                <c:pt idx="73">
                  <c:v>14</c:v>
                </c:pt>
                <c:pt idx="74">
                  <c:v>14</c:v>
                </c:pt>
                <c:pt idx="75">
                  <c:v>15</c:v>
                </c:pt>
                <c:pt idx="76">
                  <c:v>15</c:v>
                </c:pt>
                <c:pt idx="77">
                  <c:v>15</c:v>
                </c:pt>
                <c:pt idx="78">
                  <c:v>15</c:v>
                </c:pt>
                <c:pt idx="79">
                  <c:v>15</c:v>
                </c:pt>
                <c:pt idx="80">
                  <c:v>16</c:v>
                </c:pt>
                <c:pt idx="81">
                  <c:v>16</c:v>
                </c:pt>
                <c:pt idx="82">
                  <c:v>16</c:v>
                </c:pt>
                <c:pt idx="83">
                  <c:v>16</c:v>
                </c:pt>
                <c:pt idx="84">
                  <c:v>16</c:v>
                </c:pt>
              </c:numCache>
            </c:numRef>
          </c:cat>
          <c:val>
            <c:numRef>
              <c:f>'Cu-Polyimide Sensor Plate'!$C$3:$C$87</c:f>
              <c:numCache>
                <c:formatCode>General</c:formatCode>
                <c:ptCount val="85"/>
                <c:pt idx="0">
                  <c:v>4.12</c:v>
                </c:pt>
                <c:pt idx="1">
                  <c:v>4.12</c:v>
                </c:pt>
                <c:pt idx="2">
                  <c:v>4.12</c:v>
                </c:pt>
                <c:pt idx="3">
                  <c:v>4.12</c:v>
                </c:pt>
                <c:pt idx="4">
                  <c:v>4.12</c:v>
                </c:pt>
                <c:pt idx="5">
                  <c:v>4.12</c:v>
                </c:pt>
                <c:pt idx="6">
                  <c:v>4.12</c:v>
                </c:pt>
                <c:pt idx="7">
                  <c:v>4.12</c:v>
                </c:pt>
                <c:pt idx="8">
                  <c:v>4.12</c:v>
                </c:pt>
                <c:pt idx="9">
                  <c:v>4.12</c:v>
                </c:pt>
                <c:pt idx="10">
                  <c:v>4.24</c:v>
                </c:pt>
                <c:pt idx="11">
                  <c:v>4.24</c:v>
                </c:pt>
                <c:pt idx="12">
                  <c:v>4.24</c:v>
                </c:pt>
                <c:pt idx="13">
                  <c:v>4.2</c:v>
                </c:pt>
                <c:pt idx="14">
                  <c:v>4.2</c:v>
                </c:pt>
                <c:pt idx="15">
                  <c:v>4.12</c:v>
                </c:pt>
                <c:pt idx="16">
                  <c:v>4.12</c:v>
                </c:pt>
                <c:pt idx="17">
                  <c:v>4.16</c:v>
                </c:pt>
                <c:pt idx="18">
                  <c:v>4.12</c:v>
                </c:pt>
                <c:pt idx="19">
                  <c:v>4.12</c:v>
                </c:pt>
                <c:pt idx="20">
                  <c:v>4.16</c:v>
                </c:pt>
                <c:pt idx="21">
                  <c:v>4.16</c:v>
                </c:pt>
                <c:pt idx="22">
                  <c:v>4.12</c:v>
                </c:pt>
                <c:pt idx="23">
                  <c:v>4.16</c:v>
                </c:pt>
                <c:pt idx="24">
                  <c:v>4.16</c:v>
                </c:pt>
                <c:pt idx="25">
                  <c:v>4.16</c:v>
                </c:pt>
                <c:pt idx="26">
                  <c:v>4.16</c:v>
                </c:pt>
                <c:pt idx="27">
                  <c:v>4.16</c:v>
                </c:pt>
                <c:pt idx="28">
                  <c:v>4.16</c:v>
                </c:pt>
                <c:pt idx="29">
                  <c:v>4.16</c:v>
                </c:pt>
                <c:pt idx="30">
                  <c:v>4.12</c:v>
                </c:pt>
                <c:pt idx="31">
                  <c:v>4.12</c:v>
                </c:pt>
                <c:pt idx="32">
                  <c:v>4.12</c:v>
                </c:pt>
                <c:pt idx="33">
                  <c:v>4.12</c:v>
                </c:pt>
                <c:pt idx="34">
                  <c:v>4.12</c:v>
                </c:pt>
                <c:pt idx="35">
                  <c:v>4.12</c:v>
                </c:pt>
                <c:pt idx="36">
                  <c:v>4.08</c:v>
                </c:pt>
                <c:pt idx="37">
                  <c:v>4.12</c:v>
                </c:pt>
                <c:pt idx="38">
                  <c:v>4.12</c:v>
                </c:pt>
                <c:pt idx="39">
                  <c:v>4.08</c:v>
                </c:pt>
                <c:pt idx="40">
                  <c:v>4.12</c:v>
                </c:pt>
                <c:pt idx="41">
                  <c:v>4.12</c:v>
                </c:pt>
                <c:pt idx="42">
                  <c:v>4.16</c:v>
                </c:pt>
                <c:pt idx="43">
                  <c:v>4.12</c:v>
                </c:pt>
                <c:pt idx="44">
                  <c:v>4.16</c:v>
                </c:pt>
                <c:pt idx="45">
                  <c:v>4.12</c:v>
                </c:pt>
                <c:pt idx="46">
                  <c:v>4.12</c:v>
                </c:pt>
                <c:pt idx="47">
                  <c:v>4.12</c:v>
                </c:pt>
                <c:pt idx="48">
                  <c:v>4.12</c:v>
                </c:pt>
                <c:pt idx="49">
                  <c:v>4.16</c:v>
                </c:pt>
                <c:pt idx="50">
                  <c:v>4.12</c:v>
                </c:pt>
                <c:pt idx="51">
                  <c:v>4.12</c:v>
                </c:pt>
                <c:pt idx="52">
                  <c:v>4.16</c:v>
                </c:pt>
                <c:pt idx="53">
                  <c:v>4.12</c:v>
                </c:pt>
                <c:pt idx="54">
                  <c:v>4.12</c:v>
                </c:pt>
                <c:pt idx="55">
                  <c:v>4.12</c:v>
                </c:pt>
                <c:pt idx="56">
                  <c:v>4.08</c:v>
                </c:pt>
                <c:pt idx="57">
                  <c:v>4.12</c:v>
                </c:pt>
                <c:pt idx="58">
                  <c:v>4.08</c:v>
                </c:pt>
                <c:pt idx="59">
                  <c:v>4.12</c:v>
                </c:pt>
                <c:pt idx="60">
                  <c:v>4</c:v>
                </c:pt>
                <c:pt idx="61">
                  <c:v>4</c:v>
                </c:pt>
                <c:pt idx="62">
                  <c:v>3.96</c:v>
                </c:pt>
                <c:pt idx="63">
                  <c:v>4</c:v>
                </c:pt>
                <c:pt idx="64">
                  <c:v>3.96</c:v>
                </c:pt>
                <c:pt idx="65">
                  <c:v>4.08</c:v>
                </c:pt>
                <c:pt idx="66">
                  <c:v>4.08</c:v>
                </c:pt>
                <c:pt idx="67">
                  <c:v>4.12</c:v>
                </c:pt>
                <c:pt idx="68">
                  <c:v>4.08</c:v>
                </c:pt>
                <c:pt idx="69">
                  <c:v>4.12</c:v>
                </c:pt>
                <c:pt idx="70">
                  <c:v>3.72</c:v>
                </c:pt>
                <c:pt idx="71">
                  <c:v>3.76</c:v>
                </c:pt>
                <c:pt idx="72">
                  <c:v>3.72</c:v>
                </c:pt>
                <c:pt idx="73">
                  <c:v>3.76</c:v>
                </c:pt>
                <c:pt idx="74">
                  <c:v>3.76</c:v>
                </c:pt>
                <c:pt idx="75">
                  <c:v>3.6</c:v>
                </c:pt>
                <c:pt idx="76">
                  <c:v>3.68</c:v>
                </c:pt>
                <c:pt idx="77">
                  <c:v>3.64</c:v>
                </c:pt>
                <c:pt idx="78">
                  <c:v>3.64</c:v>
                </c:pt>
                <c:pt idx="79">
                  <c:v>3.64</c:v>
                </c:pt>
                <c:pt idx="80">
                  <c:v>3.96</c:v>
                </c:pt>
                <c:pt idx="81">
                  <c:v>3.92</c:v>
                </c:pt>
                <c:pt idx="82">
                  <c:v>3.96</c:v>
                </c:pt>
                <c:pt idx="83">
                  <c:v>3.92</c:v>
                </c:pt>
                <c:pt idx="84">
                  <c:v>3.96</c:v>
                </c:pt>
              </c:numCache>
            </c:numRef>
          </c:val>
          <c:smooth val="0"/>
        </c:ser>
        <c:ser>
          <c:idx val="1"/>
          <c:order val="1"/>
          <c:tx>
            <c:v>Due to Proximity Detection</c:v>
          </c:tx>
          <c:spPr>
            <a:ln w="25400">
              <a:noFill/>
            </a:ln>
          </c:spPr>
          <c:cat>
            <c:numRef>
              <c:f>'Cu-Polyimide Sensor Plate'!$A$3:$A$87</c:f>
              <c:numCache>
                <c:formatCode>General</c:formatCode>
                <c:ptCount val="85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8</c:v>
                </c:pt>
                <c:pt idx="45">
                  <c:v>9</c:v>
                </c:pt>
                <c:pt idx="46">
                  <c:v>9</c:v>
                </c:pt>
                <c:pt idx="47">
                  <c:v>9</c:v>
                </c:pt>
                <c:pt idx="48">
                  <c:v>9</c:v>
                </c:pt>
                <c:pt idx="49">
                  <c:v>9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11</c:v>
                </c:pt>
                <c:pt idx="56">
                  <c:v>11</c:v>
                </c:pt>
                <c:pt idx="57">
                  <c:v>11</c:v>
                </c:pt>
                <c:pt idx="58">
                  <c:v>11</c:v>
                </c:pt>
                <c:pt idx="59">
                  <c:v>11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13</c:v>
                </c:pt>
                <c:pt idx="66">
                  <c:v>13</c:v>
                </c:pt>
                <c:pt idx="67">
                  <c:v>13</c:v>
                </c:pt>
                <c:pt idx="68">
                  <c:v>13</c:v>
                </c:pt>
                <c:pt idx="69">
                  <c:v>13</c:v>
                </c:pt>
                <c:pt idx="70">
                  <c:v>14</c:v>
                </c:pt>
                <c:pt idx="71">
                  <c:v>14</c:v>
                </c:pt>
                <c:pt idx="72">
                  <c:v>14</c:v>
                </c:pt>
                <c:pt idx="73">
                  <c:v>14</c:v>
                </c:pt>
                <c:pt idx="74">
                  <c:v>14</c:v>
                </c:pt>
                <c:pt idx="75">
                  <c:v>15</c:v>
                </c:pt>
                <c:pt idx="76">
                  <c:v>15</c:v>
                </c:pt>
                <c:pt idx="77">
                  <c:v>15</c:v>
                </c:pt>
                <c:pt idx="78">
                  <c:v>15</c:v>
                </c:pt>
                <c:pt idx="79">
                  <c:v>15</c:v>
                </c:pt>
                <c:pt idx="80">
                  <c:v>16</c:v>
                </c:pt>
                <c:pt idx="81">
                  <c:v>16</c:v>
                </c:pt>
                <c:pt idx="82">
                  <c:v>16</c:v>
                </c:pt>
                <c:pt idx="83">
                  <c:v>16</c:v>
                </c:pt>
                <c:pt idx="84">
                  <c:v>16</c:v>
                </c:pt>
              </c:numCache>
            </c:numRef>
          </c:cat>
          <c:val>
            <c:numRef>
              <c:f>'Cu-Polyimide Sensor Plate'!$H$3:$H$87</c:f>
              <c:numCache>
                <c:formatCode>General</c:formatCode>
                <c:ptCount val="85"/>
                <c:pt idx="0">
                  <c:v>4.16</c:v>
                </c:pt>
                <c:pt idx="1">
                  <c:v>4.16</c:v>
                </c:pt>
                <c:pt idx="2">
                  <c:v>4.16</c:v>
                </c:pt>
                <c:pt idx="3">
                  <c:v>4.16</c:v>
                </c:pt>
                <c:pt idx="4">
                  <c:v>4.16</c:v>
                </c:pt>
                <c:pt idx="5">
                  <c:v>4.16</c:v>
                </c:pt>
                <c:pt idx="6">
                  <c:v>4.16</c:v>
                </c:pt>
                <c:pt idx="7">
                  <c:v>4.16</c:v>
                </c:pt>
                <c:pt idx="8">
                  <c:v>4.16</c:v>
                </c:pt>
                <c:pt idx="9">
                  <c:v>4.16</c:v>
                </c:pt>
                <c:pt idx="10">
                  <c:v>4.24</c:v>
                </c:pt>
                <c:pt idx="11">
                  <c:v>4.24</c:v>
                </c:pt>
                <c:pt idx="12">
                  <c:v>4.24</c:v>
                </c:pt>
                <c:pt idx="13">
                  <c:v>4.24</c:v>
                </c:pt>
                <c:pt idx="14">
                  <c:v>4.24</c:v>
                </c:pt>
                <c:pt idx="15">
                  <c:v>4.12</c:v>
                </c:pt>
                <c:pt idx="16">
                  <c:v>4.12</c:v>
                </c:pt>
                <c:pt idx="17">
                  <c:v>4.12</c:v>
                </c:pt>
                <c:pt idx="18">
                  <c:v>4.12</c:v>
                </c:pt>
                <c:pt idx="19">
                  <c:v>4.12</c:v>
                </c:pt>
                <c:pt idx="20">
                  <c:v>4.12</c:v>
                </c:pt>
                <c:pt idx="21">
                  <c:v>4.12</c:v>
                </c:pt>
                <c:pt idx="22">
                  <c:v>4.12</c:v>
                </c:pt>
                <c:pt idx="23">
                  <c:v>4.12</c:v>
                </c:pt>
                <c:pt idx="24">
                  <c:v>4.12</c:v>
                </c:pt>
                <c:pt idx="25">
                  <c:v>4.12</c:v>
                </c:pt>
                <c:pt idx="26">
                  <c:v>4.12</c:v>
                </c:pt>
                <c:pt idx="27">
                  <c:v>4.12</c:v>
                </c:pt>
                <c:pt idx="28">
                  <c:v>4.12</c:v>
                </c:pt>
                <c:pt idx="29">
                  <c:v>4.12</c:v>
                </c:pt>
                <c:pt idx="30">
                  <c:v>4.08</c:v>
                </c:pt>
                <c:pt idx="31">
                  <c:v>4.08</c:v>
                </c:pt>
                <c:pt idx="32">
                  <c:v>4.08</c:v>
                </c:pt>
                <c:pt idx="33">
                  <c:v>4.08</c:v>
                </c:pt>
                <c:pt idx="34">
                  <c:v>4.08</c:v>
                </c:pt>
                <c:pt idx="35">
                  <c:v>4.08</c:v>
                </c:pt>
                <c:pt idx="36">
                  <c:v>4.08</c:v>
                </c:pt>
                <c:pt idx="37">
                  <c:v>4.08</c:v>
                </c:pt>
                <c:pt idx="38">
                  <c:v>4.08</c:v>
                </c:pt>
                <c:pt idx="39">
                  <c:v>4.08</c:v>
                </c:pt>
                <c:pt idx="40">
                  <c:v>4.08</c:v>
                </c:pt>
                <c:pt idx="41">
                  <c:v>4.08</c:v>
                </c:pt>
                <c:pt idx="42">
                  <c:v>4.08</c:v>
                </c:pt>
                <c:pt idx="43">
                  <c:v>4.08</c:v>
                </c:pt>
                <c:pt idx="44">
                  <c:v>4.08</c:v>
                </c:pt>
                <c:pt idx="45">
                  <c:v>4.08</c:v>
                </c:pt>
                <c:pt idx="46">
                  <c:v>4.08</c:v>
                </c:pt>
                <c:pt idx="47">
                  <c:v>4.08</c:v>
                </c:pt>
                <c:pt idx="48">
                  <c:v>4.08</c:v>
                </c:pt>
                <c:pt idx="49">
                  <c:v>4.08</c:v>
                </c:pt>
                <c:pt idx="50">
                  <c:v>4.08</c:v>
                </c:pt>
                <c:pt idx="51">
                  <c:v>4.08</c:v>
                </c:pt>
                <c:pt idx="52">
                  <c:v>4.08</c:v>
                </c:pt>
                <c:pt idx="53">
                  <c:v>4.12</c:v>
                </c:pt>
                <c:pt idx="54">
                  <c:v>4.12</c:v>
                </c:pt>
                <c:pt idx="55">
                  <c:v>4.08</c:v>
                </c:pt>
                <c:pt idx="56">
                  <c:v>4.08</c:v>
                </c:pt>
                <c:pt idx="57">
                  <c:v>4.08</c:v>
                </c:pt>
                <c:pt idx="58">
                  <c:v>4.08</c:v>
                </c:pt>
                <c:pt idx="59">
                  <c:v>4.08</c:v>
                </c:pt>
                <c:pt idx="60">
                  <c:v>3.96</c:v>
                </c:pt>
                <c:pt idx="61">
                  <c:v>3.96</c:v>
                </c:pt>
                <c:pt idx="62">
                  <c:v>3.92</c:v>
                </c:pt>
                <c:pt idx="63">
                  <c:v>3.96</c:v>
                </c:pt>
                <c:pt idx="64">
                  <c:v>3.92</c:v>
                </c:pt>
                <c:pt idx="65">
                  <c:v>4.08</c:v>
                </c:pt>
                <c:pt idx="66">
                  <c:v>4.08</c:v>
                </c:pt>
                <c:pt idx="67">
                  <c:v>4.08</c:v>
                </c:pt>
                <c:pt idx="68">
                  <c:v>4.08</c:v>
                </c:pt>
                <c:pt idx="69">
                  <c:v>4.08</c:v>
                </c:pt>
                <c:pt idx="70">
                  <c:v>3.8</c:v>
                </c:pt>
                <c:pt idx="71">
                  <c:v>3.76</c:v>
                </c:pt>
                <c:pt idx="72">
                  <c:v>3.8</c:v>
                </c:pt>
                <c:pt idx="73">
                  <c:v>3.76</c:v>
                </c:pt>
                <c:pt idx="74">
                  <c:v>3.8</c:v>
                </c:pt>
                <c:pt idx="75">
                  <c:v>3.48</c:v>
                </c:pt>
                <c:pt idx="76">
                  <c:v>3.48</c:v>
                </c:pt>
                <c:pt idx="77">
                  <c:v>3.48</c:v>
                </c:pt>
                <c:pt idx="78">
                  <c:v>3.48</c:v>
                </c:pt>
                <c:pt idx="79">
                  <c:v>3.48</c:v>
                </c:pt>
                <c:pt idx="80">
                  <c:v>3.72</c:v>
                </c:pt>
                <c:pt idx="81">
                  <c:v>3.68</c:v>
                </c:pt>
                <c:pt idx="82">
                  <c:v>3.64</c:v>
                </c:pt>
                <c:pt idx="83">
                  <c:v>3.68</c:v>
                </c:pt>
                <c:pt idx="84">
                  <c:v>3.68</c:v>
                </c:pt>
              </c:numCache>
            </c:numRef>
          </c:val>
          <c:smooth val="0"/>
        </c:ser>
        <c:ser>
          <c:idx val="2"/>
          <c:order val="2"/>
          <c:tx>
            <c:v>Due to Touch</c:v>
          </c:tx>
          <c:spPr>
            <a:ln w="25400">
              <a:noFill/>
            </a:ln>
          </c:spPr>
          <c:cat>
            <c:numRef>
              <c:f>'Cu-Polyimide Sensor Plate'!$A$3:$A$87</c:f>
              <c:numCache>
                <c:formatCode>General</c:formatCode>
                <c:ptCount val="85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8</c:v>
                </c:pt>
                <c:pt idx="45">
                  <c:v>9</c:v>
                </c:pt>
                <c:pt idx="46">
                  <c:v>9</c:v>
                </c:pt>
                <c:pt idx="47">
                  <c:v>9</c:v>
                </c:pt>
                <c:pt idx="48">
                  <c:v>9</c:v>
                </c:pt>
                <c:pt idx="49">
                  <c:v>9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11</c:v>
                </c:pt>
                <c:pt idx="56">
                  <c:v>11</c:v>
                </c:pt>
                <c:pt idx="57">
                  <c:v>11</c:v>
                </c:pt>
                <c:pt idx="58">
                  <c:v>11</c:v>
                </c:pt>
                <c:pt idx="59">
                  <c:v>11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13</c:v>
                </c:pt>
                <c:pt idx="66">
                  <c:v>13</c:v>
                </c:pt>
                <c:pt idx="67">
                  <c:v>13</c:v>
                </c:pt>
                <c:pt idx="68">
                  <c:v>13</c:v>
                </c:pt>
                <c:pt idx="69">
                  <c:v>13</c:v>
                </c:pt>
                <c:pt idx="70">
                  <c:v>14</c:v>
                </c:pt>
                <c:pt idx="71">
                  <c:v>14</c:v>
                </c:pt>
                <c:pt idx="72">
                  <c:v>14</c:v>
                </c:pt>
                <c:pt idx="73">
                  <c:v>14</c:v>
                </c:pt>
                <c:pt idx="74">
                  <c:v>14</c:v>
                </c:pt>
                <c:pt idx="75">
                  <c:v>15</c:v>
                </c:pt>
                <c:pt idx="76">
                  <c:v>15</c:v>
                </c:pt>
                <c:pt idx="77">
                  <c:v>15</c:v>
                </c:pt>
                <c:pt idx="78">
                  <c:v>15</c:v>
                </c:pt>
                <c:pt idx="79">
                  <c:v>15</c:v>
                </c:pt>
                <c:pt idx="80">
                  <c:v>16</c:v>
                </c:pt>
                <c:pt idx="81">
                  <c:v>16</c:v>
                </c:pt>
                <c:pt idx="82">
                  <c:v>16</c:v>
                </c:pt>
                <c:pt idx="83">
                  <c:v>16</c:v>
                </c:pt>
                <c:pt idx="84">
                  <c:v>16</c:v>
                </c:pt>
              </c:numCache>
            </c:numRef>
          </c:cat>
          <c:val>
            <c:numRef>
              <c:f>'Cu-Polyimide Sensor Plate'!$M$3:$M$87</c:f>
              <c:numCache>
                <c:formatCode>General</c:formatCode>
                <c:ptCount val="85"/>
                <c:pt idx="0">
                  <c:v>4.08</c:v>
                </c:pt>
                <c:pt idx="1">
                  <c:v>4.08</c:v>
                </c:pt>
                <c:pt idx="2">
                  <c:v>4.08</c:v>
                </c:pt>
                <c:pt idx="3">
                  <c:v>4.08</c:v>
                </c:pt>
                <c:pt idx="4">
                  <c:v>4.08</c:v>
                </c:pt>
                <c:pt idx="5">
                  <c:v>4.12</c:v>
                </c:pt>
                <c:pt idx="6">
                  <c:v>4.12</c:v>
                </c:pt>
                <c:pt idx="7">
                  <c:v>4.12</c:v>
                </c:pt>
                <c:pt idx="8">
                  <c:v>4.12</c:v>
                </c:pt>
                <c:pt idx="9">
                  <c:v>4.12</c:v>
                </c:pt>
                <c:pt idx="10">
                  <c:v>4</c:v>
                </c:pt>
                <c:pt idx="11">
                  <c:v>4.04</c:v>
                </c:pt>
                <c:pt idx="12">
                  <c:v>3.96</c:v>
                </c:pt>
                <c:pt idx="13">
                  <c:v>3.92</c:v>
                </c:pt>
                <c:pt idx="14">
                  <c:v>4</c:v>
                </c:pt>
                <c:pt idx="15">
                  <c:v>3.56</c:v>
                </c:pt>
                <c:pt idx="16">
                  <c:v>3.6</c:v>
                </c:pt>
                <c:pt idx="17">
                  <c:v>3.56</c:v>
                </c:pt>
                <c:pt idx="18">
                  <c:v>3.52</c:v>
                </c:pt>
                <c:pt idx="19">
                  <c:v>3.56</c:v>
                </c:pt>
                <c:pt idx="20">
                  <c:v>3.8</c:v>
                </c:pt>
                <c:pt idx="21">
                  <c:v>3.88</c:v>
                </c:pt>
                <c:pt idx="22">
                  <c:v>3.76</c:v>
                </c:pt>
                <c:pt idx="23">
                  <c:v>3.72</c:v>
                </c:pt>
                <c:pt idx="24">
                  <c:v>3.76</c:v>
                </c:pt>
                <c:pt idx="25">
                  <c:v>3.64</c:v>
                </c:pt>
                <c:pt idx="26">
                  <c:v>3.68</c:v>
                </c:pt>
                <c:pt idx="27">
                  <c:v>3.68</c:v>
                </c:pt>
                <c:pt idx="28">
                  <c:v>3.64</c:v>
                </c:pt>
                <c:pt idx="29">
                  <c:v>3.76</c:v>
                </c:pt>
                <c:pt idx="30">
                  <c:v>3.4</c:v>
                </c:pt>
                <c:pt idx="31">
                  <c:v>3.44</c:v>
                </c:pt>
                <c:pt idx="32">
                  <c:v>3.48</c:v>
                </c:pt>
                <c:pt idx="33">
                  <c:v>3.52</c:v>
                </c:pt>
                <c:pt idx="34">
                  <c:v>3.56</c:v>
                </c:pt>
                <c:pt idx="35">
                  <c:v>3.4</c:v>
                </c:pt>
                <c:pt idx="36">
                  <c:v>3.36</c:v>
                </c:pt>
                <c:pt idx="37">
                  <c:v>3.4</c:v>
                </c:pt>
                <c:pt idx="38">
                  <c:v>3.36</c:v>
                </c:pt>
                <c:pt idx="39">
                  <c:v>3.36</c:v>
                </c:pt>
                <c:pt idx="40">
                  <c:v>3.36</c:v>
                </c:pt>
                <c:pt idx="41">
                  <c:v>3.4</c:v>
                </c:pt>
                <c:pt idx="42">
                  <c:v>3.44</c:v>
                </c:pt>
                <c:pt idx="43">
                  <c:v>3.44</c:v>
                </c:pt>
                <c:pt idx="44">
                  <c:v>3.4</c:v>
                </c:pt>
                <c:pt idx="45">
                  <c:v>3.4</c:v>
                </c:pt>
                <c:pt idx="46">
                  <c:v>3.36</c:v>
                </c:pt>
                <c:pt idx="47">
                  <c:v>3.44</c:v>
                </c:pt>
                <c:pt idx="48">
                  <c:v>3.36</c:v>
                </c:pt>
                <c:pt idx="49">
                  <c:v>3.4</c:v>
                </c:pt>
                <c:pt idx="50">
                  <c:v>3.2</c:v>
                </c:pt>
                <c:pt idx="51">
                  <c:v>3.32</c:v>
                </c:pt>
                <c:pt idx="52">
                  <c:v>3.34</c:v>
                </c:pt>
                <c:pt idx="53">
                  <c:v>3.2</c:v>
                </c:pt>
                <c:pt idx="54">
                  <c:v>3.2</c:v>
                </c:pt>
                <c:pt idx="55">
                  <c:v>3.28</c:v>
                </c:pt>
                <c:pt idx="56">
                  <c:v>3.24</c:v>
                </c:pt>
                <c:pt idx="57">
                  <c:v>3.16</c:v>
                </c:pt>
                <c:pt idx="58">
                  <c:v>3.12</c:v>
                </c:pt>
                <c:pt idx="59">
                  <c:v>3.12</c:v>
                </c:pt>
                <c:pt idx="60">
                  <c:v>3.28</c:v>
                </c:pt>
                <c:pt idx="61">
                  <c:v>3.24</c:v>
                </c:pt>
                <c:pt idx="62">
                  <c:v>3.16</c:v>
                </c:pt>
                <c:pt idx="63">
                  <c:v>3.12</c:v>
                </c:pt>
                <c:pt idx="64">
                  <c:v>3.12</c:v>
                </c:pt>
                <c:pt idx="65">
                  <c:v>3.48</c:v>
                </c:pt>
                <c:pt idx="66">
                  <c:v>3.36</c:v>
                </c:pt>
                <c:pt idx="67">
                  <c:v>3.32</c:v>
                </c:pt>
                <c:pt idx="68">
                  <c:v>3.36</c:v>
                </c:pt>
                <c:pt idx="69">
                  <c:v>3.32</c:v>
                </c:pt>
                <c:pt idx="70">
                  <c:v>3</c:v>
                </c:pt>
                <c:pt idx="71">
                  <c:v>3.04</c:v>
                </c:pt>
                <c:pt idx="72">
                  <c:v>3.04</c:v>
                </c:pt>
                <c:pt idx="73">
                  <c:v>3.04</c:v>
                </c:pt>
                <c:pt idx="74">
                  <c:v>3</c:v>
                </c:pt>
                <c:pt idx="75">
                  <c:v>3.08</c:v>
                </c:pt>
                <c:pt idx="76">
                  <c:v>3.08</c:v>
                </c:pt>
                <c:pt idx="77">
                  <c:v>3.12</c:v>
                </c:pt>
                <c:pt idx="78">
                  <c:v>3.04</c:v>
                </c:pt>
                <c:pt idx="79">
                  <c:v>3.04</c:v>
                </c:pt>
                <c:pt idx="80">
                  <c:v>3.08</c:v>
                </c:pt>
                <c:pt idx="81">
                  <c:v>3.08</c:v>
                </c:pt>
                <c:pt idx="82">
                  <c:v>3.12</c:v>
                </c:pt>
                <c:pt idx="83">
                  <c:v>3.04</c:v>
                </c:pt>
                <c:pt idx="84">
                  <c:v>3.04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0626432"/>
        <c:axId val="550632312"/>
        <c:axId val="549799768"/>
      </c:line3DChart>
      <c:catAx>
        <c:axId val="550626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Electrode Plate Surface Area (cm^2)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550632312"/>
        <c:crosses val="autoZero"/>
        <c:auto val="1"/>
        <c:lblAlgn val="ctr"/>
        <c:lblOffset val="100"/>
        <c:noMultiLvlLbl val="0"/>
      </c:catAx>
      <c:valAx>
        <c:axId val="550632312"/>
        <c:scaling>
          <c:orientation val="minMax"/>
          <c:min val="2.5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AVoltage (V)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50626432"/>
        <c:crosses val="autoZero"/>
        <c:crossBetween val="between"/>
      </c:valAx>
      <c:serAx>
        <c:axId val="549799768"/>
        <c:scaling>
          <c:orientation val="minMax"/>
        </c:scaling>
        <c:delete val="1"/>
        <c:axPos val="b"/>
        <c:majorTickMark val="out"/>
        <c:minorTickMark val="none"/>
        <c:tickLblPos val="nextTo"/>
        <c:crossAx val="550632312"/>
        <c:crosses val="autoZero"/>
      </c:ser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Rise Capacitance (F) of Copper Polyimide Capacitive Electrode Plate with changing </a:t>
            </a:r>
          </a:p>
          <a:p>
            <a:pPr>
              <a:defRPr/>
            </a:pPr>
            <a:r>
              <a:rPr lang="en-GB"/>
              <a:t>surface area for Vss = 4.5V and Iss</a:t>
            </a:r>
            <a:r>
              <a:rPr lang="en-GB" baseline="0"/>
              <a:t> = 30mA</a:t>
            </a:r>
            <a:r>
              <a:rPr lang="en-GB"/>
              <a:t> </a:t>
            </a:r>
          </a:p>
        </c:rich>
      </c:tx>
      <c:layout/>
      <c:overlay val="0"/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line3DChart>
        <c:grouping val="standard"/>
        <c:varyColors val="0"/>
        <c:ser>
          <c:idx val="0"/>
          <c:order val="0"/>
          <c:tx>
            <c:v>No Trigger Object</c:v>
          </c:tx>
          <c:cat>
            <c:numRef>
              <c:f>'Cu-Polyimide Sensor Plate'!$A$3:$A$87</c:f>
              <c:numCache>
                <c:formatCode>General</c:formatCode>
                <c:ptCount val="85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8</c:v>
                </c:pt>
                <c:pt idx="45">
                  <c:v>9</c:v>
                </c:pt>
                <c:pt idx="46">
                  <c:v>9</c:v>
                </c:pt>
                <c:pt idx="47">
                  <c:v>9</c:v>
                </c:pt>
                <c:pt idx="48">
                  <c:v>9</c:v>
                </c:pt>
                <c:pt idx="49">
                  <c:v>9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11</c:v>
                </c:pt>
                <c:pt idx="56">
                  <c:v>11</c:v>
                </c:pt>
                <c:pt idx="57">
                  <c:v>11</c:v>
                </c:pt>
                <c:pt idx="58">
                  <c:v>11</c:v>
                </c:pt>
                <c:pt idx="59">
                  <c:v>11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13</c:v>
                </c:pt>
                <c:pt idx="66">
                  <c:v>13</c:v>
                </c:pt>
                <c:pt idx="67">
                  <c:v>13</c:v>
                </c:pt>
                <c:pt idx="68">
                  <c:v>13</c:v>
                </c:pt>
                <c:pt idx="69">
                  <c:v>13</c:v>
                </c:pt>
                <c:pt idx="70">
                  <c:v>14</c:v>
                </c:pt>
                <c:pt idx="71">
                  <c:v>14</c:v>
                </c:pt>
                <c:pt idx="72">
                  <c:v>14</c:v>
                </c:pt>
                <c:pt idx="73">
                  <c:v>14</c:v>
                </c:pt>
                <c:pt idx="74">
                  <c:v>14</c:v>
                </c:pt>
                <c:pt idx="75">
                  <c:v>15</c:v>
                </c:pt>
                <c:pt idx="76">
                  <c:v>15</c:v>
                </c:pt>
                <c:pt idx="77">
                  <c:v>15</c:v>
                </c:pt>
                <c:pt idx="78">
                  <c:v>15</c:v>
                </c:pt>
                <c:pt idx="79">
                  <c:v>15</c:v>
                </c:pt>
                <c:pt idx="80">
                  <c:v>16</c:v>
                </c:pt>
                <c:pt idx="81">
                  <c:v>16</c:v>
                </c:pt>
                <c:pt idx="82">
                  <c:v>16</c:v>
                </c:pt>
                <c:pt idx="83">
                  <c:v>16</c:v>
                </c:pt>
                <c:pt idx="84">
                  <c:v>16</c:v>
                </c:pt>
              </c:numCache>
            </c:numRef>
          </c:cat>
          <c:val>
            <c:numRef>
              <c:f>'Cu-Polyimide Sensor Plate'!$F$3:$F$87</c:f>
              <c:numCache>
                <c:formatCode>General</c:formatCode>
                <c:ptCount val="85"/>
                <c:pt idx="0">
                  <c:v>5.8823529411764704E-12</c:v>
                </c:pt>
                <c:pt idx="1">
                  <c:v>7.0588235294117658E-12</c:v>
                </c:pt>
                <c:pt idx="2">
                  <c:v>7.0588235294117658E-12</c:v>
                </c:pt>
                <c:pt idx="3">
                  <c:v>6.4705882352941181E-12</c:v>
                </c:pt>
                <c:pt idx="4">
                  <c:v>7.3529411764705896E-12</c:v>
                </c:pt>
                <c:pt idx="5">
                  <c:v>5.8823529411764704E-12</c:v>
                </c:pt>
                <c:pt idx="6">
                  <c:v>7.6470588235294119E-12</c:v>
                </c:pt>
                <c:pt idx="7">
                  <c:v>6.4705882352941181E-12</c:v>
                </c:pt>
                <c:pt idx="8">
                  <c:v>7.0588235294117658E-12</c:v>
                </c:pt>
                <c:pt idx="9">
                  <c:v>6.1764705882352943E-12</c:v>
                </c:pt>
                <c:pt idx="10">
                  <c:v>7.6470588235294132E-14</c:v>
                </c:pt>
                <c:pt idx="11">
                  <c:v>7.9411764705882353E-14</c:v>
                </c:pt>
                <c:pt idx="12">
                  <c:v>7.9411764705882353E-14</c:v>
                </c:pt>
                <c:pt idx="13">
                  <c:v>7.6470588235294132E-14</c:v>
                </c:pt>
                <c:pt idx="14">
                  <c:v>7.6470588235294132E-14</c:v>
                </c:pt>
                <c:pt idx="15">
                  <c:v>9.7058823529411772E-12</c:v>
                </c:pt>
                <c:pt idx="16">
                  <c:v>1.0294117647058825E-11</c:v>
                </c:pt>
                <c:pt idx="17">
                  <c:v>9.9999999999999994E-12</c:v>
                </c:pt>
                <c:pt idx="18">
                  <c:v>9.9999999999999994E-12</c:v>
                </c:pt>
                <c:pt idx="19">
                  <c:v>9.7058823529411772E-12</c:v>
                </c:pt>
                <c:pt idx="20">
                  <c:v>1.0294117647058825E-11</c:v>
                </c:pt>
                <c:pt idx="21">
                  <c:v>1.0588235294117649E-11</c:v>
                </c:pt>
                <c:pt idx="22">
                  <c:v>1.0588235294117649E-11</c:v>
                </c:pt>
                <c:pt idx="23">
                  <c:v>1.0294117647058825E-11</c:v>
                </c:pt>
                <c:pt idx="24">
                  <c:v>1.0294117647058825E-11</c:v>
                </c:pt>
                <c:pt idx="25">
                  <c:v>1.0294117647058825E-11</c:v>
                </c:pt>
                <c:pt idx="26">
                  <c:v>1.0588235294117649E-11</c:v>
                </c:pt>
                <c:pt idx="27">
                  <c:v>1.0588235294117647E-11</c:v>
                </c:pt>
                <c:pt idx="28">
                  <c:v>1.0294117647058825E-11</c:v>
                </c:pt>
                <c:pt idx="29">
                  <c:v>1.0588235294117647E-11</c:v>
                </c:pt>
                <c:pt idx="30">
                  <c:v>1.0588235294117649E-11</c:v>
                </c:pt>
                <c:pt idx="31">
                  <c:v>1.0882352941176471E-11</c:v>
                </c:pt>
                <c:pt idx="32">
                  <c:v>1.0588235294117649E-11</c:v>
                </c:pt>
                <c:pt idx="33">
                  <c:v>1.0882352941176471E-11</c:v>
                </c:pt>
                <c:pt idx="34">
                  <c:v>1.0588235294117649E-11</c:v>
                </c:pt>
                <c:pt idx="35">
                  <c:v>1.2647058823529412E-11</c:v>
                </c:pt>
                <c:pt idx="36">
                  <c:v>1.2352941176470589E-11</c:v>
                </c:pt>
                <c:pt idx="37">
                  <c:v>1.2941176470588236E-11</c:v>
                </c:pt>
                <c:pt idx="38">
                  <c:v>1.2647058823529412E-11</c:v>
                </c:pt>
                <c:pt idx="39">
                  <c:v>1.2352941176470589E-11</c:v>
                </c:pt>
                <c:pt idx="40">
                  <c:v>1.5E-11</c:v>
                </c:pt>
                <c:pt idx="41">
                  <c:v>1.5294117647058824E-11</c:v>
                </c:pt>
                <c:pt idx="42">
                  <c:v>1.4705882352941179E-11</c:v>
                </c:pt>
                <c:pt idx="43">
                  <c:v>1.5E-11</c:v>
                </c:pt>
                <c:pt idx="44">
                  <c:v>1.5294117647058824E-11</c:v>
                </c:pt>
                <c:pt idx="45">
                  <c:v>1.7941176470588235E-11</c:v>
                </c:pt>
                <c:pt idx="46">
                  <c:v>1.7352941176470591E-11</c:v>
                </c:pt>
                <c:pt idx="47">
                  <c:v>1.852941176470588E-11</c:v>
                </c:pt>
                <c:pt idx="48">
                  <c:v>1.8235294117647059E-11</c:v>
                </c:pt>
                <c:pt idx="49">
                  <c:v>1.852941176470588E-11</c:v>
                </c:pt>
                <c:pt idx="50">
                  <c:v>1.4705882352941179E-11</c:v>
                </c:pt>
                <c:pt idx="51">
                  <c:v>1.5E-11</c:v>
                </c:pt>
                <c:pt idx="52">
                  <c:v>1.5E-11</c:v>
                </c:pt>
                <c:pt idx="53">
                  <c:v>1.4705882352941179E-11</c:v>
                </c:pt>
                <c:pt idx="54">
                  <c:v>1.5294117647058824E-11</c:v>
                </c:pt>
                <c:pt idx="55">
                  <c:v>2.0882352941176474E-11</c:v>
                </c:pt>
                <c:pt idx="56">
                  <c:v>2.1470588235294118E-11</c:v>
                </c:pt>
                <c:pt idx="57">
                  <c:v>2.1176470588235297E-11</c:v>
                </c:pt>
                <c:pt idx="58">
                  <c:v>2.0882352941176474E-11</c:v>
                </c:pt>
                <c:pt idx="59">
                  <c:v>2.1176470588235297E-11</c:v>
                </c:pt>
                <c:pt idx="60">
                  <c:v>3.7352941176470586E-11</c:v>
                </c:pt>
                <c:pt idx="61">
                  <c:v>3.6470588235294118E-11</c:v>
                </c:pt>
                <c:pt idx="62">
                  <c:v>3.6764705882352939E-11</c:v>
                </c:pt>
                <c:pt idx="63">
                  <c:v>3.5294117647058823E-11</c:v>
                </c:pt>
                <c:pt idx="64">
                  <c:v>3.4705882352941175E-11</c:v>
                </c:pt>
                <c:pt idx="65">
                  <c:v>2.0294117647058826E-11</c:v>
                </c:pt>
                <c:pt idx="66">
                  <c:v>1.9999999999999999E-11</c:v>
                </c:pt>
                <c:pt idx="67">
                  <c:v>1.9705882352941178E-11</c:v>
                </c:pt>
                <c:pt idx="68">
                  <c:v>2.0294117647058826E-11</c:v>
                </c:pt>
                <c:pt idx="69">
                  <c:v>1.9411764705882354E-11</c:v>
                </c:pt>
                <c:pt idx="70">
                  <c:v>4.3823529411764704E-11</c:v>
                </c:pt>
                <c:pt idx="71">
                  <c:v>4.6764705882352943E-11</c:v>
                </c:pt>
                <c:pt idx="72">
                  <c:v>4.6176470588235289E-11</c:v>
                </c:pt>
                <c:pt idx="73">
                  <c:v>4.5E-11</c:v>
                </c:pt>
                <c:pt idx="74">
                  <c:v>4.6176470588235289E-11</c:v>
                </c:pt>
                <c:pt idx="75">
                  <c:v>4.4411764705882352E-11</c:v>
                </c:pt>
                <c:pt idx="76">
                  <c:v>4.323529411764705E-11</c:v>
                </c:pt>
                <c:pt idx="77">
                  <c:v>4.2941176470588236E-11</c:v>
                </c:pt>
                <c:pt idx="78">
                  <c:v>4.3823529411764704E-11</c:v>
                </c:pt>
                <c:pt idx="79">
                  <c:v>4.323529411764705E-11</c:v>
                </c:pt>
                <c:pt idx="80">
                  <c:v>4.5882352941176468E-11</c:v>
                </c:pt>
                <c:pt idx="81">
                  <c:v>4.4705882352941173E-11</c:v>
                </c:pt>
                <c:pt idx="82">
                  <c:v>4.3823529411764704E-11</c:v>
                </c:pt>
                <c:pt idx="83">
                  <c:v>4.6176470588235289E-11</c:v>
                </c:pt>
                <c:pt idx="84">
                  <c:v>4.5E-11</c:v>
                </c:pt>
              </c:numCache>
            </c:numRef>
          </c:val>
          <c:smooth val="0"/>
        </c:ser>
        <c:ser>
          <c:idx val="1"/>
          <c:order val="1"/>
          <c:tx>
            <c:v>Due to Proximity Detection</c:v>
          </c:tx>
          <c:spPr>
            <a:ln w="25400">
              <a:noFill/>
            </a:ln>
          </c:spPr>
          <c:val>
            <c:numRef>
              <c:f>'Cu-Polyimide Sensor Plate'!$K$3:$K$87</c:f>
              <c:numCache>
                <c:formatCode>General</c:formatCode>
                <c:ptCount val="85"/>
                <c:pt idx="0">
                  <c:v>7.6470588235294119E-12</c:v>
                </c:pt>
                <c:pt idx="1">
                  <c:v>7.6470588235294119E-12</c:v>
                </c:pt>
                <c:pt idx="2">
                  <c:v>7.6470588235294119E-12</c:v>
                </c:pt>
                <c:pt idx="3">
                  <c:v>7.6470588235294119E-12</c:v>
                </c:pt>
                <c:pt idx="4">
                  <c:v>7.6470588235294119E-12</c:v>
                </c:pt>
                <c:pt idx="5">
                  <c:v>7.3529411764705896E-12</c:v>
                </c:pt>
                <c:pt idx="6">
                  <c:v>7.6470588235294119E-12</c:v>
                </c:pt>
                <c:pt idx="7">
                  <c:v>7.6470588235294119E-12</c:v>
                </c:pt>
                <c:pt idx="8">
                  <c:v>7.6470588235294119E-12</c:v>
                </c:pt>
                <c:pt idx="9">
                  <c:v>7.6470588235294119E-12</c:v>
                </c:pt>
                <c:pt idx="10">
                  <c:v>8.2352941176470596E-12</c:v>
                </c:pt>
                <c:pt idx="11">
                  <c:v>8.8235294117647072E-12</c:v>
                </c:pt>
                <c:pt idx="12">
                  <c:v>8.2352941176470596E-12</c:v>
                </c:pt>
                <c:pt idx="13">
                  <c:v>8.2352941176470596E-12</c:v>
                </c:pt>
                <c:pt idx="14">
                  <c:v>8.2352941176470596E-12</c:v>
                </c:pt>
                <c:pt idx="15">
                  <c:v>9.1176470588235295E-12</c:v>
                </c:pt>
                <c:pt idx="16">
                  <c:v>9.1176470588235295E-12</c:v>
                </c:pt>
                <c:pt idx="17">
                  <c:v>9.1176470588235295E-12</c:v>
                </c:pt>
                <c:pt idx="18">
                  <c:v>9.1176470588235295E-12</c:v>
                </c:pt>
                <c:pt idx="19">
                  <c:v>9.1176470588235295E-12</c:v>
                </c:pt>
                <c:pt idx="20">
                  <c:v>9.1176470588235295E-12</c:v>
                </c:pt>
                <c:pt idx="21">
                  <c:v>9.4117647058823533E-12</c:v>
                </c:pt>
                <c:pt idx="22">
                  <c:v>9.1176470588235295E-12</c:v>
                </c:pt>
                <c:pt idx="23">
                  <c:v>9.1176470588235295E-12</c:v>
                </c:pt>
                <c:pt idx="24">
                  <c:v>9.4117647058823533E-12</c:v>
                </c:pt>
                <c:pt idx="25">
                  <c:v>1.0588235294117649E-11</c:v>
                </c:pt>
                <c:pt idx="26">
                  <c:v>1.0882352941176471E-11</c:v>
                </c:pt>
                <c:pt idx="27">
                  <c:v>1.0294117647058825E-11</c:v>
                </c:pt>
                <c:pt idx="28">
                  <c:v>1.0294117647058825E-11</c:v>
                </c:pt>
                <c:pt idx="29">
                  <c:v>9.9999999999999994E-12</c:v>
                </c:pt>
                <c:pt idx="30">
                  <c:v>1.1176470588235295E-11</c:v>
                </c:pt>
                <c:pt idx="31">
                  <c:v>1.1470588235294119E-11</c:v>
                </c:pt>
                <c:pt idx="32">
                  <c:v>1.1764705882352941E-11</c:v>
                </c:pt>
                <c:pt idx="33">
                  <c:v>1.0882352941176471E-11</c:v>
                </c:pt>
                <c:pt idx="34">
                  <c:v>1.1176470588235295E-11</c:v>
                </c:pt>
                <c:pt idx="35">
                  <c:v>1.2941176470588236E-11</c:v>
                </c:pt>
                <c:pt idx="36">
                  <c:v>1.323529411764706E-11</c:v>
                </c:pt>
                <c:pt idx="37">
                  <c:v>1.2941176470588236E-11</c:v>
                </c:pt>
                <c:pt idx="38">
                  <c:v>1.2941176470588236E-11</c:v>
                </c:pt>
                <c:pt idx="39">
                  <c:v>1.323529411764706E-11</c:v>
                </c:pt>
                <c:pt idx="40">
                  <c:v>1.5E-11</c:v>
                </c:pt>
                <c:pt idx="41">
                  <c:v>1.5294117647058824E-11</c:v>
                </c:pt>
                <c:pt idx="42">
                  <c:v>1.5588235294117648E-11</c:v>
                </c:pt>
                <c:pt idx="43">
                  <c:v>1.5882352941176471E-11</c:v>
                </c:pt>
                <c:pt idx="44">
                  <c:v>1.5882352941176471E-11</c:v>
                </c:pt>
                <c:pt idx="45">
                  <c:v>1.7941176470588235E-11</c:v>
                </c:pt>
                <c:pt idx="46">
                  <c:v>1.8823529411764707E-11</c:v>
                </c:pt>
                <c:pt idx="47">
                  <c:v>1.9411764705882354E-11</c:v>
                </c:pt>
                <c:pt idx="48">
                  <c:v>1.911764705882353E-11</c:v>
                </c:pt>
                <c:pt idx="49">
                  <c:v>1.7941176470588235E-11</c:v>
                </c:pt>
                <c:pt idx="50">
                  <c:v>1.5588235294117648E-11</c:v>
                </c:pt>
                <c:pt idx="51">
                  <c:v>1.5294117647058824E-11</c:v>
                </c:pt>
                <c:pt idx="52">
                  <c:v>1.5294117647058824E-11</c:v>
                </c:pt>
                <c:pt idx="53">
                  <c:v>1.5E-11</c:v>
                </c:pt>
                <c:pt idx="54">
                  <c:v>1.5588235294117648E-11</c:v>
                </c:pt>
                <c:pt idx="55">
                  <c:v>2.2647058823529413E-11</c:v>
                </c:pt>
                <c:pt idx="56">
                  <c:v>2.1764705882352942E-11</c:v>
                </c:pt>
                <c:pt idx="57">
                  <c:v>2.2058823529411762E-11</c:v>
                </c:pt>
                <c:pt idx="58">
                  <c:v>2.235294117647059E-11</c:v>
                </c:pt>
                <c:pt idx="59">
                  <c:v>2.1470588235294118E-11</c:v>
                </c:pt>
                <c:pt idx="60">
                  <c:v>3.7647058823529413E-11</c:v>
                </c:pt>
                <c:pt idx="61">
                  <c:v>3.4117647058823527E-11</c:v>
                </c:pt>
                <c:pt idx="62">
                  <c:v>3.4999999999999995E-11</c:v>
                </c:pt>
                <c:pt idx="63">
                  <c:v>3.38235294117647E-11</c:v>
                </c:pt>
                <c:pt idx="64">
                  <c:v>3.4999999999999995E-11</c:v>
                </c:pt>
                <c:pt idx="65">
                  <c:v>2.0294117647058826E-11</c:v>
                </c:pt>
                <c:pt idx="66">
                  <c:v>2.058823529411765E-11</c:v>
                </c:pt>
                <c:pt idx="67">
                  <c:v>2.1470588235294118E-11</c:v>
                </c:pt>
                <c:pt idx="68">
                  <c:v>2.058823529411765E-11</c:v>
                </c:pt>
                <c:pt idx="69">
                  <c:v>2.0294117647058826E-11</c:v>
                </c:pt>
                <c:pt idx="70">
                  <c:v>4.4705882352941173E-11</c:v>
                </c:pt>
                <c:pt idx="71">
                  <c:v>4.5294117647058814E-11</c:v>
                </c:pt>
                <c:pt idx="72">
                  <c:v>4.2941176470588236E-11</c:v>
                </c:pt>
                <c:pt idx="73">
                  <c:v>4.3823529411764704E-11</c:v>
                </c:pt>
                <c:pt idx="74">
                  <c:v>4.323529411764705E-11</c:v>
                </c:pt>
                <c:pt idx="75">
                  <c:v>5.088235294117647E-11</c:v>
                </c:pt>
                <c:pt idx="76">
                  <c:v>4.9999999999999995E-11</c:v>
                </c:pt>
                <c:pt idx="77">
                  <c:v>4.9705882352941175E-11</c:v>
                </c:pt>
                <c:pt idx="78">
                  <c:v>5.0588235294117643E-11</c:v>
                </c:pt>
                <c:pt idx="79">
                  <c:v>5.1470588235294118E-11</c:v>
                </c:pt>
                <c:pt idx="80">
                  <c:v>4.6176470588235289E-11</c:v>
                </c:pt>
                <c:pt idx="81">
                  <c:v>4.7058823529411763E-11</c:v>
                </c:pt>
                <c:pt idx="82">
                  <c:v>4.5E-11</c:v>
                </c:pt>
                <c:pt idx="83">
                  <c:v>4.6764705882352943E-11</c:v>
                </c:pt>
                <c:pt idx="84">
                  <c:v>4.5882352941176468E-11</c:v>
                </c:pt>
              </c:numCache>
            </c:numRef>
          </c:val>
          <c:smooth val="0"/>
        </c:ser>
        <c:ser>
          <c:idx val="2"/>
          <c:order val="2"/>
          <c:tx>
            <c:v>Due to Touch</c:v>
          </c:tx>
          <c:spPr>
            <a:ln w="25400">
              <a:noFill/>
            </a:ln>
          </c:spPr>
          <c:val>
            <c:numRef>
              <c:f>'Cu-Polyimide Sensor Plate'!$P$3:$P$87</c:f>
              <c:numCache>
                <c:formatCode>General</c:formatCode>
                <c:ptCount val="85"/>
                <c:pt idx="0">
                  <c:v>1.4411764705882355E-11</c:v>
                </c:pt>
                <c:pt idx="1">
                  <c:v>1.5E-11</c:v>
                </c:pt>
                <c:pt idx="2">
                  <c:v>1.5294117647058824E-11</c:v>
                </c:pt>
                <c:pt idx="3">
                  <c:v>1.5882352941176471E-11</c:v>
                </c:pt>
                <c:pt idx="4">
                  <c:v>1.5588235294117648E-11</c:v>
                </c:pt>
                <c:pt idx="5">
                  <c:v>9.1176470588235295E-12</c:v>
                </c:pt>
                <c:pt idx="6">
                  <c:v>8.5294117647058834E-12</c:v>
                </c:pt>
                <c:pt idx="7">
                  <c:v>9.4117647058823533E-12</c:v>
                </c:pt>
                <c:pt idx="8">
                  <c:v>8.8235294117647072E-12</c:v>
                </c:pt>
                <c:pt idx="9">
                  <c:v>1.0294117647058825E-11</c:v>
                </c:pt>
                <c:pt idx="10">
                  <c:v>2.647058823529412E-11</c:v>
                </c:pt>
                <c:pt idx="11">
                  <c:v>2.5000000000000001E-11</c:v>
                </c:pt>
                <c:pt idx="12">
                  <c:v>2.8235294117647063E-11</c:v>
                </c:pt>
                <c:pt idx="13">
                  <c:v>3.4411764705882348E-11</c:v>
                </c:pt>
                <c:pt idx="14">
                  <c:v>3E-11</c:v>
                </c:pt>
                <c:pt idx="15">
                  <c:v>4.3529411764705884E-11</c:v>
                </c:pt>
                <c:pt idx="16">
                  <c:v>4.2647058823529409E-11</c:v>
                </c:pt>
                <c:pt idx="17">
                  <c:v>4.2941176470588236E-11</c:v>
                </c:pt>
                <c:pt idx="18">
                  <c:v>4.2941176470588236E-11</c:v>
                </c:pt>
                <c:pt idx="19">
                  <c:v>4.4117647058823525E-11</c:v>
                </c:pt>
                <c:pt idx="20">
                  <c:v>4.5E-11</c:v>
                </c:pt>
                <c:pt idx="21">
                  <c:v>4.2941176470588236E-11</c:v>
                </c:pt>
                <c:pt idx="22">
                  <c:v>4.1470588235294114E-11</c:v>
                </c:pt>
                <c:pt idx="23">
                  <c:v>4.4411764705882352E-11</c:v>
                </c:pt>
                <c:pt idx="24">
                  <c:v>4.3529411764705884E-11</c:v>
                </c:pt>
                <c:pt idx="25">
                  <c:v>4.4705882352941173E-11</c:v>
                </c:pt>
                <c:pt idx="26">
                  <c:v>4.2058823529411761E-11</c:v>
                </c:pt>
                <c:pt idx="27">
                  <c:v>4.1764705882352941E-11</c:v>
                </c:pt>
                <c:pt idx="28">
                  <c:v>4.6470588235294116E-11</c:v>
                </c:pt>
                <c:pt idx="29">
                  <c:v>4.4705882352941173E-11</c:v>
                </c:pt>
                <c:pt idx="30">
                  <c:v>5.0294117647058816E-11</c:v>
                </c:pt>
                <c:pt idx="31">
                  <c:v>4.7941176470588232E-11</c:v>
                </c:pt>
                <c:pt idx="32">
                  <c:v>4.6764705882352943E-11</c:v>
                </c:pt>
                <c:pt idx="33">
                  <c:v>4.9411764705882341E-11</c:v>
                </c:pt>
                <c:pt idx="34">
                  <c:v>5.1470588235294118E-11</c:v>
                </c:pt>
                <c:pt idx="35">
                  <c:v>5.235294117647058E-11</c:v>
                </c:pt>
                <c:pt idx="36">
                  <c:v>5.1764705882352938E-11</c:v>
                </c:pt>
                <c:pt idx="37">
                  <c:v>4.9705882352941175E-11</c:v>
                </c:pt>
                <c:pt idx="38">
                  <c:v>5.1764705882352938E-11</c:v>
                </c:pt>
                <c:pt idx="39">
                  <c:v>5.2058823529411766E-11</c:v>
                </c:pt>
                <c:pt idx="40">
                  <c:v>5.0588235294117643E-11</c:v>
                </c:pt>
                <c:pt idx="41">
                  <c:v>5.1470588235294118E-11</c:v>
                </c:pt>
                <c:pt idx="42">
                  <c:v>5.2058823529411766E-11</c:v>
                </c:pt>
                <c:pt idx="43">
                  <c:v>5.235294117647058E-11</c:v>
                </c:pt>
                <c:pt idx="44">
                  <c:v>5.2058823529411766E-11</c:v>
                </c:pt>
                <c:pt idx="45">
                  <c:v>4.9117647058823527E-11</c:v>
                </c:pt>
                <c:pt idx="46">
                  <c:v>4.9705882352941175E-11</c:v>
                </c:pt>
                <c:pt idx="47">
                  <c:v>5.0588235294117643E-11</c:v>
                </c:pt>
                <c:pt idx="48">
                  <c:v>5.2058823529411766E-11</c:v>
                </c:pt>
                <c:pt idx="49">
                  <c:v>5.0294117647058816E-11</c:v>
                </c:pt>
                <c:pt idx="50">
                  <c:v>5.235294117647058E-11</c:v>
                </c:pt>
                <c:pt idx="51">
                  <c:v>5.2647058823529413E-11</c:v>
                </c:pt>
                <c:pt idx="52">
                  <c:v>5.1470588235294118E-11</c:v>
                </c:pt>
                <c:pt idx="53">
                  <c:v>5.4411764705882356E-11</c:v>
                </c:pt>
                <c:pt idx="54">
                  <c:v>5.4411764705882356E-11</c:v>
                </c:pt>
                <c:pt idx="55">
                  <c:v>5.3823529411764709E-11</c:v>
                </c:pt>
                <c:pt idx="56">
                  <c:v>5.3235294117647054E-11</c:v>
                </c:pt>
                <c:pt idx="57">
                  <c:v>5.4705882352941177E-11</c:v>
                </c:pt>
                <c:pt idx="58">
                  <c:v>5.2941176470588234E-11</c:v>
                </c:pt>
                <c:pt idx="59">
                  <c:v>5.4117647058823529E-11</c:v>
                </c:pt>
                <c:pt idx="60">
                  <c:v>5.5882352941176466E-11</c:v>
                </c:pt>
                <c:pt idx="61">
                  <c:v>5.5588235294117645E-11</c:v>
                </c:pt>
                <c:pt idx="62">
                  <c:v>5.4705882352941177E-11</c:v>
                </c:pt>
                <c:pt idx="63">
                  <c:v>5.6470588235294107E-11</c:v>
                </c:pt>
                <c:pt idx="64">
                  <c:v>5.6764705882352934E-11</c:v>
                </c:pt>
                <c:pt idx="65">
                  <c:v>5.3529411764705881E-11</c:v>
                </c:pt>
                <c:pt idx="66">
                  <c:v>5.2647058823529413E-11</c:v>
                </c:pt>
                <c:pt idx="67">
                  <c:v>5.235294117647058E-11</c:v>
                </c:pt>
                <c:pt idx="68">
                  <c:v>5.2647058823529413E-11</c:v>
                </c:pt>
                <c:pt idx="69">
                  <c:v>5.3235294117647054E-11</c:v>
                </c:pt>
                <c:pt idx="70">
                  <c:v>5.2058823529411766E-11</c:v>
                </c:pt>
                <c:pt idx="71">
                  <c:v>5.235294117647058E-11</c:v>
                </c:pt>
                <c:pt idx="72">
                  <c:v>5.2941176470588234E-11</c:v>
                </c:pt>
                <c:pt idx="73">
                  <c:v>5.2058823529411766E-11</c:v>
                </c:pt>
                <c:pt idx="74">
                  <c:v>5.3235294117647054E-11</c:v>
                </c:pt>
                <c:pt idx="75">
                  <c:v>5.2941176470588234E-11</c:v>
                </c:pt>
                <c:pt idx="76">
                  <c:v>5.4705882352941177E-11</c:v>
                </c:pt>
                <c:pt idx="77">
                  <c:v>5.5000000000000004E-11</c:v>
                </c:pt>
                <c:pt idx="78">
                  <c:v>5.3235294117647054E-11</c:v>
                </c:pt>
                <c:pt idx="79">
                  <c:v>5.3529411764705881E-11</c:v>
                </c:pt>
                <c:pt idx="80">
                  <c:v>5.5000000000000004E-11</c:v>
                </c:pt>
                <c:pt idx="81">
                  <c:v>5.4705882352941177E-11</c:v>
                </c:pt>
                <c:pt idx="82">
                  <c:v>5.4117647058823529E-11</c:v>
                </c:pt>
                <c:pt idx="83">
                  <c:v>5.5588235294117645E-11</c:v>
                </c:pt>
                <c:pt idx="84">
                  <c:v>5.4705882352941177E-11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0624864"/>
        <c:axId val="550621336"/>
        <c:axId val="549800192"/>
      </c:line3DChart>
      <c:catAx>
        <c:axId val="550624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 sz="1000" b="1" i="0" u="none" strike="noStrike" baseline="0">
                    <a:effectLst/>
                  </a:rPr>
                  <a:t>Electrode Plate Surface Area (cm^2</a:t>
                </a:r>
                <a:endParaRPr lang="en-GB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550621336"/>
        <c:crosses val="autoZero"/>
        <c:auto val="1"/>
        <c:lblAlgn val="ctr"/>
        <c:lblOffset val="100"/>
        <c:noMultiLvlLbl val="0"/>
      </c:catAx>
      <c:valAx>
        <c:axId val="550621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Rise Capacitance (F)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50624864"/>
        <c:crosses val="autoZero"/>
        <c:crossBetween val="between"/>
      </c:valAx>
      <c:serAx>
        <c:axId val="549800192"/>
        <c:scaling>
          <c:orientation val="minMax"/>
        </c:scaling>
        <c:delete val="1"/>
        <c:axPos val="b"/>
        <c:majorTickMark val="out"/>
        <c:minorTickMark val="none"/>
        <c:tickLblPos val="nextTo"/>
        <c:crossAx val="550621336"/>
        <c:crosses val="autoZero"/>
      </c:ser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 i="0" baseline="0">
                <a:effectLst/>
              </a:rPr>
              <a:t>Fall Capacitance (F) of Copper Polyimide Capacitive Electrode Plate with changing </a:t>
            </a:r>
            <a:endParaRPr lang="en-GB">
              <a:effectLst/>
            </a:endParaRPr>
          </a:p>
          <a:p>
            <a:pPr>
              <a:defRPr/>
            </a:pPr>
            <a:r>
              <a:rPr lang="en-GB" sz="1800" b="1" i="0" baseline="0">
                <a:effectLst/>
              </a:rPr>
              <a:t>surface area for Vss = 4.5V and Iss = 30mA </a:t>
            </a:r>
            <a:endParaRPr lang="en-GB">
              <a:effectLst/>
            </a:endParaRPr>
          </a:p>
          <a:p>
            <a:pPr>
              <a:defRPr/>
            </a:pPr>
            <a:endParaRPr lang="en-GB"/>
          </a:p>
        </c:rich>
      </c:tx>
      <c:layout/>
      <c:overlay val="0"/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line3DChart>
        <c:grouping val="standard"/>
        <c:varyColors val="0"/>
        <c:ser>
          <c:idx val="0"/>
          <c:order val="0"/>
          <c:tx>
            <c:v>No Trigger Object </c:v>
          </c:tx>
          <c:cat>
            <c:numRef>
              <c:f>'Cu-Polyimide Sensor Plate'!$A$3:$A$87</c:f>
              <c:numCache>
                <c:formatCode>General</c:formatCode>
                <c:ptCount val="85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6</c:v>
                </c:pt>
                <c:pt idx="31">
                  <c:v>6</c:v>
                </c:pt>
                <c:pt idx="32">
                  <c:v>6</c:v>
                </c:pt>
                <c:pt idx="33">
                  <c:v>6</c:v>
                </c:pt>
                <c:pt idx="34">
                  <c:v>6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8</c:v>
                </c:pt>
                <c:pt idx="41">
                  <c:v>8</c:v>
                </c:pt>
                <c:pt idx="42">
                  <c:v>8</c:v>
                </c:pt>
                <c:pt idx="43">
                  <c:v>8</c:v>
                </c:pt>
                <c:pt idx="44">
                  <c:v>8</c:v>
                </c:pt>
                <c:pt idx="45">
                  <c:v>9</c:v>
                </c:pt>
                <c:pt idx="46">
                  <c:v>9</c:v>
                </c:pt>
                <c:pt idx="47">
                  <c:v>9</c:v>
                </c:pt>
                <c:pt idx="48">
                  <c:v>9</c:v>
                </c:pt>
                <c:pt idx="49">
                  <c:v>9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11</c:v>
                </c:pt>
                <c:pt idx="56">
                  <c:v>11</c:v>
                </c:pt>
                <c:pt idx="57">
                  <c:v>11</c:v>
                </c:pt>
                <c:pt idx="58">
                  <c:v>11</c:v>
                </c:pt>
                <c:pt idx="59">
                  <c:v>11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13</c:v>
                </c:pt>
                <c:pt idx="66">
                  <c:v>13</c:v>
                </c:pt>
                <c:pt idx="67">
                  <c:v>13</c:v>
                </c:pt>
                <c:pt idx="68">
                  <c:v>13</c:v>
                </c:pt>
                <c:pt idx="69">
                  <c:v>13</c:v>
                </c:pt>
                <c:pt idx="70">
                  <c:v>14</c:v>
                </c:pt>
                <c:pt idx="71">
                  <c:v>14</c:v>
                </c:pt>
                <c:pt idx="72">
                  <c:v>14</c:v>
                </c:pt>
                <c:pt idx="73">
                  <c:v>14</c:v>
                </c:pt>
                <c:pt idx="74">
                  <c:v>14</c:v>
                </c:pt>
                <c:pt idx="75">
                  <c:v>15</c:v>
                </c:pt>
                <c:pt idx="76">
                  <c:v>15</c:v>
                </c:pt>
                <c:pt idx="77">
                  <c:v>15</c:v>
                </c:pt>
                <c:pt idx="78">
                  <c:v>15</c:v>
                </c:pt>
                <c:pt idx="79">
                  <c:v>15</c:v>
                </c:pt>
                <c:pt idx="80">
                  <c:v>16</c:v>
                </c:pt>
                <c:pt idx="81">
                  <c:v>16</c:v>
                </c:pt>
                <c:pt idx="82">
                  <c:v>16</c:v>
                </c:pt>
                <c:pt idx="83">
                  <c:v>16</c:v>
                </c:pt>
                <c:pt idx="84">
                  <c:v>16</c:v>
                </c:pt>
              </c:numCache>
            </c:numRef>
          </c:cat>
          <c:val>
            <c:numRef>
              <c:f>'Cu-Polyimide Sensor Plate'!$G$3:$G$87</c:f>
              <c:numCache>
                <c:formatCode>General</c:formatCode>
                <c:ptCount val="85"/>
                <c:pt idx="0">
                  <c:v>4.3529411764705884E-11</c:v>
                </c:pt>
                <c:pt idx="1">
                  <c:v>4.4117647058823525E-11</c:v>
                </c:pt>
                <c:pt idx="2">
                  <c:v>4.5882352941176468E-11</c:v>
                </c:pt>
                <c:pt idx="3">
                  <c:v>4.3823529411764704E-11</c:v>
                </c:pt>
                <c:pt idx="4">
                  <c:v>4.4705882352941173E-11</c:v>
                </c:pt>
                <c:pt idx="5">
                  <c:v>4.3529411764705884E-11</c:v>
                </c:pt>
                <c:pt idx="6">
                  <c:v>4.588235294117648E-14</c:v>
                </c:pt>
                <c:pt idx="7">
                  <c:v>4.3823529411764704E-14</c:v>
                </c:pt>
                <c:pt idx="8">
                  <c:v>4.4705882352941181E-14</c:v>
                </c:pt>
                <c:pt idx="9">
                  <c:v>4.5588235294117657E-14</c:v>
                </c:pt>
                <c:pt idx="10">
                  <c:v>4.4117647058823525E-11</c:v>
                </c:pt>
                <c:pt idx="11">
                  <c:v>4.3529411764705884E-11</c:v>
                </c:pt>
                <c:pt idx="12">
                  <c:v>4.4117647058823525E-11</c:v>
                </c:pt>
                <c:pt idx="13">
                  <c:v>4.4117647058823525E-11</c:v>
                </c:pt>
                <c:pt idx="14">
                  <c:v>4.4705882352941173E-11</c:v>
                </c:pt>
                <c:pt idx="15">
                  <c:v>4.3529411764705884E-11</c:v>
                </c:pt>
                <c:pt idx="16">
                  <c:v>4.5294117647058814E-11</c:v>
                </c:pt>
                <c:pt idx="17">
                  <c:v>4.4705882352941173E-11</c:v>
                </c:pt>
                <c:pt idx="18">
                  <c:v>4.2352941176470588E-11</c:v>
                </c:pt>
                <c:pt idx="19">
                  <c:v>4.3529411764705884E-11</c:v>
                </c:pt>
                <c:pt idx="20">
                  <c:v>4.2588235294117645E-11</c:v>
                </c:pt>
                <c:pt idx="21">
                  <c:v>4.3529411764705884E-11</c:v>
                </c:pt>
                <c:pt idx="22">
                  <c:v>4.4117647058823525E-11</c:v>
                </c:pt>
                <c:pt idx="23">
                  <c:v>4.4705882352941173E-11</c:v>
                </c:pt>
                <c:pt idx="24">
                  <c:v>4.4705882352941173E-11</c:v>
                </c:pt>
                <c:pt idx="25">
                  <c:v>4.2352941176470588E-11</c:v>
                </c:pt>
                <c:pt idx="26">
                  <c:v>4.4117647058823525E-11</c:v>
                </c:pt>
                <c:pt idx="27">
                  <c:v>4.3529411764705884E-11</c:v>
                </c:pt>
                <c:pt idx="28">
                  <c:v>4.4117647058823525E-11</c:v>
                </c:pt>
                <c:pt idx="29">
                  <c:v>4.4117647058823525E-11</c:v>
                </c:pt>
                <c:pt idx="30">
                  <c:v>4.2941176470588236E-11</c:v>
                </c:pt>
                <c:pt idx="31">
                  <c:v>4.5294117647058814E-11</c:v>
                </c:pt>
                <c:pt idx="32">
                  <c:v>4.323529411764705E-11</c:v>
                </c:pt>
                <c:pt idx="33">
                  <c:v>4.2941176470588236E-11</c:v>
                </c:pt>
                <c:pt idx="34">
                  <c:v>4.4705882352941173E-11</c:v>
                </c:pt>
                <c:pt idx="35">
                  <c:v>4.3529411764705884E-11</c:v>
                </c:pt>
                <c:pt idx="36">
                  <c:v>4.4705882352941173E-11</c:v>
                </c:pt>
                <c:pt idx="37">
                  <c:v>4.4117647058823525E-11</c:v>
                </c:pt>
                <c:pt idx="38">
                  <c:v>4.2941176470588236E-11</c:v>
                </c:pt>
                <c:pt idx="39">
                  <c:v>4.4117647058823525E-11</c:v>
                </c:pt>
                <c:pt idx="40">
                  <c:v>4.5294117647058814E-11</c:v>
                </c:pt>
                <c:pt idx="41">
                  <c:v>4.4705882352941173E-11</c:v>
                </c:pt>
                <c:pt idx="42">
                  <c:v>4.5882352941176468E-11</c:v>
                </c:pt>
                <c:pt idx="43">
                  <c:v>4.4117647058823525E-11</c:v>
                </c:pt>
                <c:pt idx="44">
                  <c:v>4.6470588235294116E-11</c:v>
                </c:pt>
                <c:pt idx="45">
                  <c:v>4.5882352941176468E-11</c:v>
                </c:pt>
                <c:pt idx="46">
                  <c:v>4.5294117647058814E-11</c:v>
                </c:pt>
                <c:pt idx="47">
                  <c:v>4.6470588235294116E-11</c:v>
                </c:pt>
                <c:pt idx="48">
                  <c:v>4.7647058823529411E-11</c:v>
                </c:pt>
                <c:pt idx="49">
                  <c:v>4.7058823529411763E-11</c:v>
                </c:pt>
                <c:pt idx="50">
                  <c:v>4.3529411764705884E-11</c:v>
                </c:pt>
                <c:pt idx="51">
                  <c:v>4.4117647058823525E-11</c:v>
                </c:pt>
                <c:pt idx="52">
                  <c:v>4.4705882352941173E-11</c:v>
                </c:pt>
                <c:pt idx="53">
                  <c:v>4.3529411764705884E-11</c:v>
                </c:pt>
                <c:pt idx="54">
                  <c:v>4.4117647058823525E-11</c:v>
                </c:pt>
                <c:pt idx="55">
                  <c:v>4.8235294117647052E-11</c:v>
                </c:pt>
                <c:pt idx="56">
                  <c:v>4.88235294117647E-11</c:v>
                </c:pt>
                <c:pt idx="57">
                  <c:v>4.7058823529411763E-11</c:v>
                </c:pt>
                <c:pt idx="58">
                  <c:v>4.7647058823529411E-11</c:v>
                </c:pt>
                <c:pt idx="59">
                  <c:v>4.8235294117647052E-11</c:v>
                </c:pt>
                <c:pt idx="60">
                  <c:v>6.4117647058823527E-11</c:v>
                </c:pt>
                <c:pt idx="61">
                  <c:v>7.2352941176470569E-11</c:v>
                </c:pt>
                <c:pt idx="62">
                  <c:v>8.1764705882352932E-11</c:v>
                </c:pt>
                <c:pt idx="63">
                  <c:v>6.5294117647058822E-11</c:v>
                </c:pt>
                <c:pt idx="64">
                  <c:v>6.941176470588235E-11</c:v>
                </c:pt>
                <c:pt idx="65">
                  <c:v>4.7647058823529411E-11</c:v>
                </c:pt>
                <c:pt idx="66">
                  <c:v>4.7058823529411763E-11</c:v>
                </c:pt>
                <c:pt idx="67">
                  <c:v>4.88235294117647E-11</c:v>
                </c:pt>
                <c:pt idx="68">
                  <c:v>4.8235294117647052E-11</c:v>
                </c:pt>
                <c:pt idx="69">
                  <c:v>4.6470588235294116E-11</c:v>
                </c:pt>
                <c:pt idx="70">
                  <c:v>1.5941176470588234E-10</c:v>
                </c:pt>
                <c:pt idx="71">
                  <c:v>1.5117647058823526E-10</c:v>
                </c:pt>
                <c:pt idx="72">
                  <c:v>1.6323529411764706E-10</c:v>
                </c:pt>
                <c:pt idx="73">
                  <c:v>1.6382352941176472E-10</c:v>
                </c:pt>
                <c:pt idx="74">
                  <c:v>1.6470588235294115E-10</c:v>
                </c:pt>
                <c:pt idx="75">
                  <c:v>1.5941176470588234E-10</c:v>
                </c:pt>
                <c:pt idx="76">
                  <c:v>1.5117647058823526E-10</c:v>
                </c:pt>
                <c:pt idx="77">
                  <c:v>1.6323529411764706E-10</c:v>
                </c:pt>
                <c:pt idx="78">
                  <c:v>1.6382352941176472E-10</c:v>
                </c:pt>
                <c:pt idx="79">
                  <c:v>1.6470588235294115E-10</c:v>
                </c:pt>
                <c:pt idx="80">
                  <c:v>1.8294117647058822E-10</c:v>
                </c:pt>
                <c:pt idx="81">
                  <c:v>1.8647058823529412E-10</c:v>
                </c:pt>
                <c:pt idx="82">
                  <c:v>1.8176470588235294E-10</c:v>
                </c:pt>
                <c:pt idx="83">
                  <c:v>1.7832352941176469E-10</c:v>
                </c:pt>
                <c:pt idx="84">
                  <c:v>1.7529411764705882E-10</c:v>
                </c:pt>
              </c:numCache>
            </c:numRef>
          </c:val>
          <c:smooth val="0"/>
        </c:ser>
        <c:ser>
          <c:idx val="1"/>
          <c:order val="1"/>
          <c:tx>
            <c:v>Due to Proximity Detection</c:v>
          </c:tx>
          <c:spPr>
            <a:ln w="25400">
              <a:noFill/>
            </a:ln>
          </c:spPr>
          <c:val>
            <c:numRef>
              <c:f>'Cu-Polyimide Sensor Plate'!$L$3:$L$87</c:f>
              <c:numCache>
                <c:formatCode>General</c:formatCode>
                <c:ptCount val="85"/>
                <c:pt idx="0">
                  <c:v>4.5294117647058814E-11</c:v>
                </c:pt>
                <c:pt idx="1">
                  <c:v>4.4705882352941173E-11</c:v>
                </c:pt>
                <c:pt idx="2">
                  <c:v>4.4705882352941173E-11</c:v>
                </c:pt>
                <c:pt idx="3">
                  <c:v>4.5294117647058814E-11</c:v>
                </c:pt>
                <c:pt idx="4">
                  <c:v>4.5294117647058814E-11</c:v>
                </c:pt>
                <c:pt idx="5">
                  <c:v>4.5294117647058814E-11</c:v>
                </c:pt>
                <c:pt idx="6">
                  <c:v>4.7647058823529411E-11</c:v>
                </c:pt>
                <c:pt idx="7">
                  <c:v>4.6470588235294116E-11</c:v>
                </c:pt>
                <c:pt idx="8">
                  <c:v>4.6470588235294116E-11</c:v>
                </c:pt>
                <c:pt idx="9">
                  <c:v>4.5294117647058814E-11</c:v>
                </c:pt>
                <c:pt idx="10">
                  <c:v>4.5294117647058814E-11</c:v>
                </c:pt>
                <c:pt idx="11">
                  <c:v>4.7647058823529411E-11</c:v>
                </c:pt>
                <c:pt idx="12">
                  <c:v>4.6470588235294116E-11</c:v>
                </c:pt>
                <c:pt idx="13">
                  <c:v>4.6470588235294116E-11</c:v>
                </c:pt>
                <c:pt idx="14">
                  <c:v>4.5294117647058814E-11</c:v>
                </c:pt>
                <c:pt idx="15">
                  <c:v>1.0294117647058825E-11</c:v>
                </c:pt>
                <c:pt idx="16">
                  <c:v>1.0294117647058825E-11</c:v>
                </c:pt>
                <c:pt idx="17">
                  <c:v>1.0294117647058825E-11</c:v>
                </c:pt>
                <c:pt idx="18">
                  <c:v>1.0588235294117649E-11</c:v>
                </c:pt>
                <c:pt idx="19">
                  <c:v>1.0294117647058825E-11</c:v>
                </c:pt>
                <c:pt idx="20">
                  <c:v>4.5882352941176468E-11</c:v>
                </c:pt>
                <c:pt idx="21">
                  <c:v>4.4705882352941173E-11</c:v>
                </c:pt>
                <c:pt idx="22">
                  <c:v>4.5294117647058814E-11</c:v>
                </c:pt>
                <c:pt idx="23">
                  <c:v>4.5294117647058814E-11</c:v>
                </c:pt>
                <c:pt idx="24">
                  <c:v>4.6470588235294116E-11</c:v>
                </c:pt>
                <c:pt idx="25">
                  <c:v>4.5294117647058814E-11</c:v>
                </c:pt>
                <c:pt idx="26">
                  <c:v>4.5294117647058814E-11</c:v>
                </c:pt>
                <c:pt idx="27">
                  <c:v>4.5882352941176468E-11</c:v>
                </c:pt>
                <c:pt idx="28">
                  <c:v>4.4705882352941173E-11</c:v>
                </c:pt>
                <c:pt idx="29">
                  <c:v>4.5882352941176468E-11</c:v>
                </c:pt>
                <c:pt idx="30">
                  <c:v>4.5294117647058814E-11</c:v>
                </c:pt>
                <c:pt idx="31">
                  <c:v>4.4705882352941173E-11</c:v>
                </c:pt>
                <c:pt idx="32">
                  <c:v>4.4117647058823525E-11</c:v>
                </c:pt>
                <c:pt idx="33">
                  <c:v>4.4117647058823525E-11</c:v>
                </c:pt>
                <c:pt idx="34">
                  <c:v>5.1470588235294118E-11</c:v>
                </c:pt>
                <c:pt idx="35">
                  <c:v>4.5882352941176468E-11</c:v>
                </c:pt>
                <c:pt idx="36">
                  <c:v>4.6470588235294116E-11</c:v>
                </c:pt>
                <c:pt idx="37">
                  <c:v>4.5882352941176468E-11</c:v>
                </c:pt>
                <c:pt idx="38">
                  <c:v>4.6470588235294116E-11</c:v>
                </c:pt>
                <c:pt idx="39">
                  <c:v>4.5882352941176468E-11</c:v>
                </c:pt>
                <c:pt idx="40">
                  <c:v>4.5294117647058814E-11</c:v>
                </c:pt>
                <c:pt idx="41">
                  <c:v>4.7058823529411763E-11</c:v>
                </c:pt>
                <c:pt idx="42">
                  <c:v>4.6470588235294116E-11</c:v>
                </c:pt>
                <c:pt idx="43">
                  <c:v>4.6470588235294116E-11</c:v>
                </c:pt>
                <c:pt idx="44">
                  <c:v>4.5882352941176468E-11</c:v>
                </c:pt>
                <c:pt idx="45">
                  <c:v>4.8235294117647052E-11</c:v>
                </c:pt>
                <c:pt idx="46">
                  <c:v>4.7647058823529411E-11</c:v>
                </c:pt>
                <c:pt idx="47">
                  <c:v>4.7058823529411763E-11</c:v>
                </c:pt>
                <c:pt idx="48">
                  <c:v>4.7647058823529411E-11</c:v>
                </c:pt>
                <c:pt idx="49">
                  <c:v>4.7647058823529411E-11</c:v>
                </c:pt>
                <c:pt idx="50">
                  <c:v>4.5882352941176468E-11</c:v>
                </c:pt>
                <c:pt idx="51">
                  <c:v>4.5294117647058814E-11</c:v>
                </c:pt>
                <c:pt idx="52">
                  <c:v>4.4705882352941173E-11</c:v>
                </c:pt>
                <c:pt idx="53">
                  <c:v>4.5882352941176468E-11</c:v>
                </c:pt>
                <c:pt idx="54">
                  <c:v>4.5294117647058814E-11</c:v>
                </c:pt>
                <c:pt idx="55">
                  <c:v>4.9999999999999995E-11</c:v>
                </c:pt>
                <c:pt idx="56">
                  <c:v>4.88235294117647E-11</c:v>
                </c:pt>
                <c:pt idx="57">
                  <c:v>4.9411764705882341E-11</c:v>
                </c:pt>
                <c:pt idx="58">
                  <c:v>4.9999999999999995E-11</c:v>
                </c:pt>
                <c:pt idx="59">
                  <c:v>4.9411764705882341E-11</c:v>
                </c:pt>
                <c:pt idx="60">
                  <c:v>6.8235294117647054E-11</c:v>
                </c:pt>
                <c:pt idx="61">
                  <c:v>6.5882352941176476E-11</c:v>
                </c:pt>
                <c:pt idx="62">
                  <c:v>6.941176470588235E-11</c:v>
                </c:pt>
                <c:pt idx="63">
                  <c:v>6.3529411764705886E-11</c:v>
                </c:pt>
                <c:pt idx="64">
                  <c:v>6.76470588235294E-11</c:v>
                </c:pt>
                <c:pt idx="65">
                  <c:v>6.8235294117647054E-11</c:v>
                </c:pt>
                <c:pt idx="66">
                  <c:v>6.5882352941176476E-11</c:v>
                </c:pt>
                <c:pt idx="67">
                  <c:v>6.941176470588235E-11</c:v>
                </c:pt>
                <c:pt idx="68">
                  <c:v>6.3529411764705886E-11</c:v>
                </c:pt>
                <c:pt idx="69">
                  <c:v>6.76470588235294E-11</c:v>
                </c:pt>
                <c:pt idx="70">
                  <c:v>1.4470588235294114E-10</c:v>
                </c:pt>
                <c:pt idx="71">
                  <c:v>1.3823529411764707E-10</c:v>
                </c:pt>
                <c:pt idx="72">
                  <c:v>1.3647058823529411E-10</c:v>
                </c:pt>
                <c:pt idx="73">
                  <c:v>1.3999999999999998E-10</c:v>
                </c:pt>
                <c:pt idx="74">
                  <c:v>1.4176470588235294E-10</c:v>
                </c:pt>
                <c:pt idx="75">
                  <c:v>2.5117647058823527E-10</c:v>
                </c:pt>
                <c:pt idx="76">
                  <c:v>2.3352941176470591E-10</c:v>
                </c:pt>
                <c:pt idx="77">
                  <c:v>2.3529411764705882E-10</c:v>
                </c:pt>
                <c:pt idx="78">
                  <c:v>2.4235294117647056E-10</c:v>
                </c:pt>
                <c:pt idx="79">
                  <c:v>2.323529411764706E-10</c:v>
                </c:pt>
                <c:pt idx="80">
                  <c:v>9.8235294117647054E-11</c:v>
                </c:pt>
                <c:pt idx="81">
                  <c:v>1.3000000000000002E-10</c:v>
                </c:pt>
                <c:pt idx="82">
                  <c:v>1.1588235294117646E-10</c:v>
                </c:pt>
                <c:pt idx="83">
                  <c:v>1.0117647058823529E-10</c:v>
                </c:pt>
                <c:pt idx="84">
                  <c:v>1.0294117647058824E-10</c:v>
                </c:pt>
              </c:numCache>
            </c:numRef>
          </c:val>
          <c:smooth val="0"/>
        </c:ser>
        <c:ser>
          <c:idx val="2"/>
          <c:order val="2"/>
          <c:tx>
            <c:v>Due to Touch </c:v>
          </c:tx>
          <c:spPr>
            <a:ln w="25400">
              <a:noFill/>
            </a:ln>
          </c:spPr>
          <c:val>
            <c:numRef>
              <c:f>'Cu-Polyimide Sensor Plate'!$Q$3:$Q$87</c:f>
              <c:numCache>
                <c:formatCode>General</c:formatCode>
                <c:ptCount val="85"/>
                <c:pt idx="0">
                  <c:v>6.6470588235294105E-11</c:v>
                </c:pt>
                <c:pt idx="1">
                  <c:v>6.5294117647058822E-11</c:v>
                </c:pt>
                <c:pt idx="2">
                  <c:v>6.7058823529411759E-11</c:v>
                </c:pt>
                <c:pt idx="3">
                  <c:v>6.4705882352941181E-11</c:v>
                </c:pt>
                <c:pt idx="4">
                  <c:v>6.8823529411764696E-11</c:v>
                </c:pt>
                <c:pt idx="5">
                  <c:v>5.4117647058823529E-11</c:v>
                </c:pt>
                <c:pt idx="6">
                  <c:v>4.9999999999999995E-11</c:v>
                </c:pt>
                <c:pt idx="7">
                  <c:v>4.9411764705882341E-11</c:v>
                </c:pt>
                <c:pt idx="8">
                  <c:v>4.8235294117647052E-11</c:v>
                </c:pt>
                <c:pt idx="9">
                  <c:v>5.235294117647058E-11</c:v>
                </c:pt>
                <c:pt idx="10">
                  <c:v>4.5882352941176468E-11</c:v>
                </c:pt>
                <c:pt idx="11">
                  <c:v>4.5882352941176468E-11</c:v>
                </c:pt>
                <c:pt idx="12">
                  <c:v>4.5882352941176468E-11</c:v>
                </c:pt>
                <c:pt idx="13">
                  <c:v>4.5294117647058814E-11</c:v>
                </c:pt>
                <c:pt idx="14">
                  <c:v>4.7058823529411763E-11</c:v>
                </c:pt>
                <c:pt idx="15">
                  <c:v>2.8229411764705886E-10</c:v>
                </c:pt>
                <c:pt idx="16">
                  <c:v>2.8964705882352936E-10</c:v>
                </c:pt>
                <c:pt idx="17">
                  <c:v>2.8176470588235293E-10</c:v>
                </c:pt>
                <c:pt idx="18">
                  <c:v>2.9941176470588229E-10</c:v>
                </c:pt>
                <c:pt idx="19">
                  <c:v>2.9188235294117643E-10</c:v>
                </c:pt>
                <c:pt idx="20">
                  <c:v>2.2823529411764707E-10</c:v>
                </c:pt>
                <c:pt idx="21">
                  <c:v>2.0764705882352938E-10</c:v>
                </c:pt>
                <c:pt idx="22">
                  <c:v>2.4705882352941174E-10</c:v>
                </c:pt>
                <c:pt idx="23">
                  <c:v>2.4588235294117644E-10</c:v>
                </c:pt>
                <c:pt idx="24">
                  <c:v>2.4941176470588236E-10</c:v>
                </c:pt>
                <c:pt idx="25">
                  <c:v>2.7470588235294113E-10</c:v>
                </c:pt>
                <c:pt idx="26">
                  <c:v>2.7882352941176471E-10</c:v>
                </c:pt>
                <c:pt idx="27">
                  <c:v>2.7529411764705878E-10</c:v>
                </c:pt>
                <c:pt idx="28">
                  <c:v>2.5117647058823527E-10</c:v>
                </c:pt>
                <c:pt idx="29">
                  <c:v>2.5764705882352942E-10</c:v>
                </c:pt>
                <c:pt idx="30">
                  <c:v>3.4882352941176462E-10</c:v>
                </c:pt>
                <c:pt idx="31">
                  <c:v>3.452941176470588E-10</c:v>
                </c:pt>
                <c:pt idx="32">
                  <c:v>3.3176470588235291E-10</c:v>
                </c:pt>
                <c:pt idx="33">
                  <c:v>3.1941176470588233E-10</c:v>
                </c:pt>
                <c:pt idx="34">
                  <c:v>3.4000000000000001E-10</c:v>
                </c:pt>
                <c:pt idx="35">
                  <c:v>3.4294117647058823E-10</c:v>
                </c:pt>
                <c:pt idx="36">
                  <c:v>3.5941176470588234E-10</c:v>
                </c:pt>
                <c:pt idx="37">
                  <c:v>3.5823529411764698E-10</c:v>
                </c:pt>
                <c:pt idx="38">
                  <c:v>3.5176470588235294E-10</c:v>
                </c:pt>
                <c:pt idx="39">
                  <c:v>3.7411764705882354E-10</c:v>
                </c:pt>
                <c:pt idx="40">
                  <c:v>3.5000000000000003E-10</c:v>
                </c:pt>
                <c:pt idx="41">
                  <c:v>3.6176470588235296E-10</c:v>
                </c:pt>
                <c:pt idx="42">
                  <c:v>3.3117647058823525E-10</c:v>
                </c:pt>
                <c:pt idx="43">
                  <c:v>3.4176470588235287E-10</c:v>
                </c:pt>
                <c:pt idx="44">
                  <c:v>3.076470588235294E-10</c:v>
                </c:pt>
                <c:pt idx="45">
                  <c:v>3.1058823529411767E-10</c:v>
                </c:pt>
                <c:pt idx="46">
                  <c:v>2.9705882352941178E-10</c:v>
                </c:pt>
                <c:pt idx="47">
                  <c:v>3.1352941176470589E-10</c:v>
                </c:pt>
                <c:pt idx="48">
                  <c:v>3.0411764705882353E-10</c:v>
                </c:pt>
                <c:pt idx="49">
                  <c:v>3.1529411764705885E-10</c:v>
                </c:pt>
                <c:pt idx="50">
                  <c:v>3.7058823529411767E-10</c:v>
                </c:pt>
                <c:pt idx="51">
                  <c:v>3.1588235294117645E-10</c:v>
                </c:pt>
                <c:pt idx="52">
                  <c:v>3.9941176470588236E-10</c:v>
                </c:pt>
                <c:pt idx="53">
                  <c:v>3.6058823529411765E-10</c:v>
                </c:pt>
                <c:pt idx="54">
                  <c:v>3.8000000000000003E-10</c:v>
                </c:pt>
                <c:pt idx="55">
                  <c:v>3.8058823529411758E-10</c:v>
                </c:pt>
                <c:pt idx="56">
                  <c:v>3.8941176470588234E-10</c:v>
                </c:pt>
                <c:pt idx="57">
                  <c:v>3.976470588235294E-10</c:v>
                </c:pt>
                <c:pt idx="58">
                  <c:v>3.5588235294117642E-10</c:v>
                </c:pt>
                <c:pt idx="59">
                  <c:v>3.3882352941176471E-10</c:v>
                </c:pt>
                <c:pt idx="60">
                  <c:v>3.5117647058823529E-10</c:v>
                </c:pt>
                <c:pt idx="61">
                  <c:v>3.7000000000000001E-10</c:v>
                </c:pt>
                <c:pt idx="62">
                  <c:v>3.9352941176470592E-10</c:v>
                </c:pt>
                <c:pt idx="63">
                  <c:v>3.5647058823529412E-10</c:v>
                </c:pt>
                <c:pt idx="64">
                  <c:v>3.6411764705882352E-10</c:v>
                </c:pt>
                <c:pt idx="65">
                  <c:v>3.6058823529411765E-10</c:v>
                </c:pt>
                <c:pt idx="66">
                  <c:v>3.5117647058823529E-10</c:v>
                </c:pt>
                <c:pt idx="67">
                  <c:v>3.6529411764705878E-10</c:v>
                </c:pt>
                <c:pt idx="68">
                  <c:v>3.4823529411764707E-10</c:v>
                </c:pt>
                <c:pt idx="69">
                  <c:v>3.3882352941176471E-10</c:v>
                </c:pt>
                <c:pt idx="70">
                  <c:v>3.8588235294117642E-10</c:v>
                </c:pt>
                <c:pt idx="71">
                  <c:v>3.6588235294117644E-10</c:v>
                </c:pt>
                <c:pt idx="72">
                  <c:v>3.6E-10</c:v>
                </c:pt>
                <c:pt idx="73">
                  <c:v>3.6E-10</c:v>
                </c:pt>
                <c:pt idx="74">
                  <c:v>3.747058823529412E-10</c:v>
                </c:pt>
                <c:pt idx="75">
                  <c:v>3.3411764705882353E-10</c:v>
                </c:pt>
                <c:pt idx="76">
                  <c:v>3.68235294117647E-10</c:v>
                </c:pt>
                <c:pt idx="77">
                  <c:v>3.7000000000000001E-10</c:v>
                </c:pt>
                <c:pt idx="78">
                  <c:v>3.6411764705882352E-10</c:v>
                </c:pt>
                <c:pt idx="79">
                  <c:v>3.752941176470588E-10</c:v>
                </c:pt>
                <c:pt idx="80">
                  <c:v>3.370588235294118E-10</c:v>
                </c:pt>
                <c:pt idx="81">
                  <c:v>3.4470588235294114E-10</c:v>
                </c:pt>
                <c:pt idx="82">
                  <c:v>3.5823529411764698E-10</c:v>
                </c:pt>
                <c:pt idx="83">
                  <c:v>3.229411764705882E-10</c:v>
                </c:pt>
                <c:pt idx="84">
                  <c:v>3.3235294117647056E-10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0625256"/>
        <c:axId val="550622120"/>
        <c:axId val="277013256"/>
      </c:line3DChart>
      <c:catAx>
        <c:axId val="550625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Electrode Plate</a:t>
                </a:r>
                <a:r>
                  <a:rPr lang="en-GB" baseline="0"/>
                  <a:t> Surface Area (cm^2)</a:t>
                </a:r>
                <a:endParaRPr lang="en-GB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550622120"/>
        <c:crosses val="autoZero"/>
        <c:auto val="1"/>
        <c:lblAlgn val="ctr"/>
        <c:lblOffset val="100"/>
        <c:noMultiLvlLbl val="0"/>
      </c:catAx>
      <c:valAx>
        <c:axId val="550622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Fall Capacitancwce</a:t>
                </a:r>
                <a:r>
                  <a:rPr lang="en-GB" baseline="0"/>
                  <a:t> (F)</a:t>
                </a:r>
                <a:endParaRPr lang="en-GB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50625256"/>
        <c:crosses val="autoZero"/>
        <c:crossBetween val="between"/>
      </c:valAx>
      <c:serAx>
        <c:axId val="277013256"/>
        <c:scaling>
          <c:orientation val="minMax"/>
        </c:scaling>
        <c:delete val="1"/>
        <c:axPos val="b"/>
        <c:majorTickMark val="out"/>
        <c:minorTickMark val="none"/>
        <c:tickLblPos val="nextTo"/>
        <c:crossAx val="550622120"/>
        <c:crosses val="autoZero"/>
      </c:ser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44685039370077"/>
          <c:y val="9.7696850393700782E-2"/>
          <c:w val="0.69330402449693784"/>
          <c:h val="0.73444808982210552"/>
        </c:manualLayout>
      </c:layout>
      <c:lineChart>
        <c:grouping val="standard"/>
        <c:varyColors val="0"/>
        <c:ser>
          <c:idx val="0"/>
          <c:order val="0"/>
          <c:tx>
            <c:v>Average nominal proximity detection distance </c:v>
          </c:tx>
          <c:trendline>
            <c:trendlineType val="linear"/>
            <c:dispRSqr val="0"/>
            <c:dispEq val="0"/>
          </c:trendline>
          <c:errBars>
            <c:errDir val="y"/>
            <c:errBarType val="both"/>
            <c:errValType val="percentage"/>
            <c:noEndCap val="0"/>
            <c:val val="5"/>
          </c:errBars>
          <c:cat>
            <c:numRef>
              <c:f>'Compiled Average Results'!$E$7:$E$19</c:f>
              <c:numCache>
                <c:formatCode>General</c:formatCode>
                <c:ptCount val="13"/>
                <c:pt idx="0">
                  <c:v>16</c:v>
                </c:pt>
                <c:pt idx="1">
                  <c:v>25</c:v>
                </c:pt>
                <c:pt idx="2">
                  <c:v>36</c:v>
                </c:pt>
                <c:pt idx="3">
                  <c:v>49</c:v>
                </c:pt>
                <c:pt idx="4">
                  <c:v>64</c:v>
                </c:pt>
                <c:pt idx="5">
                  <c:v>81</c:v>
                </c:pt>
                <c:pt idx="6">
                  <c:v>100</c:v>
                </c:pt>
                <c:pt idx="7">
                  <c:v>121</c:v>
                </c:pt>
                <c:pt idx="8">
                  <c:v>144</c:v>
                </c:pt>
                <c:pt idx="9">
                  <c:v>169</c:v>
                </c:pt>
                <c:pt idx="10">
                  <c:v>196</c:v>
                </c:pt>
                <c:pt idx="11">
                  <c:v>225</c:v>
                </c:pt>
                <c:pt idx="12">
                  <c:v>256</c:v>
                </c:pt>
              </c:numCache>
            </c:numRef>
          </c:cat>
          <c:val>
            <c:numRef>
              <c:f>'Compiled Average Results'!$F$7:$F$19</c:f>
              <c:numCache>
                <c:formatCode>General</c:formatCode>
                <c:ptCount val="13"/>
                <c:pt idx="0">
                  <c:v>2.8199999999999994</c:v>
                </c:pt>
                <c:pt idx="1">
                  <c:v>4.42</c:v>
                </c:pt>
                <c:pt idx="2">
                  <c:v>5.0600000000000005</c:v>
                </c:pt>
                <c:pt idx="3">
                  <c:v>5.64</c:v>
                </c:pt>
                <c:pt idx="4">
                  <c:v>6.62</c:v>
                </c:pt>
                <c:pt idx="5">
                  <c:v>9.24</c:v>
                </c:pt>
                <c:pt idx="6">
                  <c:v>10.7</c:v>
                </c:pt>
                <c:pt idx="7">
                  <c:v>12.4</c:v>
                </c:pt>
                <c:pt idx="8">
                  <c:v>11.4</c:v>
                </c:pt>
                <c:pt idx="9">
                  <c:v>10</c:v>
                </c:pt>
                <c:pt idx="10">
                  <c:v>15</c:v>
                </c:pt>
                <c:pt idx="11">
                  <c:v>3.5</c:v>
                </c:pt>
                <c:pt idx="12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626824"/>
        <c:axId val="550629176"/>
      </c:lineChart>
      <c:catAx>
        <c:axId val="550626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Electrode Surface Area (cm2)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550629176"/>
        <c:crosses val="autoZero"/>
        <c:auto val="1"/>
        <c:lblAlgn val="ctr"/>
        <c:lblOffset val="100"/>
        <c:noMultiLvlLbl val="0"/>
      </c:catAx>
      <c:valAx>
        <c:axId val="550629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Proximity Distance (cm)</a:t>
                </a:r>
              </a:p>
            </c:rich>
          </c:tx>
          <c:layout>
            <c:manualLayout>
              <c:xMode val="edge"/>
              <c:yMode val="edge"/>
              <c:x val="3.582458442694663E-2"/>
              <c:y val="0.1913075969670457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50626824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Average nominal proximity detection distance </c:v>
          </c:tx>
          <c:trendline>
            <c:trendlineType val="linear"/>
            <c:forward val="2"/>
            <c:dispRSqr val="0"/>
            <c:dispEq val="0"/>
          </c:trendline>
          <c:errBars>
            <c:errDir val="y"/>
            <c:errBarType val="both"/>
            <c:errValType val="stdErr"/>
            <c:noEndCap val="0"/>
          </c:errBars>
          <c:cat>
            <c:numRef>
              <c:f>'Compiled Average Results'!$E$7:$E$19</c:f>
              <c:numCache>
                <c:formatCode>General</c:formatCode>
                <c:ptCount val="13"/>
                <c:pt idx="0">
                  <c:v>16</c:v>
                </c:pt>
                <c:pt idx="1">
                  <c:v>25</c:v>
                </c:pt>
                <c:pt idx="2">
                  <c:v>36</c:v>
                </c:pt>
                <c:pt idx="3">
                  <c:v>49</c:v>
                </c:pt>
                <c:pt idx="4">
                  <c:v>64</c:v>
                </c:pt>
                <c:pt idx="5">
                  <c:v>81</c:v>
                </c:pt>
                <c:pt idx="6">
                  <c:v>100</c:v>
                </c:pt>
                <c:pt idx="7">
                  <c:v>121</c:v>
                </c:pt>
                <c:pt idx="8">
                  <c:v>144</c:v>
                </c:pt>
                <c:pt idx="9">
                  <c:v>169</c:v>
                </c:pt>
                <c:pt idx="10">
                  <c:v>196</c:v>
                </c:pt>
                <c:pt idx="11">
                  <c:v>225</c:v>
                </c:pt>
                <c:pt idx="12">
                  <c:v>256</c:v>
                </c:pt>
              </c:numCache>
            </c:numRef>
          </c:cat>
          <c:val>
            <c:numRef>
              <c:f>'Compiled Average Results'!$F$7:$F$19</c:f>
              <c:numCache>
                <c:formatCode>General</c:formatCode>
                <c:ptCount val="13"/>
                <c:pt idx="0">
                  <c:v>2.8199999999999994</c:v>
                </c:pt>
                <c:pt idx="1">
                  <c:v>4.42</c:v>
                </c:pt>
                <c:pt idx="2">
                  <c:v>5.0600000000000005</c:v>
                </c:pt>
                <c:pt idx="3">
                  <c:v>5.64</c:v>
                </c:pt>
                <c:pt idx="4">
                  <c:v>6.62</c:v>
                </c:pt>
                <c:pt idx="5">
                  <c:v>9.24</c:v>
                </c:pt>
                <c:pt idx="6">
                  <c:v>10.7</c:v>
                </c:pt>
                <c:pt idx="7">
                  <c:v>12.4</c:v>
                </c:pt>
                <c:pt idx="8">
                  <c:v>11.4</c:v>
                </c:pt>
                <c:pt idx="9">
                  <c:v>10</c:v>
                </c:pt>
                <c:pt idx="10">
                  <c:v>15</c:v>
                </c:pt>
                <c:pt idx="11">
                  <c:v>3.5</c:v>
                </c:pt>
                <c:pt idx="12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634664"/>
        <c:axId val="550635840"/>
      </c:lineChart>
      <c:catAx>
        <c:axId val="550634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Electrode Surface Area (cm2)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50635840"/>
        <c:crosses val="autoZero"/>
        <c:auto val="1"/>
        <c:lblAlgn val="ctr"/>
        <c:lblOffset val="100"/>
        <c:noMultiLvlLbl val="0"/>
      </c:catAx>
      <c:valAx>
        <c:axId val="5506358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Proximity Distance (cm)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5063466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90</xdr:row>
      <xdr:rowOff>66674</xdr:rowOff>
    </xdr:from>
    <xdr:to>
      <xdr:col>8</xdr:col>
      <xdr:colOff>704850</xdr:colOff>
      <xdr:row>116</xdr:row>
      <xdr:rowOff>76200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90</xdr:row>
      <xdr:rowOff>47624</xdr:rowOff>
    </xdr:from>
    <xdr:to>
      <xdr:col>19</xdr:col>
      <xdr:colOff>381000</xdr:colOff>
      <xdr:row>116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119</xdr:row>
      <xdr:rowOff>142874</xdr:rowOff>
    </xdr:from>
    <xdr:to>
      <xdr:col>10</xdr:col>
      <xdr:colOff>266700</xdr:colOff>
      <xdr:row>153</xdr:row>
      <xdr:rowOff>114300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704850</xdr:colOff>
      <xdr:row>120</xdr:row>
      <xdr:rowOff>9524</xdr:rowOff>
    </xdr:from>
    <xdr:to>
      <xdr:col>26</xdr:col>
      <xdr:colOff>76200</xdr:colOff>
      <xdr:row>147</xdr:row>
      <xdr:rowOff>76200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85724</xdr:colOff>
      <xdr:row>22</xdr:row>
      <xdr:rowOff>33336</xdr:rowOff>
    </xdr:from>
    <xdr:to>
      <xdr:col>5</xdr:col>
      <xdr:colOff>2828925</xdr:colOff>
      <xdr:row>39</xdr:row>
      <xdr:rowOff>47625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257175</xdr:colOff>
      <xdr:row>25</xdr:row>
      <xdr:rowOff>71437</xdr:rowOff>
    </xdr:from>
    <xdr:to>
      <xdr:col>16</xdr:col>
      <xdr:colOff>561975</xdr:colOff>
      <xdr:row>39</xdr:row>
      <xdr:rowOff>147637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tabSelected="1" zoomScale="50" zoomScaleNormal="50" workbookViewId="0">
      <selection activeCell="B25" sqref="B25"/>
    </sheetView>
  </sheetViews>
  <sheetFormatPr defaultColWidth="8.85546875" defaultRowHeight="15" x14ac:dyDescent="0.25"/>
  <cols>
    <col min="1" max="1" width="33.42578125" bestFit="1" customWidth="1"/>
    <col min="2" max="2" width="36.140625" bestFit="1" customWidth="1"/>
    <col min="3" max="3" width="14.28515625" bestFit="1" customWidth="1"/>
    <col min="4" max="4" width="13.42578125" bestFit="1" customWidth="1"/>
    <col min="5" max="5" width="12.85546875" bestFit="1" customWidth="1"/>
    <col min="6" max="6" width="21" bestFit="1" customWidth="1"/>
    <col min="7" max="7" width="20.7109375" bestFit="1" customWidth="1"/>
    <col min="8" max="8" width="9.5703125" bestFit="1" customWidth="1"/>
    <col min="9" max="9" width="13" bestFit="1" customWidth="1"/>
    <col min="10" max="10" width="12.7109375" bestFit="1" customWidth="1"/>
    <col min="11" max="11" width="21" bestFit="1" customWidth="1"/>
    <col min="12" max="12" width="20.7109375" bestFit="1" customWidth="1"/>
    <col min="13" max="13" width="9.5703125" bestFit="1" customWidth="1"/>
    <col min="14" max="14" width="13" bestFit="1" customWidth="1"/>
    <col min="15" max="15" width="13.85546875" bestFit="1" customWidth="1"/>
    <col min="16" max="16" width="21" bestFit="1" customWidth="1"/>
    <col min="17" max="17" width="20.7109375" bestFit="1" customWidth="1"/>
  </cols>
  <sheetData>
    <row r="1" spans="1:17" x14ac:dyDescent="0.25">
      <c r="A1" s="31" t="s">
        <v>0</v>
      </c>
      <c r="B1" s="32" t="s">
        <v>5</v>
      </c>
      <c r="C1" s="28" t="s">
        <v>1</v>
      </c>
      <c r="D1" s="29"/>
      <c r="E1" s="29"/>
      <c r="F1" s="29"/>
      <c r="G1" s="30"/>
      <c r="H1" s="28" t="s">
        <v>2</v>
      </c>
      <c r="I1" s="29"/>
      <c r="J1" s="29"/>
      <c r="K1" s="29"/>
      <c r="L1" s="30"/>
      <c r="M1" s="28" t="s">
        <v>3</v>
      </c>
      <c r="N1" s="29"/>
      <c r="O1" s="29"/>
      <c r="P1" s="29"/>
      <c r="Q1" s="30"/>
    </row>
    <row r="2" spans="1:17" x14ac:dyDescent="0.25">
      <c r="A2" s="31"/>
      <c r="B2" s="33"/>
      <c r="C2" s="3" t="s">
        <v>4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4</v>
      </c>
      <c r="I2" s="3" t="s">
        <v>6</v>
      </c>
      <c r="J2" s="3" t="s">
        <v>7</v>
      </c>
      <c r="K2" s="3" t="s">
        <v>8</v>
      </c>
      <c r="L2" s="3" t="s">
        <v>9</v>
      </c>
      <c r="M2" s="3" t="s">
        <v>4</v>
      </c>
      <c r="N2" s="3" t="s">
        <v>6</v>
      </c>
      <c r="O2" s="3" t="s">
        <v>7</v>
      </c>
      <c r="P2" s="3" t="s">
        <v>8</v>
      </c>
      <c r="Q2" s="1" t="s">
        <v>9</v>
      </c>
    </row>
    <row r="3" spans="1:17" x14ac:dyDescent="0.2">
      <c r="A3" s="2">
        <v>0.5</v>
      </c>
      <c r="B3" s="5">
        <v>1</v>
      </c>
      <c r="C3">
        <v>4.12</v>
      </c>
      <c r="D3">
        <f>200*(10^(-9))</f>
        <v>2.0000000000000002E-7</v>
      </c>
      <c r="E3">
        <f>1.48*(10^(-6))</f>
        <v>1.48E-6</v>
      </c>
      <c r="F3">
        <f>(D3/5)/(6.8*10^3)</f>
        <v>5.8823529411764704E-12</v>
      </c>
      <c r="G3" s="5">
        <f>(E3/5)/(6.8*10^3)</f>
        <v>4.3529411764705884E-11</v>
      </c>
      <c r="H3">
        <v>4.16</v>
      </c>
      <c r="I3">
        <f>260*(10^-9)</f>
        <v>2.6E-7</v>
      </c>
      <c r="J3">
        <f>1.54*(10^-6)</f>
        <v>1.5399999999999999E-6</v>
      </c>
      <c r="K3">
        <f t="shared" ref="K3:L17" si="0">(I3/5)/(6.8*10^3)</f>
        <v>7.6470588235294119E-12</v>
      </c>
      <c r="L3" s="2">
        <f t="shared" si="0"/>
        <v>4.5294117647058814E-11</v>
      </c>
      <c r="M3">
        <v>4.08</v>
      </c>
      <c r="N3">
        <f>490*10^-9</f>
        <v>4.9000000000000007E-7</v>
      </c>
      <c r="O3">
        <f>2.26*10^-6</f>
        <v>2.2599999999999995E-6</v>
      </c>
      <c r="P3">
        <f>(N3/5)/(6.8*10^3)</f>
        <v>1.4411764705882355E-11</v>
      </c>
      <c r="Q3" s="5">
        <f>(O3/5)/(6.8*10^3)</f>
        <v>6.6470588235294105E-11</v>
      </c>
    </row>
    <row r="4" spans="1:17" x14ac:dyDescent="0.2">
      <c r="A4" s="2">
        <v>0.5</v>
      </c>
      <c r="B4" s="2">
        <v>1</v>
      </c>
      <c r="C4">
        <v>4.12</v>
      </c>
      <c r="D4">
        <f>240*(10^(-9))</f>
        <v>2.4000000000000003E-7</v>
      </c>
      <c r="E4">
        <f>1.5*(10^(-6))</f>
        <v>1.5E-6</v>
      </c>
      <c r="F4">
        <f t="shared" ref="F4:F7" si="1">(D4/5)/(6.8*10^3)</f>
        <v>7.0588235294117658E-12</v>
      </c>
      <c r="G4" s="2">
        <f>(E4/5)/(6.8*10^3)</f>
        <v>4.4117647058823525E-11</v>
      </c>
      <c r="H4">
        <v>4.16</v>
      </c>
      <c r="I4">
        <f t="shared" ref="I4:I7" si="2">260*(10^-9)</f>
        <v>2.6E-7</v>
      </c>
      <c r="J4">
        <f>1.52*(10^-6)</f>
        <v>1.5199999999999998E-6</v>
      </c>
      <c r="K4">
        <f t="shared" si="0"/>
        <v>7.6470588235294119E-12</v>
      </c>
      <c r="L4" s="2">
        <f t="shared" si="0"/>
        <v>4.4705882352941173E-11</v>
      </c>
      <c r="M4">
        <v>4.08</v>
      </c>
      <c r="N4">
        <f>510*10^-9</f>
        <v>5.0999999999999999E-7</v>
      </c>
      <c r="O4">
        <f>2.22*10^-6</f>
        <v>2.2199999999999999E-6</v>
      </c>
      <c r="P4">
        <f t="shared" ref="P4:P7" si="3">(N4/5)/(6.8*10^3)</f>
        <v>1.5E-11</v>
      </c>
      <c r="Q4" s="2">
        <f t="shared" ref="Q4:Q7" si="4">(O4/5)/(6.8*10^3)</f>
        <v>6.5294117647058822E-11</v>
      </c>
    </row>
    <row r="5" spans="1:17" x14ac:dyDescent="0.2">
      <c r="A5" s="2">
        <v>0.5</v>
      </c>
      <c r="B5" s="2">
        <v>1</v>
      </c>
      <c r="C5">
        <v>4.12</v>
      </c>
      <c r="D5">
        <f>240*(10^(-9))</f>
        <v>2.4000000000000003E-7</v>
      </c>
      <c r="E5">
        <f>1.56*(10^(-6))</f>
        <v>1.5599999999999999E-6</v>
      </c>
      <c r="F5">
        <f t="shared" si="1"/>
        <v>7.0588235294117658E-12</v>
      </c>
      <c r="G5" s="2">
        <f>(E5/5)/(6.8*10^3)</f>
        <v>4.5882352941176468E-11</v>
      </c>
      <c r="H5">
        <v>4.16</v>
      </c>
      <c r="I5">
        <f t="shared" si="2"/>
        <v>2.6E-7</v>
      </c>
      <c r="J5">
        <f>1.52*(10^-6)</f>
        <v>1.5199999999999998E-6</v>
      </c>
      <c r="K5">
        <f t="shared" si="0"/>
        <v>7.6470588235294119E-12</v>
      </c>
      <c r="L5" s="2">
        <f t="shared" si="0"/>
        <v>4.4705882352941173E-11</v>
      </c>
      <c r="M5">
        <v>4.08</v>
      </c>
      <c r="N5">
        <f>520*10^-9</f>
        <v>5.2E-7</v>
      </c>
      <c r="O5">
        <f>2.28*10^-6</f>
        <v>2.2799999999999998E-6</v>
      </c>
      <c r="P5">
        <f t="shared" si="3"/>
        <v>1.5294117647058824E-11</v>
      </c>
      <c r="Q5" s="2">
        <f t="shared" si="4"/>
        <v>6.7058823529411759E-11</v>
      </c>
    </row>
    <row r="6" spans="1:17" x14ac:dyDescent="0.2">
      <c r="A6" s="2">
        <v>0.5</v>
      </c>
      <c r="B6" s="2">
        <v>1</v>
      </c>
      <c r="C6">
        <v>4.12</v>
      </c>
      <c r="D6">
        <f>220*(10^(-9))</f>
        <v>2.2000000000000001E-7</v>
      </c>
      <c r="E6">
        <f>1.49*(10^(-6))</f>
        <v>1.4899999999999999E-6</v>
      </c>
      <c r="F6">
        <f t="shared" si="1"/>
        <v>6.4705882352941181E-12</v>
      </c>
      <c r="G6" s="2">
        <f>(E6/5)/(6.8*10^3)</f>
        <v>4.3823529411764704E-11</v>
      </c>
      <c r="H6">
        <v>4.16</v>
      </c>
      <c r="I6">
        <f t="shared" si="2"/>
        <v>2.6E-7</v>
      </c>
      <c r="J6">
        <f>1.54*(10^-6)</f>
        <v>1.5399999999999999E-6</v>
      </c>
      <c r="K6">
        <f t="shared" si="0"/>
        <v>7.6470588235294119E-12</v>
      </c>
      <c r="L6" s="2">
        <f t="shared" si="0"/>
        <v>4.5294117647058814E-11</v>
      </c>
      <c r="M6">
        <v>4.08</v>
      </c>
      <c r="N6">
        <f>540*10^-9</f>
        <v>5.4000000000000002E-7</v>
      </c>
      <c r="O6">
        <f>2.2*10^-6</f>
        <v>2.2000000000000001E-6</v>
      </c>
      <c r="P6">
        <f t="shared" si="3"/>
        <v>1.5882352941176471E-11</v>
      </c>
      <c r="Q6" s="2">
        <f t="shared" si="4"/>
        <v>6.4705882352941181E-11</v>
      </c>
    </row>
    <row r="7" spans="1:17" x14ac:dyDescent="0.2">
      <c r="A7" s="6">
        <v>0.5</v>
      </c>
      <c r="B7" s="6">
        <v>1</v>
      </c>
      <c r="C7" s="4">
        <v>4.12</v>
      </c>
      <c r="D7" s="4">
        <f>250*(10^(-9))</f>
        <v>2.5000000000000004E-7</v>
      </c>
      <c r="E7" s="4">
        <f>1.52*(10^(-6))</f>
        <v>1.5199999999999998E-6</v>
      </c>
      <c r="F7" s="4">
        <f t="shared" si="1"/>
        <v>7.3529411764705896E-12</v>
      </c>
      <c r="G7" s="6">
        <f>(E7/5)/(6.8*10^3)</f>
        <v>4.4705882352941173E-11</v>
      </c>
      <c r="H7" s="14">
        <v>4.16</v>
      </c>
      <c r="I7" s="4">
        <f t="shared" si="2"/>
        <v>2.6E-7</v>
      </c>
      <c r="J7" s="4">
        <f>1.54*(10^-6)</f>
        <v>1.5399999999999999E-6</v>
      </c>
      <c r="K7" s="4">
        <f t="shared" si="0"/>
        <v>7.6470588235294119E-12</v>
      </c>
      <c r="L7" s="6">
        <f t="shared" si="0"/>
        <v>4.5294117647058814E-11</v>
      </c>
      <c r="M7" s="4">
        <v>4.08</v>
      </c>
      <c r="N7" s="4">
        <f>530*10^-9</f>
        <v>5.3000000000000001E-7</v>
      </c>
      <c r="O7" s="4">
        <f>2.34*10^-6</f>
        <v>2.3399999999999996E-6</v>
      </c>
      <c r="P7" s="4">
        <f t="shared" si="3"/>
        <v>1.5588235294117648E-11</v>
      </c>
      <c r="Q7" s="6">
        <f t="shared" si="4"/>
        <v>6.8823529411764696E-11</v>
      </c>
    </row>
    <row r="8" spans="1:17" x14ac:dyDescent="0.2">
      <c r="A8" s="8">
        <v>1</v>
      </c>
      <c r="B8" s="10">
        <v>0.5</v>
      </c>
      <c r="C8" s="15">
        <v>4.12</v>
      </c>
      <c r="D8" s="15">
        <f>200*10^-9</f>
        <v>2.0000000000000002E-7</v>
      </c>
      <c r="E8">
        <f>1.48*10^-6</f>
        <v>1.48E-6</v>
      </c>
      <c r="F8" s="15">
        <f>(D8/5)/(6.8*10^3)</f>
        <v>5.8823529411764704E-12</v>
      </c>
      <c r="G8" s="5">
        <f>(E8/5)/(6.8*10^3)</f>
        <v>4.3529411764705884E-11</v>
      </c>
      <c r="H8" s="15">
        <v>4.16</v>
      </c>
      <c r="I8" s="15">
        <f>250*10^-9</f>
        <v>2.5000000000000004E-7</v>
      </c>
      <c r="J8">
        <f>1.54*10^-6</f>
        <v>1.5399999999999999E-6</v>
      </c>
      <c r="K8" s="15">
        <f t="shared" si="0"/>
        <v>7.3529411764705896E-12</v>
      </c>
      <c r="L8" s="2">
        <f>(J8/5)/(6.8*10^3)</f>
        <v>4.5294117647058814E-11</v>
      </c>
      <c r="M8" s="15">
        <v>4.12</v>
      </c>
      <c r="N8">
        <f>310*10^-9</f>
        <v>3.1E-7</v>
      </c>
      <c r="O8">
        <f>1.84*10^-6</f>
        <v>1.84E-6</v>
      </c>
      <c r="P8" s="15">
        <f>(N8/5)/(6.8*10^3)</f>
        <v>9.1176470588235295E-12</v>
      </c>
      <c r="Q8" s="2">
        <f>(O8/5)/(6.8*10^3)</f>
        <v>5.4117647058823529E-11</v>
      </c>
    </row>
    <row r="9" spans="1:17" x14ac:dyDescent="0.2">
      <c r="A9" s="8">
        <v>1</v>
      </c>
      <c r="B9" s="11">
        <v>2.5</v>
      </c>
      <c r="C9" s="15">
        <v>4.12</v>
      </c>
      <c r="D9" s="15">
        <f>260*10^-9</f>
        <v>2.6E-7</v>
      </c>
      <c r="E9">
        <f>1.56*10^-9</f>
        <v>1.5600000000000002E-9</v>
      </c>
      <c r="F9" s="15">
        <f t="shared" ref="F9:F17" si="5">(D9/5)/(6.8*10^3)</f>
        <v>7.6470588235294119E-12</v>
      </c>
      <c r="G9" s="2">
        <f t="shared" ref="G9:G17" si="6">(E9/5)/(6.8*10^3)</f>
        <v>4.588235294117648E-14</v>
      </c>
      <c r="H9" s="15">
        <v>4.16</v>
      </c>
      <c r="I9" s="15">
        <f>260*10^-9</f>
        <v>2.6E-7</v>
      </c>
      <c r="J9">
        <f>1.62*10^-6</f>
        <v>1.6199999999999999E-6</v>
      </c>
      <c r="K9" s="15">
        <f t="shared" si="0"/>
        <v>7.6470588235294119E-12</v>
      </c>
      <c r="L9" s="2">
        <f t="shared" ref="L9:L17" si="7">(J9/5)/(6.8*10^3)</f>
        <v>4.7647058823529411E-11</v>
      </c>
      <c r="M9" s="15">
        <v>4.12</v>
      </c>
      <c r="N9">
        <f>290*10^-9</f>
        <v>2.9000000000000003E-7</v>
      </c>
      <c r="O9">
        <f>1.7*10^-6</f>
        <v>1.6999999999999998E-6</v>
      </c>
      <c r="P9" s="15">
        <f t="shared" ref="P9:P17" si="8">(N9/5)/(6.8*10^3)</f>
        <v>8.5294117647058834E-12</v>
      </c>
      <c r="Q9" s="2">
        <f t="shared" ref="Q9:Q17" si="9">(O9/5)/(6.8*10^3)</f>
        <v>4.9999999999999995E-11</v>
      </c>
    </row>
    <row r="10" spans="1:17" x14ac:dyDescent="0.2">
      <c r="A10" s="8">
        <v>1</v>
      </c>
      <c r="B10" s="11">
        <v>1</v>
      </c>
      <c r="C10" s="15">
        <v>4.12</v>
      </c>
      <c r="D10" s="15">
        <f>220*10^-9</f>
        <v>2.2000000000000001E-7</v>
      </c>
      <c r="E10">
        <f>1.49*10^-9</f>
        <v>1.49E-9</v>
      </c>
      <c r="F10" s="15">
        <f t="shared" si="5"/>
        <v>6.4705882352941181E-12</v>
      </c>
      <c r="G10" s="2">
        <f t="shared" si="6"/>
        <v>4.3823529411764704E-14</v>
      </c>
      <c r="H10" s="15">
        <v>4.16</v>
      </c>
      <c r="I10" s="15">
        <f t="shared" ref="I10:I12" si="10">260*10^-9</f>
        <v>2.6E-7</v>
      </c>
      <c r="J10">
        <f>1.58*10^-6</f>
        <v>1.5799999999999999E-6</v>
      </c>
      <c r="K10" s="15">
        <f t="shared" si="0"/>
        <v>7.6470588235294119E-12</v>
      </c>
      <c r="L10" s="2">
        <f t="shared" si="7"/>
        <v>4.6470588235294116E-11</v>
      </c>
      <c r="M10" s="15">
        <v>4.12</v>
      </c>
      <c r="N10">
        <f>320*10^-9</f>
        <v>3.2000000000000001E-7</v>
      </c>
      <c r="O10">
        <f>1.68*10^-6</f>
        <v>1.6799999999999998E-6</v>
      </c>
      <c r="P10" s="15">
        <f t="shared" si="8"/>
        <v>9.4117647058823533E-12</v>
      </c>
      <c r="Q10" s="2">
        <f t="shared" si="9"/>
        <v>4.9411764705882341E-11</v>
      </c>
    </row>
    <row r="11" spans="1:17" x14ac:dyDescent="0.2">
      <c r="A11" s="8">
        <v>1</v>
      </c>
      <c r="B11" s="11">
        <v>2</v>
      </c>
      <c r="C11" s="15">
        <v>4.12</v>
      </c>
      <c r="D11" s="15">
        <f>240*10^-9</f>
        <v>2.4000000000000003E-7</v>
      </c>
      <c r="E11">
        <f>1.52*10^-9</f>
        <v>1.5200000000000001E-9</v>
      </c>
      <c r="F11" s="15">
        <f t="shared" si="5"/>
        <v>7.0588235294117658E-12</v>
      </c>
      <c r="G11" s="2">
        <f t="shared" si="6"/>
        <v>4.4705882352941181E-14</v>
      </c>
      <c r="H11" s="15">
        <v>4.16</v>
      </c>
      <c r="I11" s="15">
        <f t="shared" si="10"/>
        <v>2.6E-7</v>
      </c>
      <c r="J11">
        <f>1.58*10^-6</f>
        <v>1.5799999999999999E-6</v>
      </c>
      <c r="K11" s="15">
        <f t="shared" si="0"/>
        <v>7.6470588235294119E-12</v>
      </c>
      <c r="L11" s="2">
        <f t="shared" si="7"/>
        <v>4.6470588235294116E-11</v>
      </c>
      <c r="M11" s="15">
        <v>4.12</v>
      </c>
      <c r="N11">
        <f>300*10^-9</f>
        <v>3.0000000000000004E-7</v>
      </c>
      <c r="O11">
        <f>1.64*10^-6</f>
        <v>1.6399999999999998E-6</v>
      </c>
      <c r="P11" s="15">
        <f t="shared" si="8"/>
        <v>8.8235294117647072E-12</v>
      </c>
      <c r="Q11" s="2">
        <f t="shared" si="9"/>
        <v>4.8235294117647052E-11</v>
      </c>
    </row>
    <row r="12" spans="1:17" x14ac:dyDescent="0.2">
      <c r="A12" s="9">
        <v>1</v>
      </c>
      <c r="B12" s="12">
        <v>1.5</v>
      </c>
      <c r="C12" s="16">
        <v>4.12</v>
      </c>
      <c r="D12" s="4">
        <f>210*10^-9</f>
        <v>2.1E-7</v>
      </c>
      <c r="E12" s="4">
        <f>1.55*10^-9</f>
        <v>1.5500000000000002E-9</v>
      </c>
      <c r="F12" s="17">
        <f t="shared" si="5"/>
        <v>6.1764705882352943E-12</v>
      </c>
      <c r="G12" s="6">
        <f t="shared" si="6"/>
        <v>4.5588235294117657E-14</v>
      </c>
      <c r="H12" s="4">
        <v>4.16</v>
      </c>
      <c r="I12" s="17">
        <f t="shared" si="10"/>
        <v>2.6E-7</v>
      </c>
      <c r="J12" s="4">
        <f>1.54*10^-6</f>
        <v>1.5399999999999999E-6</v>
      </c>
      <c r="K12" s="17">
        <f t="shared" si="0"/>
        <v>7.6470588235294119E-12</v>
      </c>
      <c r="L12" s="6">
        <f t="shared" si="7"/>
        <v>4.5294117647058814E-11</v>
      </c>
      <c r="M12" s="4">
        <v>4.12</v>
      </c>
      <c r="N12" s="4">
        <f>350*10^-9</f>
        <v>3.5000000000000004E-7</v>
      </c>
      <c r="O12" s="4">
        <f>1.78*10^-6</f>
        <v>1.7799999999999999E-6</v>
      </c>
      <c r="P12" s="17">
        <f t="shared" si="8"/>
        <v>1.0294117647058825E-11</v>
      </c>
      <c r="Q12" s="6">
        <f t="shared" si="9"/>
        <v>5.235294117647058E-11</v>
      </c>
    </row>
    <row r="13" spans="1:17" x14ac:dyDescent="0.2">
      <c r="A13" s="8">
        <v>2</v>
      </c>
      <c r="B13" s="11">
        <v>1.5</v>
      </c>
      <c r="C13" s="15">
        <v>4.24</v>
      </c>
      <c r="D13">
        <f>2.6*10^-9</f>
        <v>2.6000000000000001E-9</v>
      </c>
      <c r="E13">
        <f>1.5*10^-6</f>
        <v>1.5E-6</v>
      </c>
      <c r="F13" s="15">
        <f t="shared" si="5"/>
        <v>7.6470588235294132E-14</v>
      </c>
      <c r="G13" s="2">
        <f t="shared" si="6"/>
        <v>4.4117647058823525E-11</v>
      </c>
      <c r="H13" s="15">
        <v>4.24</v>
      </c>
      <c r="I13" s="15">
        <f>280*10^-9</f>
        <v>2.8000000000000002E-7</v>
      </c>
      <c r="J13">
        <f>1.54*10^-6</f>
        <v>1.5399999999999999E-6</v>
      </c>
      <c r="K13" s="15">
        <f t="shared" si="0"/>
        <v>8.2352941176470596E-12</v>
      </c>
      <c r="L13" s="2">
        <f t="shared" si="7"/>
        <v>4.5294117647058814E-11</v>
      </c>
      <c r="M13" s="15">
        <v>4</v>
      </c>
      <c r="N13">
        <f>900*10^-9</f>
        <v>9.0000000000000007E-7</v>
      </c>
      <c r="O13">
        <f>1.56*10^-6</f>
        <v>1.5599999999999999E-6</v>
      </c>
      <c r="P13" s="15">
        <f t="shared" si="8"/>
        <v>2.647058823529412E-11</v>
      </c>
      <c r="Q13" s="2">
        <f t="shared" si="9"/>
        <v>4.5882352941176468E-11</v>
      </c>
    </row>
    <row r="14" spans="1:17" x14ac:dyDescent="0.2">
      <c r="A14" s="8">
        <v>2</v>
      </c>
      <c r="B14" s="11">
        <v>2</v>
      </c>
      <c r="C14" s="15">
        <v>4.24</v>
      </c>
      <c r="D14">
        <f>2.7*10^-9</f>
        <v>2.7000000000000002E-9</v>
      </c>
      <c r="E14">
        <f>1.48*10^-6</f>
        <v>1.48E-6</v>
      </c>
      <c r="F14" s="15">
        <f t="shared" si="5"/>
        <v>7.9411764705882353E-14</v>
      </c>
      <c r="G14" s="2">
        <f t="shared" si="6"/>
        <v>4.3529411764705884E-11</v>
      </c>
      <c r="H14" s="15">
        <v>4.24</v>
      </c>
      <c r="I14" s="15">
        <f>300*10^-9</f>
        <v>3.0000000000000004E-7</v>
      </c>
      <c r="J14">
        <f>1.62*10^-6</f>
        <v>1.6199999999999999E-6</v>
      </c>
      <c r="K14" s="15">
        <f t="shared" si="0"/>
        <v>8.8235294117647072E-12</v>
      </c>
      <c r="L14" s="2">
        <f t="shared" si="7"/>
        <v>4.7647058823529411E-11</v>
      </c>
      <c r="M14" s="15">
        <v>4.04</v>
      </c>
      <c r="N14">
        <f>850*10^-9</f>
        <v>8.5000000000000001E-7</v>
      </c>
      <c r="O14">
        <f t="shared" ref="O14:O15" si="11">1.56*10^-6</f>
        <v>1.5599999999999999E-6</v>
      </c>
      <c r="P14" s="15">
        <f t="shared" si="8"/>
        <v>2.5000000000000001E-11</v>
      </c>
      <c r="Q14" s="2">
        <f t="shared" si="9"/>
        <v>4.5882352941176468E-11</v>
      </c>
    </row>
    <row r="15" spans="1:17" x14ac:dyDescent="0.2">
      <c r="A15" s="8">
        <v>2</v>
      </c>
      <c r="B15" s="11">
        <v>1.5</v>
      </c>
      <c r="C15" s="15">
        <v>4.24</v>
      </c>
      <c r="D15">
        <f>2.7*10^-9</f>
        <v>2.7000000000000002E-9</v>
      </c>
      <c r="E15">
        <f>1.5*10^-6</f>
        <v>1.5E-6</v>
      </c>
      <c r="F15" s="15">
        <f t="shared" si="5"/>
        <v>7.9411764705882353E-14</v>
      </c>
      <c r="G15" s="2">
        <f t="shared" si="6"/>
        <v>4.4117647058823525E-11</v>
      </c>
      <c r="H15" s="15">
        <v>4.24</v>
      </c>
      <c r="I15" s="15">
        <f t="shared" ref="I15:I17" si="12">280*10^-9</f>
        <v>2.8000000000000002E-7</v>
      </c>
      <c r="J15">
        <f>1.58*10^-6</f>
        <v>1.5799999999999999E-6</v>
      </c>
      <c r="K15" s="15">
        <f t="shared" si="0"/>
        <v>8.2352941176470596E-12</v>
      </c>
      <c r="L15" s="2">
        <f t="shared" si="7"/>
        <v>4.6470588235294116E-11</v>
      </c>
      <c r="M15" s="15">
        <v>3.96</v>
      </c>
      <c r="N15">
        <f>960*10^-9</f>
        <v>9.6000000000000013E-7</v>
      </c>
      <c r="O15">
        <f t="shared" si="11"/>
        <v>1.5599999999999999E-6</v>
      </c>
      <c r="P15" s="15">
        <f t="shared" si="8"/>
        <v>2.8235294117647063E-11</v>
      </c>
      <c r="Q15" s="2">
        <f t="shared" si="9"/>
        <v>4.5882352941176468E-11</v>
      </c>
    </row>
    <row r="16" spans="1:17" x14ac:dyDescent="0.2">
      <c r="A16" s="8">
        <v>2</v>
      </c>
      <c r="B16" s="11">
        <v>2.1</v>
      </c>
      <c r="C16" s="15">
        <v>4.2</v>
      </c>
      <c r="D16">
        <f t="shared" ref="D16:D17" si="13">2.6*10^-9</f>
        <v>2.6000000000000001E-9</v>
      </c>
      <c r="E16">
        <f>1.5*10^-6</f>
        <v>1.5E-6</v>
      </c>
      <c r="F16" s="15">
        <f t="shared" si="5"/>
        <v>7.6470588235294132E-14</v>
      </c>
      <c r="G16" s="2">
        <f t="shared" si="6"/>
        <v>4.4117647058823525E-11</v>
      </c>
      <c r="H16" s="15">
        <v>4.24</v>
      </c>
      <c r="I16" s="15">
        <f t="shared" si="12"/>
        <v>2.8000000000000002E-7</v>
      </c>
      <c r="J16">
        <f>1.58*10^-6</f>
        <v>1.5799999999999999E-6</v>
      </c>
      <c r="K16" s="15">
        <f t="shared" si="0"/>
        <v>8.2352941176470596E-12</v>
      </c>
      <c r="L16" s="2">
        <f t="shared" si="7"/>
        <v>4.6470588235294116E-11</v>
      </c>
      <c r="M16" s="15">
        <v>3.92</v>
      </c>
      <c r="N16">
        <f>1.17*10^-6</f>
        <v>1.1699999999999998E-6</v>
      </c>
      <c r="O16">
        <f>1.54*10^-6</f>
        <v>1.5399999999999999E-6</v>
      </c>
      <c r="P16" s="15">
        <f t="shared" si="8"/>
        <v>3.4411764705882348E-11</v>
      </c>
      <c r="Q16" s="2">
        <f t="shared" si="9"/>
        <v>4.5294117647058814E-11</v>
      </c>
    </row>
    <row r="17" spans="1:17" x14ac:dyDescent="0.2">
      <c r="A17" s="9">
        <v>2</v>
      </c>
      <c r="B17" s="12">
        <v>1.6</v>
      </c>
      <c r="C17" s="16">
        <v>4.2</v>
      </c>
      <c r="D17" s="4">
        <f t="shared" si="13"/>
        <v>2.6000000000000001E-9</v>
      </c>
      <c r="E17" s="4">
        <f>1.52*10^-6</f>
        <v>1.5199999999999998E-6</v>
      </c>
      <c r="F17" s="17">
        <f t="shared" si="5"/>
        <v>7.6470588235294132E-14</v>
      </c>
      <c r="G17" s="6">
        <f t="shared" si="6"/>
        <v>4.4705882352941173E-11</v>
      </c>
      <c r="H17" s="17">
        <v>4.24</v>
      </c>
      <c r="I17" s="17">
        <f t="shared" si="12"/>
        <v>2.8000000000000002E-7</v>
      </c>
      <c r="J17" s="4">
        <f>1.54*10^-6</f>
        <v>1.5399999999999999E-6</v>
      </c>
      <c r="K17" s="17">
        <f t="shared" si="0"/>
        <v>8.2352941176470596E-12</v>
      </c>
      <c r="L17" s="6">
        <f t="shared" si="7"/>
        <v>4.5294117647058814E-11</v>
      </c>
      <c r="M17" s="16">
        <v>4</v>
      </c>
      <c r="N17" s="4">
        <f>1.02*10^-6</f>
        <v>1.02E-6</v>
      </c>
      <c r="O17" s="4">
        <f>1.6*10^-6</f>
        <v>1.5999999999999999E-6</v>
      </c>
      <c r="P17" s="17">
        <f t="shared" si="8"/>
        <v>3E-11</v>
      </c>
      <c r="Q17" s="6">
        <f t="shared" si="9"/>
        <v>4.7058823529411763E-11</v>
      </c>
    </row>
    <row r="18" spans="1:17" x14ac:dyDescent="0.2">
      <c r="A18" s="8">
        <v>3</v>
      </c>
      <c r="B18" s="18">
        <v>1</v>
      </c>
      <c r="C18" s="15">
        <v>4.12</v>
      </c>
      <c r="D18">
        <f>330*10^-9</f>
        <v>3.3000000000000002E-7</v>
      </c>
      <c r="E18">
        <f>1.48*10^-6</f>
        <v>1.48E-6</v>
      </c>
      <c r="F18" s="15">
        <f t="shared" ref="F18:G22" si="14">(D18/5)/(6.8*10^3)</f>
        <v>9.7058823529411772E-12</v>
      </c>
      <c r="G18" s="5">
        <f t="shared" si="14"/>
        <v>4.3529411764705884E-11</v>
      </c>
      <c r="H18" s="15">
        <v>4.12</v>
      </c>
      <c r="I18" s="15">
        <f>310*10^-9</f>
        <v>3.1E-7</v>
      </c>
      <c r="J18">
        <f>350*10^-9</f>
        <v>3.5000000000000004E-7</v>
      </c>
      <c r="K18" s="15">
        <f t="shared" ref="K18:L22" si="15">(I18/5)/(6.8*10^3)</f>
        <v>9.1176470588235295E-12</v>
      </c>
      <c r="L18" s="5">
        <f t="shared" si="15"/>
        <v>1.0294117647058825E-11</v>
      </c>
      <c r="M18" s="15">
        <v>3.56</v>
      </c>
      <c r="N18">
        <f>1.48*10^-6</f>
        <v>1.48E-6</v>
      </c>
      <c r="O18">
        <f>9.598*10^-6</f>
        <v>9.5980000000000003E-6</v>
      </c>
      <c r="P18" s="15">
        <f t="shared" ref="P18:Q33" si="16">(N18/5)/(6.8*10^3)</f>
        <v>4.3529411764705884E-11</v>
      </c>
      <c r="Q18" s="2">
        <f t="shared" si="16"/>
        <v>2.8229411764705886E-10</v>
      </c>
    </row>
    <row r="19" spans="1:17" x14ac:dyDescent="0.2">
      <c r="A19" s="8">
        <v>3</v>
      </c>
      <c r="B19" s="18">
        <v>1.5</v>
      </c>
      <c r="C19" s="15">
        <v>4.12</v>
      </c>
      <c r="D19">
        <f>350*10^-9</f>
        <v>3.5000000000000004E-7</v>
      </c>
      <c r="E19">
        <f>1.54*10^-6</f>
        <v>1.5399999999999999E-6</v>
      </c>
      <c r="F19" s="15">
        <f t="shared" si="14"/>
        <v>1.0294117647058825E-11</v>
      </c>
      <c r="G19" s="2">
        <f t="shared" si="14"/>
        <v>4.5294117647058814E-11</v>
      </c>
      <c r="H19" s="15">
        <v>4.12</v>
      </c>
      <c r="I19" s="15">
        <f t="shared" ref="I19:I22" si="17">310*10^-9</f>
        <v>3.1E-7</v>
      </c>
      <c r="J19">
        <f t="shared" ref="J19:J22" si="18">350*10^-9</f>
        <v>3.5000000000000004E-7</v>
      </c>
      <c r="K19" s="15">
        <f t="shared" si="15"/>
        <v>9.1176470588235295E-12</v>
      </c>
      <c r="L19" s="2">
        <f t="shared" si="15"/>
        <v>1.0294117647058825E-11</v>
      </c>
      <c r="M19" s="15">
        <v>3.6</v>
      </c>
      <c r="N19">
        <f>1.45*10^-6</f>
        <v>1.4499999999999999E-6</v>
      </c>
      <c r="O19">
        <f>9.848*10^-6</f>
        <v>9.8479999999999996E-6</v>
      </c>
      <c r="P19" s="15">
        <f t="shared" si="16"/>
        <v>4.2647058823529409E-11</v>
      </c>
      <c r="Q19" s="2">
        <f t="shared" si="16"/>
        <v>2.8964705882352936E-10</v>
      </c>
    </row>
    <row r="20" spans="1:17" x14ac:dyDescent="0.2">
      <c r="A20" s="8">
        <v>3</v>
      </c>
      <c r="B20" s="18">
        <v>1.8</v>
      </c>
      <c r="C20" s="15">
        <v>4.16</v>
      </c>
      <c r="D20">
        <f>340*10^-9</f>
        <v>3.4000000000000003E-7</v>
      </c>
      <c r="E20">
        <f>1.52*10^-6</f>
        <v>1.5199999999999998E-6</v>
      </c>
      <c r="F20" s="15">
        <f t="shared" si="14"/>
        <v>9.9999999999999994E-12</v>
      </c>
      <c r="G20" s="2">
        <f t="shared" si="14"/>
        <v>4.4705882352941173E-11</v>
      </c>
      <c r="H20" s="15">
        <v>4.12</v>
      </c>
      <c r="I20" s="15">
        <f t="shared" si="17"/>
        <v>3.1E-7</v>
      </c>
      <c r="J20">
        <f t="shared" si="18"/>
        <v>3.5000000000000004E-7</v>
      </c>
      <c r="K20" s="15">
        <f t="shared" si="15"/>
        <v>9.1176470588235295E-12</v>
      </c>
      <c r="L20" s="2">
        <f t="shared" si="15"/>
        <v>1.0294117647058825E-11</v>
      </c>
      <c r="M20" s="15">
        <v>3.56</v>
      </c>
      <c r="N20">
        <f>1.46*10^-6</f>
        <v>1.46E-6</v>
      </c>
      <c r="O20">
        <f>9.58*10^-6</f>
        <v>9.5799999999999998E-6</v>
      </c>
      <c r="P20" s="15">
        <f t="shared" si="16"/>
        <v>4.2941176470588236E-11</v>
      </c>
      <c r="Q20" s="2">
        <f t="shared" si="16"/>
        <v>2.8176470588235293E-10</v>
      </c>
    </row>
    <row r="21" spans="1:17" x14ac:dyDescent="0.2">
      <c r="A21" s="8">
        <v>3</v>
      </c>
      <c r="B21" s="18">
        <v>1.7</v>
      </c>
      <c r="C21" s="15">
        <v>4.12</v>
      </c>
      <c r="D21">
        <f>340*10^-9</f>
        <v>3.4000000000000003E-7</v>
      </c>
      <c r="E21">
        <f>1.44*10^-6</f>
        <v>1.44E-6</v>
      </c>
      <c r="F21" s="15">
        <f t="shared" si="14"/>
        <v>9.9999999999999994E-12</v>
      </c>
      <c r="G21" s="2">
        <f t="shared" si="14"/>
        <v>4.2352941176470588E-11</v>
      </c>
      <c r="H21" s="15">
        <v>4.12</v>
      </c>
      <c r="I21" s="15">
        <f t="shared" si="17"/>
        <v>3.1E-7</v>
      </c>
      <c r="J21">
        <f>360*10^-9</f>
        <v>3.6000000000000005E-7</v>
      </c>
      <c r="K21" s="15">
        <f t="shared" si="15"/>
        <v>9.1176470588235295E-12</v>
      </c>
      <c r="L21" s="2">
        <f t="shared" si="15"/>
        <v>1.0588235294117649E-11</v>
      </c>
      <c r="M21" s="15">
        <v>3.52</v>
      </c>
      <c r="N21">
        <f>1.46*10^-6</f>
        <v>1.46E-6</v>
      </c>
      <c r="O21">
        <f>10.18*10^-6</f>
        <v>1.0179999999999999E-5</v>
      </c>
      <c r="P21" s="15">
        <f t="shared" si="16"/>
        <v>4.2941176470588236E-11</v>
      </c>
      <c r="Q21" s="2">
        <f t="shared" si="16"/>
        <v>2.9941176470588229E-10</v>
      </c>
    </row>
    <row r="22" spans="1:17" x14ac:dyDescent="0.2">
      <c r="A22" s="9">
        <v>3</v>
      </c>
      <c r="B22" s="19">
        <v>2.2000000000000002</v>
      </c>
      <c r="C22" s="4">
        <v>4.12</v>
      </c>
      <c r="D22" s="4">
        <f>330*10^-9</f>
        <v>3.3000000000000002E-7</v>
      </c>
      <c r="E22" s="4">
        <f>1.48*10^-6</f>
        <v>1.48E-6</v>
      </c>
      <c r="F22" s="17">
        <f t="shared" si="14"/>
        <v>9.7058823529411772E-12</v>
      </c>
      <c r="G22" s="6">
        <f t="shared" si="14"/>
        <v>4.3529411764705884E-11</v>
      </c>
      <c r="H22" s="4">
        <v>4.12</v>
      </c>
      <c r="I22" s="17">
        <f t="shared" si="17"/>
        <v>3.1E-7</v>
      </c>
      <c r="J22" s="4">
        <f t="shared" si="18"/>
        <v>3.5000000000000004E-7</v>
      </c>
      <c r="K22" s="17">
        <f t="shared" si="15"/>
        <v>9.1176470588235295E-12</v>
      </c>
      <c r="L22" s="6">
        <f t="shared" si="15"/>
        <v>1.0294117647058825E-11</v>
      </c>
      <c r="M22" s="4">
        <v>3.56</v>
      </c>
      <c r="N22" s="4">
        <f>1.5*10^-6</f>
        <v>1.5E-6</v>
      </c>
      <c r="O22" s="4">
        <f>9.924*10^-6</f>
        <v>9.9239999999999985E-6</v>
      </c>
      <c r="P22" s="17">
        <f t="shared" si="16"/>
        <v>4.4117647058823525E-11</v>
      </c>
      <c r="Q22" s="6">
        <f t="shared" si="16"/>
        <v>2.9188235294117643E-10</v>
      </c>
    </row>
    <row r="23" spans="1:17" x14ac:dyDescent="0.2">
      <c r="A23" s="8">
        <v>4</v>
      </c>
      <c r="B23" s="10">
        <v>3</v>
      </c>
      <c r="C23" s="15">
        <v>4.16</v>
      </c>
      <c r="D23">
        <f>350*10^-9</f>
        <v>3.5000000000000004E-7</v>
      </c>
      <c r="E23">
        <f>1.448*10^-6</f>
        <v>1.4479999999999999E-6</v>
      </c>
      <c r="F23" s="15">
        <f t="shared" ref="F23:F86" si="19">(D23/5)/(6.8*10^3)</f>
        <v>1.0294117647058825E-11</v>
      </c>
      <c r="G23" s="2">
        <f t="shared" ref="G23:G86" si="20">(E23/5)/(6.8*10^3)</f>
        <v>4.2588235294117645E-11</v>
      </c>
      <c r="H23" s="13">
        <v>4.12</v>
      </c>
      <c r="I23">
        <f>310*10^-9</f>
        <v>3.1E-7</v>
      </c>
      <c r="J23" s="15">
        <f>1.56*10^-6</f>
        <v>1.5599999999999999E-6</v>
      </c>
      <c r="K23" s="15">
        <f t="shared" ref="K23:K86" si="21">(I23/5)/(6.8*10^3)</f>
        <v>9.1176470588235295E-12</v>
      </c>
      <c r="L23" s="2">
        <f t="shared" ref="L23:L86" si="22">(J23/5)/(6.8*10^3)</f>
        <v>4.5882352941176468E-11</v>
      </c>
      <c r="M23" s="15">
        <v>3.8</v>
      </c>
      <c r="N23">
        <f>1.53*10^-6</f>
        <v>1.53E-6</v>
      </c>
      <c r="O23">
        <f>7.76*10^-6</f>
        <v>7.7600000000000002E-6</v>
      </c>
      <c r="P23" s="15">
        <f t="shared" si="16"/>
        <v>4.5E-11</v>
      </c>
      <c r="Q23" s="7">
        <f t="shared" si="16"/>
        <v>2.2823529411764707E-10</v>
      </c>
    </row>
    <row r="24" spans="1:17" x14ac:dyDescent="0.2">
      <c r="A24" s="8">
        <v>4</v>
      </c>
      <c r="B24" s="11">
        <v>2.6</v>
      </c>
      <c r="C24" s="15">
        <v>4.16</v>
      </c>
      <c r="D24">
        <f>360*10^-9</f>
        <v>3.6000000000000005E-7</v>
      </c>
      <c r="E24">
        <f>1.48*10^-6</f>
        <v>1.48E-6</v>
      </c>
      <c r="F24" s="15">
        <f t="shared" si="19"/>
        <v>1.0588235294117649E-11</v>
      </c>
      <c r="G24" s="8">
        <f t="shared" si="20"/>
        <v>4.3529411764705884E-11</v>
      </c>
      <c r="H24" s="13">
        <v>4.12</v>
      </c>
      <c r="I24">
        <f>320*10^-9</f>
        <v>3.2000000000000001E-7</v>
      </c>
      <c r="J24" s="15">
        <f>1.52*10^-6</f>
        <v>1.5199999999999998E-6</v>
      </c>
      <c r="K24" s="15">
        <f t="shared" si="21"/>
        <v>9.4117647058823533E-12</v>
      </c>
      <c r="L24" s="2">
        <f t="shared" si="22"/>
        <v>4.4705882352941173E-11</v>
      </c>
      <c r="M24" s="15">
        <v>3.88</v>
      </c>
      <c r="N24">
        <f>1.46*10^-6</f>
        <v>1.46E-6</v>
      </c>
      <c r="O24">
        <f>7.06*10^-6</f>
        <v>7.0599999999999993E-6</v>
      </c>
      <c r="P24" s="15">
        <f t="shared" si="16"/>
        <v>4.2941176470588236E-11</v>
      </c>
      <c r="Q24" s="7">
        <f t="shared" si="16"/>
        <v>2.0764705882352938E-10</v>
      </c>
    </row>
    <row r="25" spans="1:17" x14ac:dyDescent="0.25">
      <c r="A25" s="8">
        <v>4</v>
      </c>
      <c r="B25" s="11">
        <v>2.5</v>
      </c>
      <c r="C25" s="15">
        <v>4.12</v>
      </c>
      <c r="D25">
        <f>360*10^-9</f>
        <v>3.6000000000000005E-7</v>
      </c>
      <c r="E25">
        <f>1.5*10^-6</f>
        <v>1.5E-6</v>
      </c>
      <c r="F25" s="15">
        <f t="shared" si="19"/>
        <v>1.0588235294117649E-11</v>
      </c>
      <c r="G25" s="8">
        <f t="shared" si="20"/>
        <v>4.4117647058823525E-11</v>
      </c>
      <c r="H25" s="13">
        <v>4.12</v>
      </c>
      <c r="I25">
        <f>310*10^-9</f>
        <v>3.1E-7</v>
      </c>
      <c r="J25" s="15">
        <f>1.54*10^-6</f>
        <v>1.5399999999999999E-6</v>
      </c>
      <c r="K25" s="15">
        <f t="shared" si="21"/>
        <v>9.1176470588235295E-12</v>
      </c>
      <c r="L25" s="2">
        <f t="shared" si="22"/>
        <v>4.5294117647058814E-11</v>
      </c>
      <c r="M25" s="15">
        <v>3.76</v>
      </c>
      <c r="N25">
        <f>1.41*10^-6</f>
        <v>1.4099999999999998E-6</v>
      </c>
      <c r="O25">
        <f>8.4*10^-6</f>
        <v>8.3999999999999992E-6</v>
      </c>
      <c r="P25" s="15">
        <f t="shared" si="16"/>
        <v>4.1470588235294114E-11</v>
      </c>
      <c r="Q25" s="7">
        <f t="shared" si="16"/>
        <v>2.4705882352941174E-10</v>
      </c>
    </row>
    <row r="26" spans="1:17" x14ac:dyDescent="0.25">
      <c r="A26" s="8">
        <v>4</v>
      </c>
      <c r="B26" s="11">
        <v>2.8</v>
      </c>
      <c r="C26" s="15">
        <v>4.16</v>
      </c>
      <c r="D26">
        <f t="shared" ref="D26:D27" si="23">350*10^-9</f>
        <v>3.5000000000000004E-7</v>
      </c>
      <c r="E26">
        <f>1.52*10^-6</f>
        <v>1.5199999999999998E-6</v>
      </c>
      <c r="F26" s="15">
        <f t="shared" si="19"/>
        <v>1.0294117647058825E-11</v>
      </c>
      <c r="G26" s="8">
        <f t="shared" si="20"/>
        <v>4.4705882352941173E-11</v>
      </c>
      <c r="H26" s="13">
        <v>4.12</v>
      </c>
      <c r="I26">
        <f>310*10^-9</f>
        <v>3.1E-7</v>
      </c>
      <c r="J26" s="15">
        <f>1.54*10^-6</f>
        <v>1.5399999999999999E-6</v>
      </c>
      <c r="K26" s="15">
        <f t="shared" si="21"/>
        <v>9.1176470588235295E-12</v>
      </c>
      <c r="L26" s="2">
        <f t="shared" si="22"/>
        <v>4.5294117647058814E-11</v>
      </c>
      <c r="M26" s="15">
        <v>3.72</v>
      </c>
      <c r="N26">
        <f>1.51*10^-6</f>
        <v>1.5099999999999999E-6</v>
      </c>
      <c r="O26">
        <f>8.36*10^-6</f>
        <v>8.3599999999999996E-6</v>
      </c>
      <c r="P26" s="15">
        <f t="shared" si="16"/>
        <v>4.4411764705882352E-11</v>
      </c>
      <c r="Q26" s="7">
        <f t="shared" si="16"/>
        <v>2.4588235294117644E-10</v>
      </c>
    </row>
    <row r="27" spans="1:17" x14ac:dyDescent="0.25">
      <c r="A27" s="9">
        <v>4</v>
      </c>
      <c r="B27" s="12">
        <v>3.2</v>
      </c>
      <c r="C27" s="4">
        <v>4.16</v>
      </c>
      <c r="D27" s="4">
        <f t="shared" si="23"/>
        <v>3.5000000000000004E-7</v>
      </c>
      <c r="E27" s="4">
        <f>1.52*10^-6</f>
        <v>1.5199999999999998E-6</v>
      </c>
      <c r="F27" s="17">
        <f t="shared" si="19"/>
        <v>1.0294117647058825E-11</v>
      </c>
      <c r="G27" s="6">
        <f t="shared" si="20"/>
        <v>4.4705882352941173E-11</v>
      </c>
      <c r="H27" s="4">
        <v>4.12</v>
      </c>
      <c r="I27" s="4">
        <f>320*10^-9</f>
        <v>3.2000000000000001E-7</v>
      </c>
      <c r="J27" s="17">
        <f>1.58*10^-6</f>
        <v>1.5799999999999999E-6</v>
      </c>
      <c r="K27" s="17">
        <f t="shared" si="21"/>
        <v>9.4117647058823533E-12</v>
      </c>
      <c r="L27" s="6">
        <f t="shared" si="22"/>
        <v>4.6470588235294116E-11</v>
      </c>
      <c r="M27" s="4">
        <v>3.76</v>
      </c>
      <c r="N27" s="4">
        <f>1.48*10^-6</f>
        <v>1.48E-6</v>
      </c>
      <c r="O27" s="4">
        <f>8.48*10^-6</f>
        <v>8.4800000000000001E-6</v>
      </c>
      <c r="P27" s="17">
        <f t="shared" si="16"/>
        <v>4.3529411764705884E-11</v>
      </c>
      <c r="Q27" s="6">
        <f t="shared" si="16"/>
        <v>2.4941176470588236E-10</v>
      </c>
    </row>
    <row r="28" spans="1:17" x14ac:dyDescent="0.25">
      <c r="A28" s="8">
        <v>5</v>
      </c>
      <c r="B28" s="18">
        <v>3.5</v>
      </c>
      <c r="C28" s="13">
        <v>4.16</v>
      </c>
      <c r="D28">
        <f>350*10^-9</f>
        <v>3.5000000000000004E-7</v>
      </c>
      <c r="E28">
        <f>1.44*10^-6</f>
        <v>1.44E-6</v>
      </c>
      <c r="F28" s="15">
        <f t="shared" si="19"/>
        <v>1.0294117647058825E-11</v>
      </c>
      <c r="G28" s="7">
        <f t="shared" si="20"/>
        <v>4.2352941176470588E-11</v>
      </c>
      <c r="H28" s="15">
        <v>4.12</v>
      </c>
      <c r="I28">
        <f>360*10^-9</f>
        <v>3.6000000000000005E-7</v>
      </c>
      <c r="J28">
        <f>1.54*10^-6</f>
        <v>1.5399999999999999E-6</v>
      </c>
      <c r="K28" s="15">
        <f t="shared" si="21"/>
        <v>1.0588235294117649E-11</v>
      </c>
      <c r="L28" s="7">
        <f t="shared" si="22"/>
        <v>4.5294117647058814E-11</v>
      </c>
      <c r="M28" s="15">
        <v>3.64</v>
      </c>
      <c r="N28">
        <f>1.52*10^-6</f>
        <v>1.5199999999999998E-6</v>
      </c>
      <c r="O28">
        <f>9.34*10^-6</f>
        <v>9.3399999999999987E-6</v>
      </c>
      <c r="P28" s="15">
        <f t="shared" si="16"/>
        <v>4.4705882352941173E-11</v>
      </c>
      <c r="Q28" s="7">
        <f t="shared" si="16"/>
        <v>2.7470588235294113E-10</v>
      </c>
    </row>
    <row r="29" spans="1:17" x14ac:dyDescent="0.25">
      <c r="A29" s="8">
        <v>5</v>
      </c>
      <c r="B29" s="18">
        <v>4.5</v>
      </c>
      <c r="C29" s="13">
        <v>4.16</v>
      </c>
      <c r="D29" s="13">
        <f>360*10^-9</f>
        <v>3.6000000000000005E-7</v>
      </c>
      <c r="E29" s="13">
        <v>1.5E-6</v>
      </c>
      <c r="F29" s="15">
        <f t="shared" si="19"/>
        <v>1.0588235294117649E-11</v>
      </c>
      <c r="G29" s="7">
        <f t="shared" si="20"/>
        <v>4.4117647058823525E-11</v>
      </c>
      <c r="H29" s="15">
        <v>4.12</v>
      </c>
      <c r="I29">
        <f>370*10^-9</f>
        <v>3.7E-7</v>
      </c>
      <c r="J29">
        <f>1.54*10^-6</f>
        <v>1.5399999999999999E-6</v>
      </c>
      <c r="K29" s="15">
        <f t="shared" si="21"/>
        <v>1.0882352941176471E-11</v>
      </c>
      <c r="L29" s="7">
        <f t="shared" si="22"/>
        <v>4.5294117647058814E-11</v>
      </c>
      <c r="M29" s="15">
        <v>3.68</v>
      </c>
      <c r="N29">
        <f>1.43*10^-6</f>
        <v>1.4299999999999999E-6</v>
      </c>
      <c r="O29">
        <f>9.48*10^-6</f>
        <v>9.4800000000000007E-6</v>
      </c>
      <c r="P29" s="15">
        <f t="shared" si="16"/>
        <v>4.2058823529411761E-11</v>
      </c>
      <c r="Q29" s="7">
        <f t="shared" si="16"/>
        <v>2.7882352941176471E-10</v>
      </c>
    </row>
    <row r="30" spans="1:17" x14ac:dyDescent="0.25">
      <c r="A30" s="8">
        <v>5</v>
      </c>
      <c r="B30" s="18">
        <v>4.5999999999999996</v>
      </c>
      <c r="C30" s="13">
        <v>4.16</v>
      </c>
      <c r="D30" s="21">
        <v>3.5999999999999999E-7</v>
      </c>
      <c r="E30" s="13">
        <f>1.48*10^-6</f>
        <v>1.48E-6</v>
      </c>
      <c r="F30" s="15">
        <f t="shared" si="19"/>
        <v>1.0588235294117647E-11</v>
      </c>
      <c r="G30" s="7">
        <f t="shared" si="20"/>
        <v>4.3529411764705884E-11</v>
      </c>
      <c r="H30" s="15">
        <v>4.12</v>
      </c>
      <c r="I30">
        <f>350*10^-9</f>
        <v>3.5000000000000004E-7</v>
      </c>
      <c r="J30">
        <f>1.56*10^-6</f>
        <v>1.5599999999999999E-6</v>
      </c>
      <c r="K30" s="15">
        <f t="shared" si="21"/>
        <v>1.0294117647058825E-11</v>
      </c>
      <c r="L30" s="7">
        <f t="shared" si="22"/>
        <v>4.5882352941176468E-11</v>
      </c>
      <c r="M30" s="15">
        <v>3.68</v>
      </c>
      <c r="N30">
        <f>1.42*10^-6</f>
        <v>1.42E-6</v>
      </c>
      <c r="O30">
        <f>9.36*10^-6</f>
        <v>9.3599999999999985E-6</v>
      </c>
      <c r="P30" s="15">
        <f t="shared" si="16"/>
        <v>4.1764705882352941E-11</v>
      </c>
      <c r="Q30" s="7">
        <f t="shared" si="16"/>
        <v>2.7529411764705878E-10</v>
      </c>
    </row>
    <row r="31" spans="1:17" x14ac:dyDescent="0.25">
      <c r="A31" s="8">
        <v>5</v>
      </c>
      <c r="B31" s="18">
        <v>4.8</v>
      </c>
      <c r="C31" s="13">
        <v>4.16</v>
      </c>
      <c r="D31" s="13">
        <f>350*10^-9</f>
        <v>3.5000000000000004E-7</v>
      </c>
      <c r="E31" s="21">
        <v>1.5E-6</v>
      </c>
      <c r="F31" s="15">
        <f t="shared" si="19"/>
        <v>1.0294117647058825E-11</v>
      </c>
      <c r="G31" s="7">
        <f t="shared" si="20"/>
        <v>4.4117647058823525E-11</v>
      </c>
      <c r="H31" s="15">
        <v>4.12</v>
      </c>
      <c r="I31">
        <f>350*10^-9</f>
        <v>3.5000000000000004E-7</v>
      </c>
      <c r="J31">
        <f>1.52*10^-6</f>
        <v>1.5199999999999998E-6</v>
      </c>
      <c r="K31" s="15">
        <f t="shared" si="21"/>
        <v>1.0294117647058825E-11</v>
      </c>
      <c r="L31" s="7">
        <f t="shared" si="22"/>
        <v>4.4705882352941173E-11</v>
      </c>
      <c r="M31" s="15">
        <v>3.64</v>
      </c>
      <c r="N31">
        <f>1.58*10^-6</f>
        <v>1.5799999999999999E-6</v>
      </c>
      <c r="O31">
        <f>8.54*10^-6</f>
        <v>8.5399999999999996E-6</v>
      </c>
      <c r="P31" s="15">
        <f t="shared" si="16"/>
        <v>4.6470588235294116E-11</v>
      </c>
      <c r="Q31" s="7">
        <f t="shared" si="16"/>
        <v>2.5117647058823527E-10</v>
      </c>
    </row>
    <row r="32" spans="1:17" x14ac:dyDescent="0.25">
      <c r="A32" s="9">
        <v>5</v>
      </c>
      <c r="B32" s="12">
        <v>4.7</v>
      </c>
      <c r="C32" s="4">
        <v>4.16</v>
      </c>
      <c r="D32" s="22">
        <v>3.5999999999999999E-7</v>
      </c>
      <c r="E32" s="4">
        <v>1.5E-6</v>
      </c>
      <c r="F32" s="17">
        <f t="shared" si="19"/>
        <v>1.0588235294117647E-11</v>
      </c>
      <c r="G32" s="6">
        <f t="shared" si="20"/>
        <v>4.4117647058823525E-11</v>
      </c>
      <c r="H32" s="16">
        <v>4.12</v>
      </c>
      <c r="I32" s="4">
        <f>340*10^-9</f>
        <v>3.4000000000000003E-7</v>
      </c>
      <c r="J32" s="4">
        <f>1.56*10^-6</f>
        <v>1.5599999999999999E-6</v>
      </c>
      <c r="K32" s="17">
        <f t="shared" si="21"/>
        <v>9.9999999999999994E-12</v>
      </c>
      <c r="L32" s="6">
        <f t="shared" si="22"/>
        <v>4.5882352941176468E-11</v>
      </c>
      <c r="M32" s="4">
        <v>3.76</v>
      </c>
      <c r="N32" s="4">
        <f>1.52*10^-6</f>
        <v>1.5199999999999998E-6</v>
      </c>
      <c r="O32" s="4">
        <f>8.76*10^-6</f>
        <v>8.7599999999999991E-6</v>
      </c>
      <c r="P32" s="17">
        <f t="shared" si="16"/>
        <v>4.4705882352941173E-11</v>
      </c>
      <c r="Q32" s="6">
        <f t="shared" si="16"/>
        <v>2.5764705882352942E-10</v>
      </c>
    </row>
    <row r="33" spans="1:17" x14ac:dyDescent="0.25">
      <c r="A33" s="8">
        <v>6</v>
      </c>
      <c r="B33" s="10">
        <v>4</v>
      </c>
      <c r="C33" s="15">
        <v>4.12</v>
      </c>
      <c r="D33">
        <f>360*10^-9</f>
        <v>3.6000000000000005E-7</v>
      </c>
      <c r="E33">
        <f>1.46*10^-6</f>
        <v>1.46E-6</v>
      </c>
      <c r="F33" s="15">
        <f t="shared" si="19"/>
        <v>1.0588235294117649E-11</v>
      </c>
      <c r="G33" s="7">
        <f t="shared" si="20"/>
        <v>4.2941176470588236E-11</v>
      </c>
      <c r="H33" s="15">
        <v>4.08</v>
      </c>
      <c r="I33" s="13">
        <f>380*10^-9</f>
        <v>3.8000000000000001E-7</v>
      </c>
      <c r="J33" s="13">
        <f>1.54*10^-6</f>
        <v>1.5399999999999999E-6</v>
      </c>
      <c r="K33" s="15">
        <f t="shared" si="21"/>
        <v>1.1176470588235295E-11</v>
      </c>
      <c r="L33" s="7">
        <f t="shared" si="22"/>
        <v>4.5294117647058814E-11</v>
      </c>
      <c r="M33" s="15">
        <v>3.4</v>
      </c>
      <c r="N33">
        <f>1.71*10^-6</f>
        <v>1.7099999999999999E-6</v>
      </c>
      <c r="O33">
        <f>11.86*10^-6</f>
        <v>1.1859999999999998E-5</v>
      </c>
      <c r="P33" s="15">
        <f t="shared" si="16"/>
        <v>5.0294117647058816E-11</v>
      </c>
      <c r="Q33" s="7">
        <f t="shared" si="16"/>
        <v>3.4882352941176462E-10</v>
      </c>
    </row>
    <row r="34" spans="1:17" x14ac:dyDescent="0.25">
      <c r="A34" s="8">
        <v>6</v>
      </c>
      <c r="B34" s="11">
        <v>4.5</v>
      </c>
      <c r="C34" s="15">
        <v>4.12</v>
      </c>
      <c r="D34">
        <f>370*10^-9</f>
        <v>3.7E-7</v>
      </c>
      <c r="E34">
        <f>1.54*10^-6</f>
        <v>1.5399999999999999E-6</v>
      </c>
      <c r="F34" s="15">
        <f t="shared" si="19"/>
        <v>1.0882352941176471E-11</v>
      </c>
      <c r="G34" s="7">
        <f t="shared" si="20"/>
        <v>4.5294117647058814E-11</v>
      </c>
      <c r="H34" s="15">
        <v>4.08</v>
      </c>
      <c r="I34" s="13">
        <f>390*10^-9</f>
        <v>3.9000000000000002E-7</v>
      </c>
      <c r="J34" s="13">
        <f>1.52*10^-6</f>
        <v>1.5199999999999998E-6</v>
      </c>
      <c r="K34" s="15">
        <f t="shared" si="21"/>
        <v>1.1470588235294119E-11</v>
      </c>
      <c r="L34" s="7">
        <f t="shared" si="22"/>
        <v>4.4705882352941173E-11</v>
      </c>
      <c r="M34" s="15">
        <v>3.44</v>
      </c>
      <c r="N34">
        <f>1.63*10^-6</f>
        <v>1.6299999999999999E-6</v>
      </c>
      <c r="O34">
        <f>11.74*10^-6</f>
        <v>1.1739999999999999E-5</v>
      </c>
      <c r="P34" s="15">
        <f t="shared" ref="P34:Q49" si="24">(N34/5)/(6.8*10^3)</f>
        <v>4.7941176470588232E-11</v>
      </c>
      <c r="Q34" s="7">
        <f t="shared" si="24"/>
        <v>3.452941176470588E-10</v>
      </c>
    </row>
    <row r="35" spans="1:17" x14ac:dyDescent="0.25">
      <c r="A35" s="8">
        <v>6</v>
      </c>
      <c r="B35" s="11">
        <v>5.4</v>
      </c>
      <c r="C35" s="15">
        <v>4.12</v>
      </c>
      <c r="D35">
        <f t="shared" ref="D35" si="25">360*10^-9</f>
        <v>3.6000000000000005E-7</v>
      </c>
      <c r="E35">
        <f>1.47*10^-6</f>
        <v>1.4699999999999999E-6</v>
      </c>
      <c r="F35" s="15">
        <f t="shared" si="19"/>
        <v>1.0588235294117649E-11</v>
      </c>
      <c r="G35" s="7">
        <f t="shared" si="20"/>
        <v>4.323529411764705E-11</v>
      </c>
      <c r="H35" s="15">
        <v>4.08</v>
      </c>
      <c r="I35" s="13">
        <f>400*10^-9</f>
        <v>4.0000000000000003E-7</v>
      </c>
      <c r="J35" s="13">
        <f>1.5*10^-6</f>
        <v>1.5E-6</v>
      </c>
      <c r="K35" s="15">
        <f t="shared" si="21"/>
        <v>1.1764705882352941E-11</v>
      </c>
      <c r="L35" s="7">
        <f t="shared" si="22"/>
        <v>4.4117647058823525E-11</v>
      </c>
      <c r="M35" s="15">
        <v>3.48</v>
      </c>
      <c r="N35">
        <f>1.59*10^-6</f>
        <v>1.59E-6</v>
      </c>
      <c r="O35">
        <f>11.28*10^-6</f>
        <v>1.1279999999999999E-5</v>
      </c>
      <c r="P35" s="15">
        <f t="shared" si="24"/>
        <v>4.6764705882352943E-11</v>
      </c>
      <c r="Q35" s="7">
        <f t="shared" si="24"/>
        <v>3.3176470588235291E-10</v>
      </c>
    </row>
    <row r="36" spans="1:17" x14ac:dyDescent="0.25">
      <c r="A36" s="8">
        <v>6</v>
      </c>
      <c r="B36" s="11">
        <v>5.4</v>
      </c>
      <c r="C36" s="15">
        <v>4.12</v>
      </c>
      <c r="D36">
        <f>370*10^-9</f>
        <v>3.7E-7</v>
      </c>
      <c r="E36">
        <f>1.46*10^-6</f>
        <v>1.46E-6</v>
      </c>
      <c r="F36" s="15">
        <f t="shared" si="19"/>
        <v>1.0882352941176471E-11</v>
      </c>
      <c r="G36" s="7">
        <f t="shared" si="20"/>
        <v>4.2941176470588236E-11</v>
      </c>
      <c r="H36" s="15">
        <v>4.08</v>
      </c>
      <c r="I36" s="13">
        <f>370*10^-9</f>
        <v>3.7E-7</v>
      </c>
      <c r="J36" s="13">
        <f>1.5*10^-6</f>
        <v>1.5E-6</v>
      </c>
      <c r="K36" s="15">
        <f t="shared" si="21"/>
        <v>1.0882352941176471E-11</v>
      </c>
      <c r="L36" s="7">
        <f t="shared" si="22"/>
        <v>4.4117647058823525E-11</v>
      </c>
      <c r="M36" s="15">
        <v>3.52</v>
      </c>
      <c r="N36">
        <f>1.68*10^-6</f>
        <v>1.6799999999999998E-6</v>
      </c>
      <c r="O36">
        <f>10.86*10^-6</f>
        <v>1.0859999999999999E-5</v>
      </c>
      <c r="P36" s="15">
        <f t="shared" si="24"/>
        <v>4.9411764705882341E-11</v>
      </c>
      <c r="Q36" s="7">
        <f t="shared" si="24"/>
        <v>3.1941176470588233E-10</v>
      </c>
    </row>
    <row r="37" spans="1:17" x14ac:dyDescent="0.25">
      <c r="A37" s="9">
        <v>6</v>
      </c>
      <c r="B37" s="12">
        <v>6</v>
      </c>
      <c r="C37" s="4">
        <v>4.12</v>
      </c>
      <c r="D37" s="4">
        <f>360*10^-9</f>
        <v>3.6000000000000005E-7</v>
      </c>
      <c r="E37" s="4">
        <f>1.52*10^-6</f>
        <v>1.5199999999999998E-6</v>
      </c>
      <c r="F37" s="17">
        <f t="shared" si="19"/>
        <v>1.0588235294117649E-11</v>
      </c>
      <c r="G37" s="6">
        <f t="shared" si="20"/>
        <v>4.4705882352941173E-11</v>
      </c>
      <c r="H37" s="16">
        <v>4.08</v>
      </c>
      <c r="I37" s="4">
        <f>380*10^-9</f>
        <v>3.8000000000000001E-7</v>
      </c>
      <c r="J37" s="4">
        <f>1.75*10^-6</f>
        <v>1.75E-6</v>
      </c>
      <c r="K37" s="17">
        <f t="shared" si="21"/>
        <v>1.1176470588235295E-11</v>
      </c>
      <c r="L37" s="6">
        <f t="shared" si="22"/>
        <v>5.1470588235294118E-11</v>
      </c>
      <c r="M37" s="4">
        <v>3.56</v>
      </c>
      <c r="N37" s="4">
        <f>1.75*10^-6</f>
        <v>1.75E-6</v>
      </c>
      <c r="O37" s="4">
        <f>11.56*10^-6</f>
        <v>1.1559999999999999E-5</v>
      </c>
      <c r="P37" s="17">
        <f t="shared" si="24"/>
        <v>5.1470588235294118E-11</v>
      </c>
      <c r="Q37" s="6">
        <f t="shared" si="24"/>
        <v>3.4000000000000001E-10</v>
      </c>
    </row>
    <row r="38" spans="1:17" x14ac:dyDescent="0.25">
      <c r="A38" s="8">
        <v>7</v>
      </c>
      <c r="B38" s="10">
        <v>5</v>
      </c>
      <c r="C38" s="15">
        <v>4.12</v>
      </c>
      <c r="D38">
        <f>430*10^-9</f>
        <v>4.3000000000000001E-7</v>
      </c>
      <c r="E38">
        <f>1.48*10^-6</f>
        <v>1.48E-6</v>
      </c>
      <c r="F38" s="15">
        <f t="shared" si="19"/>
        <v>1.2647058823529412E-11</v>
      </c>
      <c r="G38" s="7">
        <f t="shared" si="20"/>
        <v>4.3529411764705884E-11</v>
      </c>
      <c r="H38" s="15">
        <v>4.08</v>
      </c>
      <c r="I38">
        <f>440*10^-9</f>
        <v>4.4000000000000002E-7</v>
      </c>
      <c r="J38">
        <f>1.56*10^-6</f>
        <v>1.5599999999999999E-6</v>
      </c>
      <c r="K38" s="15">
        <f t="shared" si="21"/>
        <v>1.2941176470588236E-11</v>
      </c>
      <c r="L38" s="7">
        <f t="shared" si="22"/>
        <v>4.5882352941176468E-11</v>
      </c>
      <c r="M38" s="15">
        <v>3.4</v>
      </c>
      <c r="N38">
        <f>1.78*10^-6</f>
        <v>1.7799999999999999E-6</v>
      </c>
      <c r="O38">
        <f>11.66*10^-6</f>
        <v>1.166E-5</v>
      </c>
      <c r="P38" s="15">
        <f t="shared" si="24"/>
        <v>5.235294117647058E-11</v>
      </c>
      <c r="Q38" s="7">
        <f t="shared" si="24"/>
        <v>3.4294117647058823E-10</v>
      </c>
    </row>
    <row r="39" spans="1:17" x14ac:dyDescent="0.25">
      <c r="A39" s="8">
        <v>7</v>
      </c>
      <c r="B39" s="11">
        <v>5.3</v>
      </c>
      <c r="C39" s="15">
        <v>4.08</v>
      </c>
      <c r="D39">
        <f>420*10^-9</f>
        <v>4.2E-7</v>
      </c>
      <c r="E39">
        <f>1.52*10^-6</f>
        <v>1.5199999999999998E-6</v>
      </c>
      <c r="F39" s="15">
        <f t="shared" si="19"/>
        <v>1.2352941176470589E-11</v>
      </c>
      <c r="G39" s="7">
        <f t="shared" si="20"/>
        <v>4.4705882352941173E-11</v>
      </c>
      <c r="H39" s="15">
        <v>4.08</v>
      </c>
      <c r="I39">
        <f>450*10^-9</f>
        <v>4.5000000000000003E-7</v>
      </c>
      <c r="J39">
        <f>1.58*10^-6</f>
        <v>1.5799999999999999E-6</v>
      </c>
      <c r="K39" s="15">
        <f t="shared" si="21"/>
        <v>1.323529411764706E-11</v>
      </c>
      <c r="L39" s="7">
        <f t="shared" si="22"/>
        <v>4.6470588235294116E-11</v>
      </c>
      <c r="M39" s="15">
        <v>3.36</v>
      </c>
      <c r="N39">
        <f>1.76*10^-6</f>
        <v>1.7599999999999999E-6</v>
      </c>
      <c r="O39">
        <f>12.22*10^-6</f>
        <v>1.222E-5</v>
      </c>
      <c r="P39" s="15">
        <f t="shared" si="24"/>
        <v>5.1764705882352938E-11</v>
      </c>
      <c r="Q39" s="7">
        <f t="shared" si="24"/>
        <v>3.5941176470588234E-10</v>
      </c>
    </row>
    <row r="40" spans="1:17" x14ac:dyDescent="0.25">
      <c r="A40" s="8">
        <v>7</v>
      </c>
      <c r="B40" s="11">
        <v>5.7</v>
      </c>
      <c r="C40" s="15">
        <v>4.12</v>
      </c>
      <c r="D40">
        <f>440*10^-9</f>
        <v>4.4000000000000002E-7</v>
      </c>
      <c r="E40">
        <f>1.5*10^-6</f>
        <v>1.5E-6</v>
      </c>
      <c r="F40" s="15">
        <f t="shared" si="19"/>
        <v>1.2941176470588236E-11</v>
      </c>
      <c r="G40" s="7">
        <f t="shared" si="20"/>
        <v>4.4117647058823525E-11</v>
      </c>
      <c r="H40" s="15">
        <v>4.08</v>
      </c>
      <c r="I40">
        <f t="shared" ref="I40:I41" si="26">440*10^-9</f>
        <v>4.4000000000000002E-7</v>
      </c>
      <c r="J40">
        <f t="shared" ref="J40" si="27">1.56*10^-6</f>
        <v>1.5599999999999999E-6</v>
      </c>
      <c r="K40" s="15">
        <f t="shared" si="21"/>
        <v>1.2941176470588236E-11</v>
      </c>
      <c r="L40" s="7">
        <f t="shared" si="22"/>
        <v>4.5882352941176468E-11</v>
      </c>
      <c r="M40" s="15">
        <v>3.4</v>
      </c>
      <c r="N40">
        <f>1.69*10^-6</f>
        <v>1.6899999999999999E-6</v>
      </c>
      <c r="O40">
        <f>12.18*10^-6</f>
        <v>1.2179999999999999E-5</v>
      </c>
      <c r="P40" s="15">
        <f t="shared" si="24"/>
        <v>4.9705882352941175E-11</v>
      </c>
      <c r="Q40" s="7">
        <f t="shared" si="24"/>
        <v>3.5823529411764698E-10</v>
      </c>
    </row>
    <row r="41" spans="1:17" x14ac:dyDescent="0.25">
      <c r="A41" s="8">
        <v>7</v>
      </c>
      <c r="B41" s="11">
        <v>6.2</v>
      </c>
      <c r="C41" s="15">
        <v>4.12</v>
      </c>
      <c r="D41">
        <f>430*10^-9</f>
        <v>4.3000000000000001E-7</v>
      </c>
      <c r="E41">
        <f>1.46*10^-6</f>
        <v>1.46E-6</v>
      </c>
      <c r="F41" s="15">
        <f t="shared" si="19"/>
        <v>1.2647058823529412E-11</v>
      </c>
      <c r="G41" s="7">
        <f t="shared" si="20"/>
        <v>4.2941176470588236E-11</v>
      </c>
      <c r="H41" s="15">
        <v>4.08</v>
      </c>
      <c r="I41">
        <f t="shared" si="26"/>
        <v>4.4000000000000002E-7</v>
      </c>
      <c r="J41">
        <f>1.58*10^-6</f>
        <v>1.5799999999999999E-6</v>
      </c>
      <c r="K41" s="15">
        <f t="shared" si="21"/>
        <v>1.2941176470588236E-11</v>
      </c>
      <c r="L41" s="7">
        <f t="shared" si="22"/>
        <v>4.6470588235294116E-11</v>
      </c>
      <c r="M41" s="15">
        <v>3.36</v>
      </c>
      <c r="N41">
        <f>1.76*10^-6</f>
        <v>1.7599999999999999E-6</v>
      </c>
      <c r="O41">
        <f>11.96*10^-6</f>
        <v>1.1960000000000001E-5</v>
      </c>
      <c r="P41" s="15">
        <f t="shared" si="24"/>
        <v>5.1764705882352938E-11</v>
      </c>
      <c r="Q41" s="7">
        <f t="shared" si="24"/>
        <v>3.5176470588235294E-10</v>
      </c>
    </row>
    <row r="42" spans="1:17" x14ac:dyDescent="0.25">
      <c r="A42" s="9">
        <v>7</v>
      </c>
      <c r="B42" s="12">
        <v>6</v>
      </c>
      <c r="C42" s="4">
        <v>4.08</v>
      </c>
      <c r="D42" s="4">
        <f>420*10^-9</f>
        <v>4.2E-7</v>
      </c>
      <c r="E42" s="4">
        <f>1.5*10^-6</f>
        <v>1.5E-6</v>
      </c>
      <c r="F42" s="17">
        <f t="shared" si="19"/>
        <v>1.2352941176470589E-11</v>
      </c>
      <c r="G42" s="6">
        <f t="shared" si="20"/>
        <v>4.4117647058823525E-11</v>
      </c>
      <c r="H42" s="16">
        <v>4.08</v>
      </c>
      <c r="I42" s="4">
        <f>450*10^-9</f>
        <v>4.5000000000000003E-7</v>
      </c>
      <c r="J42" s="4">
        <f>1.56*10^-6</f>
        <v>1.5599999999999999E-6</v>
      </c>
      <c r="K42" s="17">
        <f t="shared" si="21"/>
        <v>1.323529411764706E-11</v>
      </c>
      <c r="L42" s="6">
        <f t="shared" si="22"/>
        <v>4.5882352941176468E-11</v>
      </c>
      <c r="M42" s="4">
        <v>3.36</v>
      </c>
      <c r="N42" s="4">
        <f>1.77*10^-6</f>
        <v>1.77E-6</v>
      </c>
      <c r="O42" s="4">
        <f>12.72*10^-6</f>
        <v>1.272E-5</v>
      </c>
      <c r="P42" s="17">
        <f t="shared" si="24"/>
        <v>5.2058823529411766E-11</v>
      </c>
      <c r="Q42" s="6">
        <f t="shared" si="24"/>
        <v>3.7411764705882354E-10</v>
      </c>
    </row>
    <row r="43" spans="1:17" x14ac:dyDescent="0.25">
      <c r="A43" s="8">
        <v>8</v>
      </c>
      <c r="B43" s="10">
        <v>4.4000000000000004</v>
      </c>
      <c r="C43" s="15">
        <v>4.12</v>
      </c>
      <c r="D43">
        <f>510*10^-9</f>
        <v>5.0999999999999999E-7</v>
      </c>
      <c r="E43">
        <f>1.54*10^-6</f>
        <v>1.5399999999999999E-6</v>
      </c>
      <c r="F43" s="15">
        <f t="shared" si="19"/>
        <v>1.5E-11</v>
      </c>
      <c r="G43" s="7">
        <f t="shared" si="20"/>
        <v>4.5294117647058814E-11</v>
      </c>
      <c r="H43" s="15">
        <v>4.08</v>
      </c>
      <c r="I43">
        <f>510*10^-9</f>
        <v>5.0999999999999999E-7</v>
      </c>
      <c r="J43">
        <f>1.54*10^-6</f>
        <v>1.5399999999999999E-6</v>
      </c>
      <c r="K43" s="15">
        <f t="shared" si="21"/>
        <v>1.5E-11</v>
      </c>
      <c r="L43" s="7">
        <f t="shared" si="22"/>
        <v>4.5294117647058814E-11</v>
      </c>
      <c r="M43" s="15">
        <v>3.36</v>
      </c>
      <c r="N43">
        <f>1.72*10^-6</f>
        <v>1.7199999999999998E-6</v>
      </c>
      <c r="O43">
        <f>11.9*10^-6</f>
        <v>1.19E-5</v>
      </c>
      <c r="P43" s="15">
        <f t="shared" si="24"/>
        <v>5.0588235294117643E-11</v>
      </c>
      <c r="Q43" s="7">
        <f t="shared" si="24"/>
        <v>3.5000000000000003E-10</v>
      </c>
    </row>
    <row r="44" spans="1:17" x14ac:dyDescent="0.25">
      <c r="A44" s="8">
        <v>8</v>
      </c>
      <c r="B44" s="11">
        <v>6.7</v>
      </c>
      <c r="C44" s="15">
        <v>4.12</v>
      </c>
      <c r="D44">
        <f>520*10^-9</f>
        <v>5.2E-7</v>
      </c>
      <c r="E44">
        <f>1.52*10^-6</f>
        <v>1.5199999999999998E-6</v>
      </c>
      <c r="F44" s="15">
        <f t="shared" si="19"/>
        <v>1.5294117647058824E-11</v>
      </c>
      <c r="G44" s="7">
        <f t="shared" si="20"/>
        <v>4.4705882352941173E-11</v>
      </c>
      <c r="H44" s="15">
        <v>4.08</v>
      </c>
      <c r="I44">
        <f>520*10^-9</f>
        <v>5.2E-7</v>
      </c>
      <c r="J44">
        <f>1.6*10^-6</f>
        <v>1.5999999999999999E-6</v>
      </c>
      <c r="K44" s="15">
        <f t="shared" si="21"/>
        <v>1.5294117647058824E-11</v>
      </c>
      <c r="L44" s="7">
        <f t="shared" si="22"/>
        <v>4.7058823529411763E-11</v>
      </c>
      <c r="M44" s="15">
        <v>3.4</v>
      </c>
      <c r="N44">
        <f>1.75*10^-6</f>
        <v>1.75E-6</v>
      </c>
      <c r="O44">
        <f>12.3*10^-6</f>
        <v>1.2300000000000001E-5</v>
      </c>
      <c r="P44" s="15">
        <f t="shared" si="24"/>
        <v>5.1470588235294118E-11</v>
      </c>
      <c r="Q44" s="7">
        <f t="shared" si="24"/>
        <v>3.6176470588235296E-10</v>
      </c>
    </row>
    <row r="45" spans="1:17" x14ac:dyDescent="0.25">
      <c r="A45" s="8">
        <v>8</v>
      </c>
      <c r="B45" s="11">
        <v>7</v>
      </c>
      <c r="C45">
        <v>4.16</v>
      </c>
      <c r="D45">
        <f>500*10^-9</f>
        <v>5.0000000000000008E-7</v>
      </c>
      <c r="E45">
        <f>1.56*10^-6</f>
        <v>1.5599999999999999E-6</v>
      </c>
      <c r="F45" s="15">
        <f t="shared" si="19"/>
        <v>1.4705882352941179E-11</v>
      </c>
      <c r="G45" s="7">
        <f t="shared" si="20"/>
        <v>4.5882352941176468E-11</v>
      </c>
      <c r="H45" s="15">
        <v>4.08</v>
      </c>
      <c r="I45">
        <f>530*10^-9</f>
        <v>5.3000000000000001E-7</v>
      </c>
      <c r="J45">
        <f>1.58*10^-6</f>
        <v>1.5799999999999999E-6</v>
      </c>
      <c r="K45" s="15">
        <f t="shared" si="21"/>
        <v>1.5588235294117648E-11</v>
      </c>
      <c r="L45" s="7">
        <f t="shared" si="22"/>
        <v>4.6470588235294116E-11</v>
      </c>
      <c r="M45" s="15">
        <v>3.44</v>
      </c>
      <c r="N45">
        <f>1.77*10^-6</f>
        <v>1.77E-6</v>
      </c>
      <c r="O45">
        <f>11.26*10^-6</f>
        <v>1.1259999999999999E-5</v>
      </c>
      <c r="P45" s="15">
        <f t="shared" si="24"/>
        <v>5.2058823529411766E-11</v>
      </c>
      <c r="Q45" s="7">
        <f t="shared" si="24"/>
        <v>3.3117647058823525E-10</v>
      </c>
    </row>
    <row r="46" spans="1:17" x14ac:dyDescent="0.25">
      <c r="A46" s="8">
        <v>8</v>
      </c>
      <c r="B46" s="11">
        <v>7.5</v>
      </c>
      <c r="C46">
        <v>4.12</v>
      </c>
      <c r="D46">
        <f>510*10^-9</f>
        <v>5.0999999999999999E-7</v>
      </c>
      <c r="E46">
        <f>1.5*10^-6</f>
        <v>1.5E-6</v>
      </c>
      <c r="F46" s="15">
        <f t="shared" si="19"/>
        <v>1.5E-11</v>
      </c>
      <c r="G46" s="7">
        <f t="shared" si="20"/>
        <v>4.4117647058823525E-11</v>
      </c>
      <c r="H46" s="15">
        <v>4.08</v>
      </c>
      <c r="I46">
        <f>540*10^-9</f>
        <v>5.4000000000000002E-7</v>
      </c>
      <c r="J46">
        <f>1.58*10^-6</f>
        <v>1.5799999999999999E-6</v>
      </c>
      <c r="K46" s="15">
        <f t="shared" si="21"/>
        <v>1.5882352941176471E-11</v>
      </c>
      <c r="L46" s="7">
        <f t="shared" si="22"/>
        <v>4.6470588235294116E-11</v>
      </c>
      <c r="M46" s="15">
        <v>3.44</v>
      </c>
      <c r="N46">
        <f>1.78*10^-6</f>
        <v>1.7799999999999999E-6</v>
      </c>
      <c r="O46">
        <f>11.62*10^-6</f>
        <v>1.1619999999999999E-5</v>
      </c>
      <c r="P46" s="15">
        <f t="shared" si="24"/>
        <v>5.235294117647058E-11</v>
      </c>
      <c r="Q46" s="7">
        <f t="shared" si="24"/>
        <v>3.4176470588235287E-10</v>
      </c>
    </row>
    <row r="47" spans="1:17" x14ac:dyDescent="0.25">
      <c r="A47" s="9">
        <v>8</v>
      </c>
      <c r="B47" s="12">
        <v>7.5</v>
      </c>
      <c r="C47" s="4">
        <v>4.16</v>
      </c>
      <c r="D47" s="4">
        <f>520*10^-9</f>
        <v>5.2E-7</v>
      </c>
      <c r="E47" s="4">
        <f>1.58*10^-6</f>
        <v>1.5799999999999999E-6</v>
      </c>
      <c r="F47" s="17">
        <f t="shared" si="19"/>
        <v>1.5294117647058824E-11</v>
      </c>
      <c r="G47" s="6">
        <f t="shared" si="20"/>
        <v>4.6470588235294116E-11</v>
      </c>
      <c r="H47" s="4">
        <v>4.08</v>
      </c>
      <c r="I47" s="4">
        <f>540*10^-9</f>
        <v>5.4000000000000002E-7</v>
      </c>
      <c r="J47" s="4">
        <f>1.56*10^-6</f>
        <v>1.5599999999999999E-6</v>
      </c>
      <c r="K47" s="17">
        <f t="shared" si="21"/>
        <v>1.5882352941176471E-11</v>
      </c>
      <c r="L47" s="6">
        <f t="shared" si="22"/>
        <v>4.5882352941176468E-11</v>
      </c>
      <c r="M47" s="4">
        <v>3.4</v>
      </c>
      <c r="N47" s="4">
        <f>1.77*10^-6</f>
        <v>1.77E-6</v>
      </c>
      <c r="O47" s="4">
        <f>10.46*10^-6</f>
        <v>1.046E-5</v>
      </c>
      <c r="P47" s="17">
        <f t="shared" si="24"/>
        <v>5.2058823529411766E-11</v>
      </c>
      <c r="Q47" s="6">
        <f t="shared" si="24"/>
        <v>3.076470588235294E-10</v>
      </c>
    </row>
    <row r="48" spans="1:17" x14ac:dyDescent="0.25">
      <c r="A48" s="8">
        <v>9</v>
      </c>
      <c r="B48" s="10">
        <v>9.5</v>
      </c>
      <c r="C48" s="15">
        <v>4.12</v>
      </c>
      <c r="D48">
        <f>610*10^-9</f>
        <v>6.1000000000000009E-7</v>
      </c>
      <c r="E48">
        <f>1.56*10^-6</f>
        <v>1.5599999999999999E-6</v>
      </c>
      <c r="F48" s="15">
        <f t="shared" si="19"/>
        <v>1.7941176470588235E-11</v>
      </c>
      <c r="G48" s="7">
        <f t="shared" si="20"/>
        <v>4.5882352941176468E-11</v>
      </c>
      <c r="H48" s="13">
        <v>4.08</v>
      </c>
      <c r="I48">
        <f>610*10^-9</f>
        <v>6.1000000000000009E-7</v>
      </c>
      <c r="J48">
        <f>1.64*10^-6</f>
        <v>1.6399999999999998E-6</v>
      </c>
      <c r="K48" s="15">
        <f t="shared" si="21"/>
        <v>1.7941176470588235E-11</v>
      </c>
      <c r="L48" s="7">
        <f t="shared" si="22"/>
        <v>4.8235294117647052E-11</v>
      </c>
      <c r="M48" s="15">
        <v>3.4</v>
      </c>
      <c r="N48">
        <f>1.67*10^-6</f>
        <v>1.6699999999999999E-6</v>
      </c>
      <c r="O48">
        <f>10.56*10^-6</f>
        <v>1.0560000000000001E-5</v>
      </c>
      <c r="P48" s="15">
        <f t="shared" si="24"/>
        <v>4.9117647058823527E-11</v>
      </c>
      <c r="Q48" s="7">
        <f t="shared" si="24"/>
        <v>3.1058823529411767E-10</v>
      </c>
    </row>
    <row r="49" spans="1:17" x14ac:dyDescent="0.25">
      <c r="A49" s="8">
        <v>9</v>
      </c>
      <c r="B49" s="11">
        <v>10</v>
      </c>
      <c r="C49" s="15">
        <v>4.12</v>
      </c>
      <c r="D49">
        <f>590*10^-9</f>
        <v>5.9000000000000007E-7</v>
      </c>
      <c r="E49">
        <f>1.54*10^-6</f>
        <v>1.5399999999999999E-6</v>
      </c>
      <c r="F49" s="15">
        <f t="shared" si="19"/>
        <v>1.7352941176470591E-11</v>
      </c>
      <c r="G49" s="13">
        <f t="shared" si="20"/>
        <v>4.5294117647058814E-11</v>
      </c>
      <c r="H49" s="23">
        <v>4.08</v>
      </c>
      <c r="I49">
        <f>640*10^-9</f>
        <v>6.4000000000000001E-7</v>
      </c>
      <c r="J49">
        <f>1.62*10^-6</f>
        <v>1.6199999999999999E-6</v>
      </c>
      <c r="K49" s="15">
        <f t="shared" si="21"/>
        <v>1.8823529411764707E-11</v>
      </c>
      <c r="L49" s="7">
        <f t="shared" si="22"/>
        <v>4.7647058823529411E-11</v>
      </c>
      <c r="M49" s="15">
        <v>3.36</v>
      </c>
      <c r="N49">
        <f>1.69*10^-6</f>
        <v>1.6899999999999999E-6</v>
      </c>
      <c r="O49">
        <f>10.1*10^-6</f>
        <v>1.01E-5</v>
      </c>
      <c r="P49" s="15">
        <f t="shared" si="24"/>
        <v>4.9705882352941175E-11</v>
      </c>
      <c r="Q49" s="7">
        <f t="shared" si="24"/>
        <v>2.9705882352941178E-10</v>
      </c>
    </row>
    <row r="50" spans="1:17" x14ac:dyDescent="0.25">
      <c r="A50" s="8">
        <v>9</v>
      </c>
      <c r="B50" s="11">
        <v>10.199999999999999</v>
      </c>
      <c r="C50" s="15">
        <v>4.12</v>
      </c>
      <c r="D50">
        <f>630*10^-9</f>
        <v>6.3E-7</v>
      </c>
      <c r="E50">
        <f>1.58*10^-6</f>
        <v>1.5799999999999999E-6</v>
      </c>
      <c r="F50" s="15">
        <f t="shared" si="19"/>
        <v>1.852941176470588E-11</v>
      </c>
      <c r="G50" s="13">
        <f t="shared" si="20"/>
        <v>4.6470588235294116E-11</v>
      </c>
      <c r="H50" s="23">
        <v>4.08</v>
      </c>
      <c r="I50">
        <f>660*10^-9</f>
        <v>6.6000000000000003E-7</v>
      </c>
      <c r="J50">
        <f>1.6*10^-6</f>
        <v>1.5999999999999999E-6</v>
      </c>
      <c r="K50" s="15">
        <f t="shared" si="21"/>
        <v>1.9411764705882354E-11</v>
      </c>
      <c r="L50" s="7">
        <f t="shared" si="22"/>
        <v>4.7058823529411763E-11</v>
      </c>
      <c r="M50" s="15">
        <v>3.44</v>
      </c>
      <c r="N50">
        <f>1.72*10^-6</f>
        <v>1.7199999999999998E-6</v>
      </c>
      <c r="O50">
        <f>10.66*10^-6</f>
        <v>1.066E-5</v>
      </c>
      <c r="P50" s="15">
        <f t="shared" ref="P50:Q65" si="28">(N50/5)/(6.8*10^3)</f>
        <v>5.0588235294117643E-11</v>
      </c>
      <c r="Q50" s="7">
        <f t="shared" si="28"/>
        <v>3.1352941176470589E-10</v>
      </c>
    </row>
    <row r="51" spans="1:17" x14ac:dyDescent="0.25">
      <c r="A51" s="8">
        <v>9</v>
      </c>
      <c r="B51" s="11">
        <v>10.5</v>
      </c>
      <c r="C51" s="15">
        <v>4.12</v>
      </c>
      <c r="D51">
        <f>620*10^-9</f>
        <v>6.1999999999999999E-7</v>
      </c>
      <c r="E51">
        <f>1.62*10^-6</f>
        <v>1.6199999999999999E-6</v>
      </c>
      <c r="F51" s="15">
        <f t="shared" si="19"/>
        <v>1.8235294117647059E-11</v>
      </c>
      <c r="G51" s="13">
        <f t="shared" si="20"/>
        <v>4.7647058823529411E-11</v>
      </c>
      <c r="H51" s="23">
        <v>4.08</v>
      </c>
      <c r="I51">
        <f>650*10^-9</f>
        <v>6.5000000000000002E-7</v>
      </c>
      <c r="J51">
        <f>1.62*10^-6</f>
        <v>1.6199999999999999E-6</v>
      </c>
      <c r="K51" s="15">
        <f t="shared" si="21"/>
        <v>1.911764705882353E-11</v>
      </c>
      <c r="L51" s="7">
        <f t="shared" si="22"/>
        <v>4.7647058823529411E-11</v>
      </c>
      <c r="M51" s="15">
        <v>3.36</v>
      </c>
      <c r="N51">
        <f>1.77*10^-6</f>
        <v>1.77E-6</v>
      </c>
      <c r="O51">
        <f>10.34*10^-6</f>
        <v>1.0339999999999999E-5</v>
      </c>
      <c r="P51" s="15">
        <f t="shared" si="28"/>
        <v>5.2058823529411766E-11</v>
      </c>
      <c r="Q51" s="7">
        <f t="shared" si="28"/>
        <v>3.0411764705882353E-10</v>
      </c>
    </row>
    <row r="52" spans="1:17" x14ac:dyDescent="0.25">
      <c r="A52" s="9">
        <v>9</v>
      </c>
      <c r="B52" s="12">
        <v>6</v>
      </c>
      <c r="C52" s="4">
        <v>4.16</v>
      </c>
      <c r="D52" s="4">
        <f>630*10^-9</f>
        <v>6.3E-7</v>
      </c>
      <c r="E52" s="4">
        <f>1.6*10^-6</f>
        <v>1.5999999999999999E-6</v>
      </c>
      <c r="F52" s="17">
        <f t="shared" si="19"/>
        <v>1.852941176470588E-11</v>
      </c>
      <c r="G52" s="6">
        <f t="shared" si="20"/>
        <v>4.7058823529411763E-11</v>
      </c>
      <c r="H52" s="4">
        <v>4.08</v>
      </c>
      <c r="I52" s="4">
        <f>610*10^-9</f>
        <v>6.1000000000000009E-7</v>
      </c>
      <c r="J52" s="4">
        <f>1.62*10^-6</f>
        <v>1.6199999999999999E-6</v>
      </c>
      <c r="K52" s="17">
        <f t="shared" si="21"/>
        <v>1.7941176470588235E-11</v>
      </c>
      <c r="L52" s="6">
        <f t="shared" si="22"/>
        <v>4.7647058823529411E-11</v>
      </c>
      <c r="M52" s="4">
        <v>3.4</v>
      </c>
      <c r="N52" s="4">
        <f>1.71*10^-6</f>
        <v>1.7099999999999999E-6</v>
      </c>
      <c r="O52" s="4">
        <f>10.72*10^-6</f>
        <v>1.0720000000000001E-5</v>
      </c>
      <c r="P52" s="17">
        <f t="shared" si="28"/>
        <v>5.0294117647058816E-11</v>
      </c>
      <c r="Q52" s="6">
        <f t="shared" si="28"/>
        <v>3.1529411764705885E-10</v>
      </c>
    </row>
    <row r="53" spans="1:17" x14ac:dyDescent="0.25">
      <c r="A53" s="8">
        <v>10</v>
      </c>
      <c r="B53" s="10">
        <v>7.5</v>
      </c>
      <c r="C53" s="15">
        <v>4.12</v>
      </c>
      <c r="D53">
        <f>500*10^-9</f>
        <v>5.0000000000000008E-7</v>
      </c>
      <c r="E53">
        <f>1.48*10^-6</f>
        <v>1.48E-6</v>
      </c>
      <c r="F53" s="15">
        <f t="shared" si="19"/>
        <v>1.4705882352941179E-11</v>
      </c>
      <c r="G53" s="7">
        <f t="shared" si="20"/>
        <v>4.3529411764705884E-11</v>
      </c>
      <c r="H53" s="15">
        <v>4.08</v>
      </c>
      <c r="I53">
        <f>530*10^-9</f>
        <v>5.3000000000000001E-7</v>
      </c>
      <c r="J53">
        <f>1.56*10^-6</f>
        <v>1.5599999999999999E-6</v>
      </c>
      <c r="K53" s="15">
        <f t="shared" si="21"/>
        <v>1.5588235294117648E-11</v>
      </c>
      <c r="L53" s="7">
        <f t="shared" si="22"/>
        <v>4.5882352941176468E-11</v>
      </c>
      <c r="M53" s="15">
        <v>3.2</v>
      </c>
      <c r="N53">
        <f>1.78*10^-6</f>
        <v>1.7799999999999999E-6</v>
      </c>
      <c r="O53">
        <f>12.6*10^-6</f>
        <v>1.26E-5</v>
      </c>
      <c r="P53" s="15">
        <f t="shared" si="28"/>
        <v>5.235294117647058E-11</v>
      </c>
      <c r="Q53" s="7">
        <f t="shared" si="28"/>
        <v>3.7058823529411767E-10</v>
      </c>
    </row>
    <row r="54" spans="1:17" x14ac:dyDescent="0.25">
      <c r="A54" s="8">
        <v>10</v>
      </c>
      <c r="B54" s="11">
        <v>10</v>
      </c>
      <c r="C54" s="15">
        <v>4.12</v>
      </c>
      <c r="D54">
        <f>510*10^-9</f>
        <v>5.0999999999999999E-7</v>
      </c>
      <c r="E54">
        <f>1.5*10^-6</f>
        <v>1.5E-6</v>
      </c>
      <c r="F54" s="15">
        <f t="shared" si="19"/>
        <v>1.5E-11</v>
      </c>
      <c r="G54" s="7">
        <f t="shared" si="20"/>
        <v>4.4117647058823525E-11</v>
      </c>
      <c r="H54" s="15">
        <v>4.08</v>
      </c>
      <c r="I54">
        <f>520*10^-9</f>
        <v>5.2E-7</v>
      </c>
      <c r="J54">
        <f>1.54*10^-6</f>
        <v>1.5399999999999999E-6</v>
      </c>
      <c r="K54" s="15">
        <f t="shared" si="21"/>
        <v>1.5294117647058824E-11</v>
      </c>
      <c r="L54" s="7">
        <f t="shared" si="22"/>
        <v>4.5294117647058814E-11</v>
      </c>
      <c r="M54" s="15">
        <v>3.32</v>
      </c>
      <c r="N54">
        <f>1.79*10^-6</f>
        <v>1.79E-6</v>
      </c>
      <c r="O54">
        <f>10.74*10^-6</f>
        <v>1.0740000000000001E-5</v>
      </c>
      <c r="P54" s="15">
        <f t="shared" si="28"/>
        <v>5.2647058823529413E-11</v>
      </c>
      <c r="Q54" s="7">
        <f t="shared" si="28"/>
        <v>3.1588235294117645E-10</v>
      </c>
    </row>
    <row r="55" spans="1:17" x14ac:dyDescent="0.25">
      <c r="A55" s="8">
        <v>10</v>
      </c>
      <c r="B55" s="11">
        <v>11</v>
      </c>
      <c r="C55" s="15">
        <v>4.16</v>
      </c>
      <c r="D55">
        <f>510*10^-9</f>
        <v>5.0999999999999999E-7</v>
      </c>
      <c r="E55">
        <f>1.52*10^-6</f>
        <v>1.5199999999999998E-6</v>
      </c>
      <c r="F55" s="15">
        <f t="shared" si="19"/>
        <v>1.5E-11</v>
      </c>
      <c r="G55" s="7">
        <f t="shared" si="20"/>
        <v>4.4705882352941173E-11</v>
      </c>
      <c r="H55" s="15">
        <v>4.08</v>
      </c>
      <c r="I55">
        <f>520*10^-9</f>
        <v>5.2E-7</v>
      </c>
      <c r="J55">
        <f>1.52*10^-6</f>
        <v>1.5199999999999998E-6</v>
      </c>
      <c r="K55" s="15">
        <f t="shared" si="21"/>
        <v>1.5294117647058824E-11</v>
      </c>
      <c r="L55" s="7">
        <f t="shared" si="22"/>
        <v>4.4705882352941173E-11</v>
      </c>
      <c r="M55" s="15">
        <v>3.34</v>
      </c>
      <c r="N55">
        <f>1.75*10^-6</f>
        <v>1.75E-6</v>
      </c>
      <c r="O55">
        <f>13.58*10^-6</f>
        <v>1.3579999999999999E-5</v>
      </c>
      <c r="P55" s="15">
        <f t="shared" si="28"/>
        <v>5.1470588235294118E-11</v>
      </c>
      <c r="Q55" s="7">
        <f t="shared" si="28"/>
        <v>3.9941176470588236E-10</v>
      </c>
    </row>
    <row r="56" spans="1:17" x14ac:dyDescent="0.25">
      <c r="A56" s="8">
        <v>10</v>
      </c>
      <c r="B56" s="11">
        <v>12</v>
      </c>
      <c r="C56" s="15">
        <v>4.12</v>
      </c>
      <c r="D56">
        <f>500*10^-9</f>
        <v>5.0000000000000008E-7</v>
      </c>
      <c r="E56">
        <f>1.48*10^-6</f>
        <v>1.48E-6</v>
      </c>
      <c r="F56" s="15">
        <f t="shared" si="19"/>
        <v>1.4705882352941179E-11</v>
      </c>
      <c r="G56" s="7">
        <f t="shared" si="20"/>
        <v>4.3529411764705884E-11</v>
      </c>
      <c r="H56" s="15">
        <v>4.12</v>
      </c>
      <c r="I56">
        <f>510*10^-9</f>
        <v>5.0999999999999999E-7</v>
      </c>
      <c r="J56">
        <f>1.56*10^-6</f>
        <v>1.5599999999999999E-6</v>
      </c>
      <c r="K56" s="15">
        <f t="shared" si="21"/>
        <v>1.5E-11</v>
      </c>
      <c r="L56" s="7">
        <f t="shared" si="22"/>
        <v>4.5882352941176468E-11</v>
      </c>
      <c r="M56" s="15">
        <v>3.2</v>
      </c>
      <c r="N56">
        <f>1.85*10^-6</f>
        <v>1.8500000000000001E-6</v>
      </c>
      <c r="O56">
        <f>12.26*10^-6</f>
        <v>1.226E-5</v>
      </c>
      <c r="P56" s="15">
        <f t="shared" si="28"/>
        <v>5.4411764705882356E-11</v>
      </c>
      <c r="Q56" s="7">
        <f t="shared" si="28"/>
        <v>3.6058823529411765E-10</v>
      </c>
    </row>
    <row r="57" spans="1:17" x14ac:dyDescent="0.25">
      <c r="A57" s="9">
        <v>10</v>
      </c>
      <c r="B57" s="12">
        <v>13</v>
      </c>
      <c r="C57" s="4">
        <v>4.12</v>
      </c>
      <c r="D57" s="4">
        <f>520*10^-9</f>
        <v>5.2E-7</v>
      </c>
      <c r="E57" s="4">
        <f>1.5*10^-6</f>
        <v>1.5E-6</v>
      </c>
      <c r="F57" s="17">
        <f t="shared" si="19"/>
        <v>1.5294117647058824E-11</v>
      </c>
      <c r="G57" s="6">
        <f t="shared" si="20"/>
        <v>4.4117647058823525E-11</v>
      </c>
      <c r="H57" s="4">
        <v>4.12</v>
      </c>
      <c r="I57" s="4">
        <f>530*10^-9</f>
        <v>5.3000000000000001E-7</v>
      </c>
      <c r="J57" s="4">
        <f>1.54*10^-6</f>
        <v>1.5399999999999999E-6</v>
      </c>
      <c r="K57" s="17">
        <f t="shared" si="21"/>
        <v>1.5588235294117648E-11</v>
      </c>
      <c r="L57" s="6">
        <f t="shared" si="22"/>
        <v>4.5294117647058814E-11</v>
      </c>
      <c r="M57" s="4">
        <v>3.2</v>
      </c>
      <c r="N57" s="4">
        <f>1.85*10^-6</f>
        <v>1.8500000000000001E-6</v>
      </c>
      <c r="O57" s="4">
        <f>12.92*10^-6</f>
        <v>1.292E-5</v>
      </c>
      <c r="P57" s="17">
        <f t="shared" si="28"/>
        <v>5.4411764705882356E-11</v>
      </c>
      <c r="Q57" s="6">
        <f t="shared" si="28"/>
        <v>3.8000000000000003E-10</v>
      </c>
    </row>
    <row r="58" spans="1:17" x14ac:dyDescent="0.25">
      <c r="A58" s="8">
        <v>11</v>
      </c>
      <c r="B58" s="10">
        <v>10.5</v>
      </c>
      <c r="C58" s="15">
        <v>4.12</v>
      </c>
      <c r="D58">
        <f>710*10^-9</f>
        <v>7.1000000000000008E-7</v>
      </c>
      <c r="E58">
        <f>1.64*10^-6</f>
        <v>1.6399999999999998E-6</v>
      </c>
      <c r="F58" s="15">
        <f t="shared" si="19"/>
        <v>2.0882352941176474E-11</v>
      </c>
      <c r="G58" s="7">
        <f t="shared" si="20"/>
        <v>4.8235294117647052E-11</v>
      </c>
      <c r="H58" s="15">
        <v>4.08</v>
      </c>
      <c r="I58">
        <f>770*10^-9</f>
        <v>7.7000000000000004E-7</v>
      </c>
      <c r="J58">
        <f>1.7*10^-6</f>
        <v>1.6999999999999998E-6</v>
      </c>
      <c r="K58" s="15">
        <f t="shared" si="21"/>
        <v>2.2647058823529413E-11</v>
      </c>
      <c r="L58" s="7">
        <f>(J58/5)/(6.8*10^3)</f>
        <v>4.9999999999999995E-11</v>
      </c>
      <c r="M58" s="15">
        <v>3.28</v>
      </c>
      <c r="N58">
        <f>1.83*10^-6</f>
        <v>1.8300000000000001E-6</v>
      </c>
      <c r="O58">
        <f>12.94*10^-6</f>
        <v>1.2939999999999998E-5</v>
      </c>
      <c r="P58" s="15">
        <f t="shared" si="28"/>
        <v>5.3823529411764709E-11</v>
      </c>
      <c r="Q58" s="7">
        <f t="shared" si="28"/>
        <v>3.8058823529411758E-10</v>
      </c>
    </row>
    <row r="59" spans="1:17" x14ac:dyDescent="0.25">
      <c r="A59" s="8">
        <v>11</v>
      </c>
      <c r="B59" s="11">
        <v>12</v>
      </c>
      <c r="C59" s="15">
        <v>4.08</v>
      </c>
      <c r="D59">
        <f>730*10^-9</f>
        <v>7.3E-7</v>
      </c>
      <c r="E59">
        <f>1.66*10^-6</f>
        <v>1.6599999999999998E-6</v>
      </c>
      <c r="F59" s="15">
        <f t="shared" si="19"/>
        <v>2.1470588235294118E-11</v>
      </c>
      <c r="G59" s="7">
        <f t="shared" si="20"/>
        <v>4.88235294117647E-11</v>
      </c>
      <c r="H59" s="15">
        <v>4.08</v>
      </c>
      <c r="I59">
        <f>740*10^-9</f>
        <v>7.4000000000000001E-7</v>
      </c>
      <c r="J59">
        <f>1.66*10^-6</f>
        <v>1.6599999999999998E-6</v>
      </c>
      <c r="K59" s="15">
        <f t="shared" si="21"/>
        <v>2.1764705882352942E-11</v>
      </c>
      <c r="L59" s="7">
        <f t="shared" si="22"/>
        <v>4.88235294117647E-11</v>
      </c>
      <c r="M59" s="15">
        <v>3.24</v>
      </c>
      <c r="N59">
        <f>1.81*10^-6</f>
        <v>1.81E-6</v>
      </c>
      <c r="O59">
        <f>13.24*10^-6</f>
        <v>1.324E-5</v>
      </c>
      <c r="P59" s="15">
        <f t="shared" si="28"/>
        <v>5.3235294117647054E-11</v>
      </c>
      <c r="Q59" s="7">
        <f t="shared" si="28"/>
        <v>3.8941176470588234E-10</v>
      </c>
    </row>
    <row r="60" spans="1:17" x14ac:dyDescent="0.25">
      <c r="A60" s="8">
        <v>11</v>
      </c>
      <c r="B60" s="11">
        <v>12.5</v>
      </c>
      <c r="C60" s="15">
        <v>4.12</v>
      </c>
      <c r="D60">
        <f>720*10^-9</f>
        <v>7.2000000000000009E-7</v>
      </c>
      <c r="E60">
        <f>1.6*10^-6</f>
        <v>1.5999999999999999E-6</v>
      </c>
      <c r="F60" s="15">
        <f t="shared" si="19"/>
        <v>2.1176470588235297E-11</v>
      </c>
      <c r="G60" s="7">
        <f t="shared" si="20"/>
        <v>4.7058823529411763E-11</v>
      </c>
      <c r="H60" s="15">
        <v>4.08</v>
      </c>
      <c r="I60">
        <f>750*10^-9</f>
        <v>7.5000000000000002E-7</v>
      </c>
      <c r="J60">
        <f>1.68*10^-6</f>
        <v>1.6799999999999998E-6</v>
      </c>
      <c r="K60" s="15">
        <f t="shared" si="21"/>
        <v>2.2058823529411762E-11</v>
      </c>
      <c r="L60" s="7">
        <f t="shared" si="22"/>
        <v>4.9411764705882341E-11</v>
      </c>
      <c r="M60" s="15">
        <v>3.16</v>
      </c>
      <c r="N60">
        <f>1.86*10^-6</f>
        <v>1.86E-6</v>
      </c>
      <c r="O60">
        <f>13.52*10^-6</f>
        <v>1.3519999999999999E-5</v>
      </c>
      <c r="P60" s="15">
        <f t="shared" si="28"/>
        <v>5.4705882352941177E-11</v>
      </c>
      <c r="Q60" s="7">
        <f t="shared" si="28"/>
        <v>3.976470588235294E-10</v>
      </c>
    </row>
    <row r="61" spans="1:17" x14ac:dyDescent="0.25">
      <c r="A61" s="8">
        <v>11</v>
      </c>
      <c r="B61" s="11">
        <v>13</v>
      </c>
      <c r="C61" s="15">
        <v>4.08</v>
      </c>
      <c r="D61">
        <f t="shared" ref="D61" si="29">710*10^-9</f>
        <v>7.1000000000000008E-7</v>
      </c>
      <c r="E61">
        <f>1.62*10^-6</f>
        <v>1.6199999999999999E-6</v>
      </c>
      <c r="F61" s="15">
        <f t="shared" si="19"/>
        <v>2.0882352941176474E-11</v>
      </c>
      <c r="G61" s="7">
        <f t="shared" si="20"/>
        <v>4.7647058823529411E-11</v>
      </c>
      <c r="H61" s="15">
        <v>4.08</v>
      </c>
      <c r="I61">
        <f>760*10^-9</f>
        <v>7.6000000000000003E-7</v>
      </c>
      <c r="J61">
        <f>1.7*10^-6</f>
        <v>1.6999999999999998E-6</v>
      </c>
      <c r="K61" s="15">
        <f t="shared" si="21"/>
        <v>2.235294117647059E-11</v>
      </c>
      <c r="L61" s="7">
        <f t="shared" si="22"/>
        <v>4.9999999999999995E-11</v>
      </c>
      <c r="M61" s="15">
        <v>3.12</v>
      </c>
      <c r="N61">
        <f>1.8*10^-6</f>
        <v>1.7999999999999999E-6</v>
      </c>
      <c r="O61">
        <f>12.1*10^-6</f>
        <v>1.2099999999999999E-5</v>
      </c>
      <c r="P61" s="15">
        <f t="shared" si="28"/>
        <v>5.2941176470588234E-11</v>
      </c>
      <c r="Q61" s="7">
        <f t="shared" si="28"/>
        <v>3.5588235294117642E-10</v>
      </c>
    </row>
    <row r="62" spans="1:17" x14ac:dyDescent="0.25">
      <c r="A62" s="9">
        <v>11</v>
      </c>
      <c r="B62" s="12">
        <v>14</v>
      </c>
      <c r="C62" s="4">
        <v>4.12</v>
      </c>
      <c r="D62" s="4">
        <f>720*10^-9</f>
        <v>7.2000000000000009E-7</v>
      </c>
      <c r="E62" s="4">
        <f>1.64*10^-6</f>
        <v>1.6399999999999998E-6</v>
      </c>
      <c r="F62" s="17">
        <f t="shared" si="19"/>
        <v>2.1176470588235297E-11</v>
      </c>
      <c r="G62" s="6">
        <f t="shared" si="20"/>
        <v>4.8235294117647052E-11</v>
      </c>
      <c r="H62" s="16">
        <v>4.08</v>
      </c>
      <c r="I62" s="4">
        <f>730*10^-9</f>
        <v>7.3E-7</v>
      </c>
      <c r="J62" s="4">
        <f>1.68*10^-6</f>
        <v>1.6799999999999998E-6</v>
      </c>
      <c r="K62" s="17">
        <f t="shared" si="21"/>
        <v>2.1470588235294118E-11</v>
      </c>
      <c r="L62" s="6">
        <f t="shared" si="22"/>
        <v>4.9411764705882341E-11</v>
      </c>
      <c r="M62" s="4">
        <v>3.12</v>
      </c>
      <c r="N62" s="4">
        <f>1.84*10^-6</f>
        <v>1.84E-6</v>
      </c>
      <c r="O62" s="4">
        <f>11.52*10^-6</f>
        <v>1.152E-5</v>
      </c>
      <c r="P62" s="17">
        <f t="shared" si="28"/>
        <v>5.4117647058823529E-11</v>
      </c>
      <c r="Q62" s="6">
        <f t="shared" si="28"/>
        <v>3.3882352941176471E-10</v>
      </c>
    </row>
    <row r="63" spans="1:17" x14ac:dyDescent="0.25">
      <c r="A63" s="8">
        <v>12</v>
      </c>
      <c r="B63" s="11">
        <v>14</v>
      </c>
      <c r="C63" s="15">
        <v>4</v>
      </c>
      <c r="D63">
        <f>1.27*10^-6</f>
        <v>1.2699999999999999E-6</v>
      </c>
      <c r="E63">
        <f>2.18*10^-6</f>
        <v>2.1799999999999999E-6</v>
      </c>
      <c r="F63" s="15">
        <f t="shared" si="19"/>
        <v>3.7352941176470586E-11</v>
      </c>
      <c r="G63" s="7">
        <f t="shared" si="20"/>
        <v>6.4117647058823527E-11</v>
      </c>
      <c r="H63" s="15">
        <v>3.96</v>
      </c>
      <c r="I63">
        <f>1.28*10^-6</f>
        <v>1.28E-6</v>
      </c>
      <c r="J63">
        <f>2.32*10^-6</f>
        <v>2.3199999999999998E-6</v>
      </c>
      <c r="K63" s="15">
        <f t="shared" si="21"/>
        <v>3.7647058823529413E-11</v>
      </c>
      <c r="L63" s="7">
        <f t="shared" si="22"/>
        <v>6.8235294117647054E-11</v>
      </c>
      <c r="M63" s="15">
        <v>3.28</v>
      </c>
      <c r="N63">
        <f>1.9*10^-6</f>
        <v>1.8999999999999998E-6</v>
      </c>
      <c r="O63">
        <f>11.94*10^-6</f>
        <v>1.1939999999999999E-5</v>
      </c>
      <c r="P63" s="15">
        <f t="shared" si="28"/>
        <v>5.5882352941176466E-11</v>
      </c>
      <c r="Q63" s="7">
        <f t="shared" si="28"/>
        <v>3.5117647058823529E-10</v>
      </c>
    </row>
    <row r="64" spans="1:17" x14ac:dyDescent="0.25">
      <c r="A64" s="8">
        <v>12</v>
      </c>
      <c r="B64" s="11">
        <v>1</v>
      </c>
      <c r="C64" s="15">
        <v>4</v>
      </c>
      <c r="D64">
        <f>1.24*10^-6</f>
        <v>1.24E-6</v>
      </c>
      <c r="E64">
        <f>2.46*10^-6</f>
        <v>2.4599999999999997E-6</v>
      </c>
      <c r="F64" s="15">
        <f t="shared" si="19"/>
        <v>3.6470588235294118E-11</v>
      </c>
      <c r="G64" s="7">
        <f t="shared" si="20"/>
        <v>7.2352941176470569E-11</v>
      </c>
      <c r="H64" s="15">
        <v>3.96</v>
      </c>
      <c r="I64">
        <f>1.16*10^-6</f>
        <v>1.1599999999999999E-6</v>
      </c>
      <c r="J64">
        <f>2.24*10^-6</f>
        <v>2.2400000000000002E-6</v>
      </c>
      <c r="K64" s="15">
        <f t="shared" si="21"/>
        <v>3.4117647058823527E-11</v>
      </c>
      <c r="L64" s="7">
        <f t="shared" si="22"/>
        <v>6.5882352941176476E-11</v>
      </c>
      <c r="M64" s="15">
        <v>3.24</v>
      </c>
      <c r="N64">
        <f>1.89*10^-6</f>
        <v>1.8899999999999999E-6</v>
      </c>
      <c r="O64">
        <f>12.58*10^-6</f>
        <v>1.258E-5</v>
      </c>
      <c r="P64" s="15">
        <f t="shared" si="28"/>
        <v>5.5588235294117645E-11</v>
      </c>
      <c r="Q64" s="7">
        <f t="shared" si="28"/>
        <v>3.7000000000000001E-10</v>
      </c>
    </row>
    <row r="65" spans="1:17" x14ac:dyDescent="0.25">
      <c r="A65" s="8">
        <v>12</v>
      </c>
      <c r="B65" s="11">
        <v>20</v>
      </c>
      <c r="C65" s="15">
        <v>3.96</v>
      </c>
      <c r="D65">
        <f>1.25*10^-6</f>
        <v>1.2499999999999999E-6</v>
      </c>
      <c r="E65">
        <f>2.78*10^-6</f>
        <v>2.7799999999999996E-6</v>
      </c>
      <c r="F65" s="15">
        <f t="shared" si="19"/>
        <v>3.6764705882352939E-11</v>
      </c>
      <c r="G65" s="7">
        <f t="shared" si="20"/>
        <v>8.1764705882352932E-11</v>
      </c>
      <c r="H65" s="15">
        <v>3.92</v>
      </c>
      <c r="I65">
        <f>1.19*10^-6</f>
        <v>1.1899999999999998E-6</v>
      </c>
      <c r="J65">
        <f>2.36*10^-6</f>
        <v>2.3599999999999999E-6</v>
      </c>
      <c r="K65" s="15">
        <f t="shared" si="21"/>
        <v>3.4999999999999995E-11</v>
      </c>
      <c r="L65" s="7">
        <f t="shared" si="22"/>
        <v>6.941176470588235E-11</v>
      </c>
      <c r="M65" s="15">
        <v>3.16</v>
      </c>
      <c r="N65">
        <f>1.86*10^-6</f>
        <v>1.86E-6</v>
      </c>
      <c r="O65">
        <f>13.38*10^-6</f>
        <v>1.3380000000000001E-5</v>
      </c>
      <c r="P65" s="15">
        <f t="shared" si="28"/>
        <v>5.4705882352941177E-11</v>
      </c>
      <c r="Q65" s="7">
        <f t="shared" si="28"/>
        <v>3.9352941176470592E-10</v>
      </c>
    </row>
    <row r="66" spans="1:17" x14ac:dyDescent="0.25">
      <c r="A66" s="8">
        <v>12</v>
      </c>
      <c r="B66" s="11">
        <v>5</v>
      </c>
      <c r="C66" s="15">
        <v>4</v>
      </c>
      <c r="D66">
        <f>1.2*10^-6</f>
        <v>1.1999999999999999E-6</v>
      </c>
      <c r="E66">
        <f>2.22*10^-6</f>
        <v>2.2199999999999999E-6</v>
      </c>
      <c r="F66" s="15">
        <f t="shared" si="19"/>
        <v>3.5294117647058823E-11</v>
      </c>
      <c r="G66" s="7">
        <f t="shared" si="20"/>
        <v>6.5294117647058822E-11</v>
      </c>
      <c r="H66" s="15">
        <v>3.96</v>
      </c>
      <c r="I66">
        <f>1.15*10^-6</f>
        <v>1.1499999999999998E-6</v>
      </c>
      <c r="J66">
        <f>2.16*10^-6</f>
        <v>2.1600000000000001E-6</v>
      </c>
      <c r="K66" s="15">
        <f t="shared" si="21"/>
        <v>3.38235294117647E-11</v>
      </c>
      <c r="L66" s="7">
        <f t="shared" si="22"/>
        <v>6.3529411764705886E-11</v>
      </c>
      <c r="M66" s="15">
        <v>3.12</v>
      </c>
      <c r="N66">
        <f>1.92*10^-6</f>
        <v>1.9199999999999998E-6</v>
      </c>
      <c r="O66">
        <f>12.12*10^-6</f>
        <v>1.2119999999999999E-5</v>
      </c>
      <c r="P66" s="15">
        <f t="shared" ref="P66:Q81" si="30">(N66/5)/(6.8*10^3)</f>
        <v>5.6470588235294107E-11</v>
      </c>
      <c r="Q66" s="7">
        <f t="shared" si="30"/>
        <v>3.5647058823529412E-10</v>
      </c>
    </row>
    <row r="67" spans="1:17" x14ac:dyDescent="0.25">
      <c r="A67" s="9">
        <v>12</v>
      </c>
      <c r="B67" s="12">
        <v>17</v>
      </c>
      <c r="C67" s="4">
        <v>3.96</v>
      </c>
      <c r="D67" s="4">
        <f>1.18*10^-6</f>
        <v>1.1799999999999999E-6</v>
      </c>
      <c r="E67" s="4">
        <f>2.36*10^-6</f>
        <v>2.3599999999999999E-6</v>
      </c>
      <c r="F67" s="17">
        <f t="shared" si="19"/>
        <v>3.4705882352941175E-11</v>
      </c>
      <c r="G67" s="6">
        <f t="shared" si="20"/>
        <v>6.941176470588235E-11</v>
      </c>
      <c r="H67" s="4">
        <v>3.92</v>
      </c>
      <c r="I67" s="4">
        <f>1.19*10^-6</f>
        <v>1.1899999999999998E-6</v>
      </c>
      <c r="J67" s="4">
        <f>2.3*10^-6</f>
        <v>2.2999999999999996E-6</v>
      </c>
      <c r="K67" s="17">
        <f t="shared" si="21"/>
        <v>3.4999999999999995E-11</v>
      </c>
      <c r="L67" s="6">
        <f t="shared" si="22"/>
        <v>6.76470588235294E-11</v>
      </c>
      <c r="M67" s="4">
        <v>3.12</v>
      </c>
      <c r="N67" s="4">
        <f>1.93*10^-6</f>
        <v>1.9299999999999997E-6</v>
      </c>
      <c r="O67" s="4">
        <f>12.38*10^-6</f>
        <v>1.238E-5</v>
      </c>
      <c r="P67" s="17">
        <f t="shared" si="30"/>
        <v>5.6764705882352934E-11</v>
      </c>
      <c r="Q67" s="6">
        <f t="shared" si="30"/>
        <v>3.6411764705882352E-10</v>
      </c>
    </row>
    <row r="68" spans="1:17" x14ac:dyDescent="0.25">
      <c r="A68" s="8">
        <v>13</v>
      </c>
      <c r="B68" s="11">
        <v>5</v>
      </c>
      <c r="C68" s="15">
        <v>4.08</v>
      </c>
      <c r="D68">
        <f>690*10^-9</f>
        <v>6.9000000000000006E-7</v>
      </c>
      <c r="E68">
        <f>1.62*10^-6</f>
        <v>1.6199999999999999E-6</v>
      </c>
      <c r="F68" s="15">
        <f t="shared" si="19"/>
        <v>2.0294117647058826E-11</v>
      </c>
      <c r="G68" s="20">
        <f t="shared" si="20"/>
        <v>4.7647058823529411E-11</v>
      </c>
      <c r="H68" s="15">
        <v>4.08</v>
      </c>
      <c r="I68">
        <f>690*10^-9</f>
        <v>6.9000000000000006E-7</v>
      </c>
      <c r="J68">
        <f>2.32*10^-6</f>
        <v>2.3199999999999998E-6</v>
      </c>
      <c r="K68" s="15">
        <f t="shared" si="21"/>
        <v>2.0294117647058826E-11</v>
      </c>
      <c r="L68" s="5">
        <f t="shared" si="22"/>
        <v>6.8235294117647054E-11</v>
      </c>
      <c r="M68" s="15">
        <v>3.48</v>
      </c>
      <c r="N68">
        <f>1.82*10^-6</f>
        <v>1.8199999999999999E-6</v>
      </c>
      <c r="O68">
        <f>12.26*10^-6</f>
        <v>1.226E-5</v>
      </c>
      <c r="P68" s="15">
        <f t="shared" si="30"/>
        <v>5.3529411764705881E-11</v>
      </c>
      <c r="Q68" s="20">
        <f t="shared" si="30"/>
        <v>3.6058823529411765E-10</v>
      </c>
    </row>
    <row r="69" spans="1:17" x14ac:dyDescent="0.25">
      <c r="A69" s="8">
        <v>13</v>
      </c>
      <c r="B69" s="11">
        <v>10</v>
      </c>
      <c r="C69" s="15">
        <v>4.08</v>
      </c>
      <c r="D69">
        <f>680*10^-9</f>
        <v>6.8000000000000005E-7</v>
      </c>
      <c r="E69">
        <f>1.6*10^-6</f>
        <v>1.5999999999999999E-6</v>
      </c>
      <c r="F69" s="15">
        <f t="shared" si="19"/>
        <v>1.9999999999999999E-11</v>
      </c>
      <c r="G69" s="20">
        <f t="shared" si="20"/>
        <v>4.7058823529411763E-11</v>
      </c>
      <c r="H69" s="15">
        <v>4.08</v>
      </c>
      <c r="I69">
        <f>700*10^-9</f>
        <v>7.0000000000000007E-7</v>
      </c>
      <c r="J69">
        <f>2.24*10^-6</f>
        <v>2.2400000000000002E-6</v>
      </c>
      <c r="K69" s="15">
        <f t="shared" si="21"/>
        <v>2.058823529411765E-11</v>
      </c>
      <c r="L69" s="20">
        <f t="shared" si="22"/>
        <v>6.5882352941176476E-11</v>
      </c>
      <c r="M69" s="15">
        <v>3.36</v>
      </c>
      <c r="N69">
        <f>1.79*10^-6</f>
        <v>1.79E-6</v>
      </c>
      <c r="O69">
        <f>11.94*10^-6</f>
        <v>1.1939999999999999E-5</v>
      </c>
      <c r="P69" s="15">
        <f t="shared" si="30"/>
        <v>5.2647058823529413E-11</v>
      </c>
      <c r="Q69" s="20">
        <f t="shared" si="30"/>
        <v>3.5117647058823529E-10</v>
      </c>
    </row>
    <row r="70" spans="1:17" x14ac:dyDescent="0.25">
      <c r="A70" s="8">
        <v>13</v>
      </c>
      <c r="B70" s="11">
        <v>11</v>
      </c>
      <c r="C70" s="15">
        <v>4.12</v>
      </c>
      <c r="D70">
        <f>670*10^-9</f>
        <v>6.7000000000000004E-7</v>
      </c>
      <c r="E70">
        <f>1.66*10^-6</f>
        <v>1.6599999999999998E-6</v>
      </c>
      <c r="F70" s="15">
        <f t="shared" si="19"/>
        <v>1.9705882352941178E-11</v>
      </c>
      <c r="G70" s="20">
        <f t="shared" si="20"/>
        <v>4.88235294117647E-11</v>
      </c>
      <c r="H70" s="15">
        <v>4.08</v>
      </c>
      <c r="I70">
        <f>730*10^-9</f>
        <v>7.3E-7</v>
      </c>
      <c r="J70">
        <f>2.36*10^-6</f>
        <v>2.3599999999999999E-6</v>
      </c>
      <c r="K70" s="15">
        <f t="shared" si="21"/>
        <v>2.1470588235294118E-11</v>
      </c>
      <c r="L70" s="20">
        <f t="shared" si="22"/>
        <v>6.941176470588235E-11</v>
      </c>
      <c r="M70" s="15">
        <v>3.32</v>
      </c>
      <c r="N70">
        <f>1.78*10^-6</f>
        <v>1.7799999999999999E-6</v>
      </c>
      <c r="O70">
        <f>12.42*10^-6</f>
        <v>1.242E-5</v>
      </c>
      <c r="P70" s="15">
        <f t="shared" si="30"/>
        <v>5.235294117647058E-11</v>
      </c>
      <c r="Q70" s="20">
        <f t="shared" si="30"/>
        <v>3.6529411764705878E-10</v>
      </c>
    </row>
    <row r="71" spans="1:17" x14ac:dyDescent="0.25">
      <c r="A71" s="8">
        <v>13</v>
      </c>
      <c r="B71" s="11">
        <v>9</v>
      </c>
      <c r="C71" s="15">
        <v>4.08</v>
      </c>
      <c r="D71">
        <f>690*10^-9</f>
        <v>6.9000000000000006E-7</v>
      </c>
      <c r="E71">
        <f>1.64*10^-6</f>
        <v>1.6399999999999998E-6</v>
      </c>
      <c r="F71" s="15">
        <f t="shared" si="19"/>
        <v>2.0294117647058826E-11</v>
      </c>
      <c r="G71" s="20">
        <f t="shared" si="20"/>
        <v>4.8235294117647052E-11</v>
      </c>
      <c r="H71" s="15">
        <v>4.08</v>
      </c>
      <c r="I71">
        <f>700*10^-9</f>
        <v>7.0000000000000007E-7</v>
      </c>
      <c r="J71">
        <f>2.16*10^-6</f>
        <v>2.1600000000000001E-6</v>
      </c>
      <c r="K71" s="15">
        <f t="shared" si="21"/>
        <v>2.058823529411765E-11</v>
      </c>
      <c r="L71" s="20">
        <f t="shared" si="22"/>
        <v>6.3529411764705886E-11</v>
      </c>
      <c r="M71" s="15">
        <v>3.36</v>
      </c>
      <c r="N71">
        <f>1.79*10^-6</f>
        <v>1.79E-6</v>
      </c>
      <c r="O71">
        <f>11.84*10^-6</f>
        <v>1.184E-5</v>
      </c>
      <c r="P71" s="15">
        <f t="shared" si="30"/>
        <v>5.2647058823529413E-11</v>
      </c>
      <c r="Q71" s="20">
        <f t="shared" si="30"/>
        <v>3.4823529411764707E-10</v>
      </c>
    </row>
    <row r="72" spans="1:17" x14ac:dyDescent="0.25">
      <c r="A72" s="9">
        <v>13</v>
      </c>
      <c r="B72" s="12">
        <v>15</v>
      </c>
      <c r="C72" s="4">
        <v>4.12</v>
      </c>
      <c r="D72" s="4">
        <f>660*10^-9</f>
        <v>6.6000000000000003E-7</v>
      </c>
      <c r="E72" s="4">
        <f>1.58*10^-6</f>
        <v>1.5799999999999999E-6</v>
      </c>
      <c r="F72" s="17">
        <f t="shared" si="19"/>
        <v>1.9411764705882354E-11</v>
      </c>
      <c r="G72" s="6">
        <f t="shared" si="20"/>
        <v>4.6470588235294116E-11</v>
      </c>
      <c r="H72" s="4">
        <v>4.08</v>
      </c>
      <c r="I72" s="4">
        <f>690*10^-9</f>
        <v>6.9000000000000006E-7</v>
      </c>
      <c r="J72" s="4">
        <f>2.3*10^-6</f>
        <v>2.2999999999999996E-6</v>
      </c>
      <c r="K72" s="17">
        <f t="shared" si="21"/>
        <v>2.0294117647058826E-11</v>
      </c>
      <c r="L72" s="6">
        <f t="shared" si="22"/>
        <v>6.76470588235294E-11</v>
      </c>
      <c r="M72" s="4">
        <v>3.32</v>
      </c>
      <c r="N72" s="4">
        <f>1.81*10^-6</f>
        <v>1.81E-6</v>
      </c>
      <c r="O72" s="4">
        <f>11.52*10^-6</f>
        <v>1.152E-5</v>
      </c>
      <c r="P72" s="17">
        <f t="shared" si="30"/>
        <v>5.3235294117647054E-11</v>
      </c>
      <c r="Q72" s="6">
        <f t="shared" si="30"/>
        <v>3.3882352941176471E-10</v>
      </c>
    </row>
    <row r="73" spans="1:17" x14ac:dyDescent="0.25">
      <c r="A73" s="8">
        <v>14</v>
      </c>
      <c r="B73" s="11">
        <v>6</v>
      </c>
      <c r="C73" s="15">
        <v>3.72</v>
      </c>
      <c r="D73">
        <f>1.49*10^-6</f>
        <v>1.4899999999999999E-6</v>
      </c>
      <c r="E73">
        <f>5.42*10^-6</f>
        <v>5.4199999999999998E-6</v>
      </c>
      <c r="F73" s="15">
        <f t="shared" si="19"/>
        <v>4.3823529411764704E-11</v>
      </c>
      <c r="G73" s="20">
        <f t="shared" si="20"/>
        <v>1.5941176470588234E-10</v>
      </c>
      <c r="H73" s="15">
        <v>3.8</v>
      </c>
      <c r="I73">
        <f>1.52*10^-6</f>
        <v>1.5199999999999998E-6</v>
      </c>
      <c r="J73">
        <f>4.92*10^-6</f>
        <v>4.9199999999999995E-6</v>
      </c>
      <c r="K73" s="15">
        <f t="shared" si="21"/>
        <v>4.4705882352941173E-11</v>
      </c>
      <c r="L73" s="20">
        <f t="shared" si="22"/>
        <v>1.4470588235294114E-10</v>
      </c>
      <c r="M73" s="15">
        <v>3</v>
      </c>
      <c r="N73">
        <f>1.77*10^-6</f>
        <v>1.77E-6</v>
      </c>
      <c r="O73">
        <f>13.12*10^-6</f>
        <v>1.3119999999999998E-5</v>
      </c>
      <c r="P73" s="15">
        <f t="shared" si="30"/>
        <v>5.2058823529411766E-11</v>
      </c>
      <c r="Q73" s="20">
        <f t="shared" si="30"/>
        <v>3.8588235294117642E-10</v>
      </c>
    </row>
    <row r="74" spans="1:17" x14ac:dyDescent="0.25">
      <c r="A74" s="8">
        <v>14</v>
      </c>
      <c r="B74" s="11">
        <v>17</v>
      </c>
      <c r="C74" s="15">
        <v>3.76</v>
      </c>
      <c r="D74">
        <f>1.59*10^-6</f>
        <v>1.59E-6</v>
      </c>
      <c r="E74">
        <f>5.14*10^-6</f>
        <v>5.1399999999999991E-6</v>
      </c>
      <c r="F74" s="15">
        <f t="shared" si="19"/>
        <v>4.6764705882352943E-11</v>
      </c>
      <c r="G74" s="20">
        <f t="shared" si="20"/>
        <v>1.5117647058823526E-10</v>
      </c>
      <c r="H74" s="15">
        <v>3.76</v>
      </c>
      <c r="I74">
        <f>1.54*10^-6</f>
        <v>1.5399999999999999E-6</v>
      </c>
      <c r="J74">
        <f>4.7*10^-6</f>
        <v>4.6999999999999999E-6</v>
      </c>
      <c r="K74" s="15">
        <f t="shared" si="21"/>
        <v>4.5294117647058814E-11</v>
      </c>
      <c r="L74" s="20">
        <f t="shared" si="22"/>
        <v>1.3823529411764707E-10</v>
      </c>
      <c r="M74" s="15">
        <v>3.04</v>
      </c>
      <c r="N74">
        <f>1.78*10^-6</f>
        <v>1.7799999999999999E-6</v>
      </c>
      <c r="O74">
        <f>12.44*10^-6</f>
        <v>1.2439999999999999E-5</v>
      </c>
      <c r="P74" s="15">
        <f t="shared" si="30"/>
        <v>5.235294117647058E-11</v>
      </c>
      <c r="Q74" s="20">
        <f t="shared" si="30"/>
        <v>3.6588235294117644E-10</v>
      </c>
    </row>
    <row r="75" spans="1:17" x14ac:dyDescent="0.25">
      <c r="A75" s="8">
        <v>14</v>
      </c>
      <c r="B75" s="11">
        <v>18</v>
      </c>
      <c r="C75" s="15">
        <v>3.72</v>
      </c>
      <c r="D75">
        <f>1.57*10^-6</f>
        <v>1.57E-6</v>
      </c>
      <c r="E75">
        <f>5.55*10^-6</f>
        <v>5.5499999999999994E-6</v>
      </c>
      <c r="F75" s="15">
        <f t="shared" si="19"/>
        <v>4.6176470588235289E-11</v>
      </c>
      <c r="G75" s="20">
        <f t="shared" si="20"/>
        <v>1.6323529411764706E-10</v>
      </c>
      <c r="H75" s="15">
        <v>3.8</v>
      </c>
      <c r="I75">
        <f>1.46*10^-6</f>
        <v>1.46E-6</v>
      </c>
      <c r="J75">
        <f>4.64*10^-6</f>
        <v>4.6399999999999996E-6</v>
      </c>
      <c r="K75" s="15">
        <f t="shared" si="21"/>
        <v>4.2941176470588236E-11</v>
      </c>
      <c r="L75" s="20">
        <f t="shared" si="22"/>
        <v>1.3647058823529411E-10</v>
      </c>
      <c r="M75" s="15">
        <v>3.04</v>
      </c>
      <c r="N75">
        <f>1.8*10^-6</f>
        <v>1.7999999999999999E-6</v>
      </c>
      <c r="O75">
        <f>12.24*10^-6</f>
        <v>1.224E-5</v>
      </c>
      <c r="P75" s="15">
        <f t="shared" si="30"/>
        <v>5.2941176470588234E-11</v>
      </c>
      <c r="Q75" s="20">
        <f t="shared" si="30"/>
        <v>3.6E-10</v>
      </c>
    </row>
    <row r="76" spans="1:17" x14ac:dyDescent="0.25">
      <c r="A76" s="8">
        <v>14</v>
      </c>
      <c r="B76" s="11">
        <v>17</v>
      </c>
      <c r="C76" s="15">
        <v>3.76</v>
      </c>
      <c r="D76">
        <f>1.53*10^-6</f>
        <v>1.53E-6</v>
      </c>
      <c r="E76">
        <f>5.57*10^-6</f>
        <v>5.57E-6</v>
      </c>
      <c r="F76" s="15">
        <f t="shared" si="19"/>
        <v>4.5E-11</v>
      </c>
      <c r="G76" s="20">
        <f t="shared" si="20"/>
        <v>1.6382352941176472E-10</v>
      </c>
      <c r="H76" s="15">
        <v>3.76</v>
      </c>
      <c r="I76">
        <f>1.49*10^-6</f>
        <v>1.4899999999999999E-6</v>
      </c>
      <c r="J76">
        <f>4.76*10^-6</f>
        <v>4.7599999999999993E-6</v>
      </c>
      <c r="K76" s="15">
        <f t="shared" si="21"/>
        <v>4.3823529411764704E-11</v>
      </c>
      <c r="L76" s="20">
        <f t="shared" si="22"/>
        <v>1.3999999999999998E-10</v>
      </c>
      <c r="M76" s="15">
        <v>3.04</v>
      </c>
      <c r="N76">
        <f>1.77*10^-6</f>
        <v>1.77E-6</v>
      </c>
      <c r="O76">
        <f>12.24*10^-6</f>
        <v>1.224E-5</v>
      </c>
      <c r="P76" s="15">
        <f t="shared" si="30"/>
        <v>5.2058823529411766E-11</v>
      </c>
      <c r="Q76" s="20">
        <f t="shared" si="30"/>
        <v>3.6E-10</v>
      </c>
    </row>
    <row r="77" spans="1:17" x14ac:dyDescent="0.25">
      <c r="A77" s="9">
        <v>14</v>
      </c>
      <c r="B77" s="11">
        <v>17</v>
      </c>
      <c r="C77" s="4">
        <v>3.76</v>
      </c>
      <c r="D77" s="4">
        <f>1.57*10^-6</f>
        <v>1.57E-6</v>
      </c>
      <c r="E77" s="4">
        <f>5.6*10^-6</f>
        <v>5.5999999999999997E-6</v>
      </c>
      <c r="F77" s="17">
        <f t="shared" si="19"/>
        <v>4.6176470588235289E-11</v>
      </c>
      <c r="G77" s="6">
        <f t="shared" si="20"/>
        <v>1.6470588235294115E-10</v>
      </c>
      <c r="H77" s="4">
        <v>3.8</v>
      </c>
      <c r="I77" s="4">
        <f>1.47*10^-6</f>
        <v>1.4699999999999999E-6</v>
      </c>
      <c r="J77" s="4">
        <f>4.82*10^-6</f>
        <v>4.8200000000000004E-6</v>
      </c>
      <c r="K77" s="17">
        <f t="shared" si="21"/>
        <v>4.323529411764705E-11</v>
      </c>
      <c r="L77" s="6">
        <f t="shared" si="22"/>
        <v>1.4176470588235294E-10</v>
      </c>
      <c r="M77" s="4">
        <v>3</v>
      </c>
      <c r="N77" s="4">
        <f>1.81*10^-6</f>
        <v>1.81E-6</v>
      </c>
      <c r="O77" s="4">
        <f>12.74*10^-6</f>
        <v>1.274E-5</v>
      </c>
      <c r="P77" s="17">
        <f t="shared" si="30"/>
        <v>5.3235294117647054E-11</v>
      </c>
      <c r="Q77" s="6">
        <f t="shared" si="30"/>
        <v>3.747058823529412E-10</v>
      </c>
    </row>
    <row r="78" spans="1:17" x14ac:dyDescent="0.25">
      <c r="A78" s="8">
        <v>15</v>
      </c>
      <c r="B78" s="11">
        <v>1</v>
      </c>
      <c r="C78" s="15">
        <v>3.6</v>
      </c>
      <c r="D78">
        <f>1.51*10^-6</f>
        <v>1.5099999999999999E-6</v>
      </c>
      <c r="E78">
        <f>5.42*10^-6</f>
        <v>5.4199999999999998E-6</v>
      </c>
      <c r="F78" s="15">
        <f t="shared" si="19"/>
        <v>4.4411764705882352E-11</v>
      </c>
      <c r="G78" s="20">
        <f t="shared" si="20"/>
        <v>1.5941176470588234E-10</v>
      </c>
      <c r="H78" s="15">
        <v>3.48</v>
      </c>
      <c r="I78">
        <f>1.73*10^-6</f>
        <v>1.73E-6</v>
      </c>
      <c r="J78">
        <f>8.54*10^-6</f>
        <v>8.5399999999999996E-6</v>
      </c>
      <c r="K78" s="15">
        <f t="shared" si="21"/>
        <v>5.088235294117647E-11</v>
      </c>
      <c r="L78" s="20">
        <f t="shared" si="22"/>
        <v>2.5117647058823527E-10</v>
      </c>
      <c r="M78" s="15">
        <v>3.08</v>
      </c>
      <c r="N78">
        <f>1.8*10^-6</f>
        <v>1.7999999999999999E-6</v>
      </c>
      <c r="O78">
        <f>11.36*10^-6</f>
        <v>1.136E-5</v>
      </c>
      <c r="P78" s="15">
        <f t="shared" si="30"/>
        <v>5.2941176470588234E-11</v>
      </c>
      <c r="Q78" s="20">
        <f t="shared" si="30"/>
        <v>3.3411764705882353E-10</v>
      </c>
    </row>
    <row r="79" spans="1:17" x14ac:dyDescent="0.25">
      <c r="A79" s="8">
        <v>15</v>
      </c>
      <c r="B79" s="11">
        <v>2</v>
      </c>
      <c r="C79" s="15">
        <v>3.68</v>
      </c>
      <c r="D79">
        <f>1.47*10^-6</f>
        <v>1.4699999999999999E-6</v>
      </c>
      <c r="E79">
        <f>5.14*10^-6</f>
        <v>5.1399999999999991E-6</v>
      </c>
      <c r="F79" s="15">
        <f t="shared" si="19"/>
        <v>4.323529411764705E-11</v>
      </c>
      <c r="G79" s="20">
        <f t="shared" si="20"/>
        <v>1.5117647058823526E-10</v>
      </c>
      <c r="H79" s="15">
        <v>3.48</v>
      </c>
      <c r="I79">
        <f>1.7*10^-6</f>
        <v>1.6999999999999998E-6</v>
      </c>
      <c r="J79">
        <f>7.94*10^-6</f>
        <v>7.9400000000000002E-6</v>
      </c>
      <c r="K79" s="15">
        <f t="shared" si="21"/>
        <v>4.9999999999999995E-11</v>
      </c>
      <c r="L79" s="20">
        <f t="shared" si="22"/>
        <v>2.3352941176470591E-10</v>
      </c>
      <c r="M79" s="15">
        <v>3.08</v>
      </c>
      <c r="N79">
        <f>1.86*10^-6</f>
        <v>1.86E-6</v>
      </c>
      <c r="O79">
        <f>12.52*10^-6</f>
        <v>1.2519999999999999E-5</v>
      </c>
      <c r="P79" s="15">
        <f t="shared" si="30"/>
        <v>5.4705882352941177E-11</v>
      </c>
      <c r="Q79" s="20">
        <f t="shared" si="30"/>
        <v>3.68235294117647E-10</v>
      </c>
    </row>
    <row r="80" spans="1:17" x14ac:dyDescent="0.25">
      <c r="A80" s="8">
        <v>15</v>
      </c>
      <c r="B80" s="11">
        <v>4</v>
      </c>
      <c r="C80" s="15">
        <v>3.64</v>
      </c>
      <c r="D80">
        <f>1.46*10^-6</f>
        <v>1.46E-6</v>
      </c>
      <c r="E80">
        <f>5.55*10^-6</f>
        <v>5.5499999999999994E-6</v>
      </c>
      <c r="F80" s="15">
        <f t="shared" si="19"/>
        <v>4.2941176470588236E-11</v>
      </c>
      <c r="G80" s="20">
        <f t="shared" si="20"/>
        <v>1.6323529411764706E-10</v>
      </c>
      <c r="H80" s="15">
        <v>3.48</v>
      </c>
      <c r="I80">
        <f>1.69*10^-6</f>
        <v>1.6899999999999999E-6</v>
      </c>
      <c r="J80">
        <f>8*10^-6</f>
        <v>7.9999999999999996E-6</v>
      </c>
      <c r="K80" s="15">
        <f t="shared" si="21"/>
        <v>4.9705882352941175E-11</v>
      </c>
      <c r="L80" s="20">
        <f t="shared" si="22"/>
        <v>2.3529411764705882E-10</v>
      </c>
      <c r="M80" s="15">
        <v>3.12</v>
      </c>
      <c r="N80">
        <f>1.87*10^-6</f>
        <v>1.8700000000000001E-6</v>
      </c>
      <c r="O80">
        <f>12.58*10^-6</f>
        <v>1.258E-5</v>
      </c>
      <c r="P80" s="15">
        <f t="shared" si="30"/>
        <v>5.5000000000000004E-11</v>
      </c>
      <c r="Q80" s="20">
        <f t="shared" si="30"/>
        <v>3.7000000000000001E-10</v>
      </c>
    </row>
    <row r="81" spans="1:17" x14ac:dyDescent="0.25">
      <c r="A81" s="8">
        <v>15</v>
      </c>
      <c r="B81" s="11">
        <v>4.5</v>
      </c>
      <c r="C81" s="15">
        <v>3.64</v>
      </c>
      <c r="D81">
        <f>1.49*10^-6</f>
        <v>1.4899999999999999E-6</v>
      </c>
      <c r="E81">
        <f>5.57*10^-6</f>
        <v>5.57E-6</v>
      </c>
      <c r="F81" s="15">
        <f t="shared" si="19"/>
        <v>4.3823529411764704E-11</v>
      </c>
      <c r="G81" s="20">
        <f t="shared" si="20"/>
        <v>1.6382352941176472E-10</v>
      </c>
      <c r="H81" s="15">
        <v>3.48</v>
      </c>
      <c r="I81">
        <f>1.72*10^-6</f>
        <v>1.7199999999999998E-6</v>
      </c>
      <c r="J81">
        <f>8.24*10^-6</f>
        <v>8.239999999999999E-6</v>
      </c>
      <c r="K81" s="15">
        <f t="shared" si="21"/>
        <v>5.0588235294117643E-11</v>
      </c>
      <c r="L81" s="20">
        <f t="shared" si="22"/>
        <v>2.4235294117647056E-10</v>
      </c>
      <c r="M81" s="15">
        <v>3.04</v>
      </c>
      <c r="N81">
        <f>1.81*10^-6</f>
        <v>1.81E-6</v>
      </c>
      <c r="O81">
        <f>12.38*10^-6</f>
        <v>1.238E-5</v>
      </c>
      <c r="P81" s="15">
        <f t="shared" si="30"/>
        <v>5.3235294117647054E-11</v>
      </c>
      <c r="Q81" s="20">
        <f t="shared" si="30"/>
        <v>3.6411764705882352E-10</v>
      </c>
    </row>
    <row r="82" spans="1:17" x14ac:dyDescent="0.25">
      <c r="A82" s="9">
        <v>15</v>
      </c>
      <c r="B82" s="12">
        <v>6</v>
      </c>
      <c r="C82" s="4">
        <v>3.64</v>
      </c>
      <c r="D82" s="4">
        <f>1.47*10^-6</f>
        <v>1.4699999999999999E-6</v>
      </c>
      <c r="E82" s="4">
        <f>5.6*10^-6</f>
        <v>5.5999999999999997E-6</v>
      </c>
      <c r="F82" s="17">
        <f t="shared" si="19"/>
        <v>4.323529411764705E-11</v>
      </c>
      <c r="G82" s="6">
        <f t="shared" si="20"/>
        <v>1.6470588235294115E-10</v>
      </c>
      <c r="H82" s="4">
        <v>3.48</v>
      </c>
      <c r="I82" s="4">
        <f>1.75*10^-6</f>
        <v>1.75E-6</v>
      </c>
      <c r="J82" s="4">
        <f>7.9*10^-6</f>
        <v>7.9000000000000006E-6</v>
      </c>
      <c r="K82" s="17">
        <f t="shared" si="21"/>
        <v>5.1470588235294118E-11</v>
      </c>
      <c r="L82" s="6">
        <f t="shared" si="22"/>
        <v>2.323529411764706E-10</v>
      </c>
      <c r="M82" s="4">
        <v>3.04</v>
      </c>
      <c r="N82" s="4">
        <f>1.82*10^-6</f>
        <v>1.8199999999999999E-6</v>
      </c>
      <c r="O82" s="4">
        <f>12.76*10^-6</f>
        <v>1.276E-5</v>
      </c>
      <c r="P82" s="17">
        <f t="shared" ref="P82:Q87" si="31">(N82/5)/(6.8*10^3)</f>
        <v>5.3529411764705881E-11</v>
      </c>
      <c r="Q82" s="6">
        <f t="shared" si="31"/>
        <v>3.752941176470588E-10</v>
      </c>
    </row>
    <row r="83" spans="1:17" x14ac:dyDescent="0.25">
      <c r="A83" s="8">
        <v>16</v>
      </c>
      <c r="B83" s="11">
        <v>4</v>
      </c>
      <c r="C83" s="15">
        <v>3.96</v>
      </c>
      <c r="D83">
        <f>1.56*10^-6</f>
        <v>1.5599999999999999E-6</v>
      </c>
      <c r="E83">
        <f>6.22*10^-6</f>
        <v>6.2199999999999997E-6</v>
      </c>
      <c r="F83" s="15">
        <f t="shared" si="19"/>
        <v>4.5882352941176468E-11</v>
      </c>
      <c r="G83" s="20">
        <f t="shared" si="20"/>
        <v>1.8294117647058822E-10</v>
      </c>
      <c r="H83" s="15">
        <v>3.72</v>
      </c>
      <c r="I83">
        <f>1.57*10^-6</f>
        <v>1.57E-6</v>
      </c>
      <c r="J83">
        <f>3.34*10^-6</f>
        <v>3.3399999999999998E-6</v>
      </c>
      <c r="K83" s="15">
        <f t="shared" si="21"/>
        <v>4.6176470588235289E-11</v>
      </c>
      <c r="L83" s="20">
        <f t="shared" si="22"/>
        <v>9.8235294117647054E-11</v>
      </c>
      <c r="M83" s="15">
        <v>3.08</v>
      </c>
      <c r="N83">
        <f>1.87*10^-6</f>
        <v>1.8700000000000001E-6</v>
      </c>
      <c r="O83">
        <f>11.46*10^-6</f>
        <v>1.146E-5</v>
      </c>
      <c r="P83" s="15">
        <f t="shared" si="31"/>
        <v>5.5000000000000004E-11</v>
      </c>
      <c r="Q83" s="20">
        <f t="shared" si="31"/>
        <v>3.370588235294118E-10</v>
      </c>
    </row>
    <row r="84" spans="1:17" x14ac:dyDescent="0.25">
      <c r="A84" s="8">
        <v>16</v>
      </c>
      <c r="B84" s="11">
        <v>4.5</v>
      </c>
      <c r="C84" s="15">
        <v>3.92</v>
      </c>
      <c r="D84">
        <f>1.52*10^-6</f>
        <v>1.5199999999999998E-6</v>
      </c>
      <c r="E84">
        <f>6.34*10^-6</f>
        <v>6.3399999999999994E-6</v>
      </c>
      <c r="F84" s="15">
        <f t="shared" si="19"/>
        <v>4.4705882352941173E-11</v>
      </c>
      <c r="G84" s="20">
        <f t="shared" si="20"/>
        <v>1.8647058823529412E-10</v>
      </c>
      <c r="H84" s="15">
        <v>3.68</v>
      </c>
      <c r="I84">
        <f>1.6*10^-6</f>
        <v>1.5999999999999999E-6</v>
      </c>
      <c r="J84">
        <f>4.42*10^-6</f>
        <v>4.42E-6</v>
      </c>
      <c r="K84" s="15">
        <f t="shared" si="21"/>
        <v>4.7058823529411763E-11</v>
      </c>
      <c r="L84" s="20">
        <f t="shared" si="22"/>
        <v>1.3000000000000002E-10</v>
      </c>
      <c r="M84" s="15">
        <v>3.08</v>
      </c>
      <c r="N84">
        <f>1.86*10^-6</f>
        <v>1.86E-6</v>
      </c>
      <c r="O84">
        <f>11.72*10^-6</f>
        <v>1.172E-5</v>
      </c>
      <c r="P84" s="15">
        <f t="shared" si="31"/>
        <v>5.4705882352941177E-11</v>
      </c>
      <c r="Q84" s="20">
        <f t="shared" si="31"/>
        <v>3.4470588235294114E-10</v>
      </c>
    </row>
    <row r="85" spans="1:17" x14ac:dyDescent="0.25">
      <c r="A85" s="8">
        <v>16</v>
      </c>
      <c r="B85" s="11">
        <v>7</v>
      </c>
      <c r="C85" s="15">
        <v>3.96</v>
      </c>
      <c r="D85">
        <f>1.49*10^-6</f>
        <v>1.4899999999999999E-6</v>
      </c>
      <c r="E85">
        <f>6.18*10^-6</f>
        <v>6.1799999999999993E-6</v>
      </c>
      <c r="F85" s="15">
        <f t="shared" si="19"/>
        <v>4.3823529411764704E-11</v>
      </c>
      <c r="G85" s="20">
        <f t="shared" si="20"/>
        <v>1.8176470588235294E-10</v>
      </c>
      <c r="H85" s="15">
        <v>3.64</v>
      </c>
      <c r="I85">
        <f>1.53*10^-6</f>
        <v>1.53E-6</v>
      </c>
      <c r="J85">
        <f>3.94*10^-6</f>
        <v>3.9399999999999995E-6</v>
      </c>
      <c r="K85" s="15">
        <f t="shared" si="21"/>
        <v>4.5E-11</v>
      </c>
      <c r="L85" s="20">
        <f t="shared" si="22"/>
        <v>1.1588235294117646E-10</v>
      </c>
      <c r="M85" s="15">
        <v>3.12</v>
      </c>
      <c r="N85">
        <f>1.84*10^-6</f>
        <v>1.84E-6</v>
      </c>
      <c r="O85">
        <f>12.18*10^-6</f>
        <v>1.2179999999999999E-5</v>
      </c>
      <c r="P85" s="15">
        <f t="shared" si="31"/>
        <v>5.4117647058823529E-11</v>
      </c>
      <c r="Q85" s="20">
        <f t="shared" si="31"/>
        <v>3.5823529411764698E-10</v>
      </c>
    </row>
    <row r="86" spans="1:17" x14ac:dyDescent="0.25">
      <c r="A86" s="8">
        <v>16</v>
      </c>
      <c r="B86" s="11">
        <v>8.5</v>
      </c>
      <c r="C86" s="15">
        <v>3.92</v>
      </c>
      <c r="D86">
        <f>1.57*10^-6</f>
        <v>1.57E-6</v>
      </c>
      <c r="E86">
        <f>6.063*10^-6</f>
        <v>6.0629999999999994E-6</v>
      </c>
      <c r="F86" s="15">
        <f t="shared" si="19"/>
        <v>4.6176470588235289E-11</v>
      </c>
      <c r="G86" s="20">
        <f t="shared" si="20"/>
        <v>1.7832352941176469E-10</v>
      </c>
      <c r="H86" s="15">
        <v>3.68</v>
      </c>
      <c r="I86">
        <f>1.59*10^-6</f>
        <v>1.59E-6</v>
      </c>
      <c r="J86">
        <f>3.44*10^-6</f>
        <v>3.4399999999999997E-6</v>
      </c>
      <c r="K86" s="15">
        <f t="shared" si="21"/>
        <v>4.6764705882352943E-11</v>
      </c>
      <c r="L86" s="20">
        <f t="shared" si="22"/>
        <v>1.0117647058823529E-10</v>
      </c>
      <c r="M86" s="15">
        <v>3.04</v>
      </c>
      <c r="N86">
        <f>1.89*10^-6</f>
        <v>1.8899999999999999E-6</v>
      </c>
      <c r="O86">
        <f>10.98*10^-6</f>
        <v>1.098E-5</v>
      </c>
      <c r="P86" s="15">
        <f t="shared" si="31"/>
        <v>5.5588235294117645E-11</v>
      </c>
      <c r="Q86" s="20">
        <f t="shared" si="31"/>
        <v>3.229411764705882E-10</v>
      </c>
    </row>
    <row r="87" spans="1:17" x14ac:dyDescent="0.25">
      <c r="A87" s="9">
        <v>16</v>
      </c>
      <c r="B87" s="12">
        <v>6</v>
      </c>
      <c r="C87" s="4">
        <v>3.96</v>
      </c>
      <c r="D87" s="4">
        <f>1.53*10^-6</f>
        <v>1.53E-6</v>
      </c>
      <c r="E87" s="4">
        <f>5.96*10^-6</f>
        <v>5.9599999999999997E-6</v>
      </c>
      <c r="F87" s="17">
        <f t="shared" ref="F87:G87" si="32">(D87/5)/(6.8*10^3)</f>
        <v>4.5E-11</v>
      </c>
      <c r="G87" s="6">
        <f t="shared" si="32"/>
        <v>1.7529411764705882E-10</v>
      </c>
      <c r="H87" s="4">
        <v>3.68</v>
      </c>
      <c r="I87" s="4">
        <f>1.56*10^-6</f>
        <v>1.5599999999999999E-6</v>
      </c>
      <c r="J87" s="4">
        <f>3.5*10^-6</f>
        <v>3.4999999999999999E-6</v>
      </c>
      <c r="K87" s="17">
        <f t="shared" ref="K87:L87" si="33">(I87/5)/(6.8*10^3)</f>
        <v>4.5882352941176468E-11</v>
      </c>
      <c r="L87" s="6">
        <f t="shared" si="33"/>
        <v>1.0294117647058824E-10</v>
      </c>
      <c r="M87" s="4">
        <v>3.04</v>
      </c>
      <c r="N87" s="4">
        <f>1.86*10^-6</f>
        <v>1.86E-6</v>
      </c>
      <c r="O87" s="4">
        <f>11.3*10^-6</f>
        <v>1.13E-5</v>
      </c>
      <c r="P87" s="17">
        <f t="shared" si="31"/>
        <v>5.4705882352941177E-11</v>
      </c>
      <c r="Q87" s="6">
        <f t="shared" si="31"/>
        <v>3.3235294117647056E-10</v>
      </c>
    </row>
  </sheetData>
  <mergeCells count="5">
    <mergeCell ref="M1:Q1"/>
    <mergeCell ref="A1:A2"/>
    <mergeCell ref="B1:B2"/>
    <mergeCell ref="C1:G1"/>
    <mergeCell ref="H1:L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workbookViewId="0">
      <selection activeCell="A16" sqref="A16"/>
    </sheetView>
  </sheetViews>
  <sheetFormatPr defaultRowHeight="15" x14ac:dyDescent="0.25"/>
  <cols>
    <col min="1" max="1" width="33.5703125" bestFit="1" customWidth="1"/>
    <col min="2" max="2" width="37.140625" bestFit="1" customWidth="1"/>
    <col min="5" max="5" width="33.5703125" bestFit="1" customWidth="1"/>
    <col min="6" max="6" width="42.85546875" customWidth="1"/>
  </cols>
  <sheetData>
    <row r="1" spans="1:6" x14ac:dyDescent="0.25">
      <c r="A1" s="31" t="s">
        <v>0</v>
      </c>
      <c r="B1" s="32" t="s">
        <v>5</v>
      </c>
      <c r="E1" s="31" t="s">
        <v>0</v>
      </c>
      <c r="F1" s="32" t="s">
        <v>11</v>
      </c>
    </row>
    <row r="2" spans="1:6" x14ac:dyDescent="0.25">
      <c r="A2" s="34"/>
      <c r="B2" s="33"/>
      <c r="E2" s="34"/>
      <c r="F2" s="33"/>
    </row>
    <row r="3" spans="1:6" x14ac:dyDescent="0.25">
      <c r="A3" s="24">
        <v>0.5</v>
      </c>
      <c r="B3" s="5">
        <v>1</v>
      </c>
      <c r="E3" s="26">
        <v>0.5</v>
      </c>
      <c r="F3" s="26">
        <f>B8</f>
        <v>1</v>
      </c>
    </row>
    <row r="4" spans="1:6" x14ac:dyDescent="0.25">
      <c r="A4" s="24">
        <v>0.5</v>
      </c>
      <c r="B4" s="24">
        <v>1</v>
      </c>
      <c r="E4" s="27">
        <v>1</v>
      </c>
      <c r="F4" s="26">
        <f>B14</f>
        <v>1.5</v>
      </c>
    </row>
    <row r="5" spans="1:6" x14ac:dyDescent="0.25">
      <c r="A5" s="24">
        <v>0.5</v>
      </c>
      <c r="B5" s="24">
        <v>1</v>
      </c>
      <c r="E5" s="27">
        <v>2</v>
      </c>
      <c r="F5" s="26">
        <f>B20</f>
        <v>1.7399999999999998</v>
      </c>
    </row>
    <row r="6" spans="1:6" x14ac:dyDescent="0.25">
      <c r="A6" s="24">
        <v>0.5</v>
      </c>
      <c r="B6" s="24">
        <v>1</v>
      </c>
      <c r="E6" s="27">
        <v>3</v>
      </c>
      <c r="F6" s="26">
        <f>B26</f>
        <v>1.64</v>
      </c>
    </row>
    <row r="7" spans="1:6" x14ac:dyDescent="0.25">
      <c r="A7" s="6">
        <v>0.5</v>
      </c>
      <c r="B7" s="6">
        <v>1</v>
      </c>
      <c r="E7" s="27">
        <f>4*4</f>
        <v>16</v>
      </c>
      <c r="F7" s="26">
        <f>B32</f>
        <v>2.8199999999999994</v>
      </c>
    </row>
    <row r="8" spans="1:6" x14ac:dyDescent="0.25">
      <c r="A8" s="25" t="s">
        <v>10</v>
      </c>
      <c r="B8" s="25">
        <f>AVERAGE(B3:B7)</f>
        <v>1</v>
      </c>
      <c r="E8" s="27">
        <f>5*5</f>
        <v>25</v>
      </c>
      <c r="F8" s="26">
        <f>B38</f>
        <v>4.42</v>
      </c>
    </row>
    <row r="9" spans="1:6" x14ac:dyDescent="0.25">
      <c r="A9" s="8">
        <v>1</v>
      </c>
      <c r="B9" s="11">
        <v>0.5</v>
      </c>
      <c r="E9" s="27">
        <f>6*6</f>
        <v>36</v>
      </c>
      <c r="F9" s="26">
        <f>B44</f>
        <v>5.0600000000000005</v>
      </c>
    </row>
    <row r="10" spans="1:6" x14ac:dyDescent="0.25">
      <c r="A10" s="8">
        <v>1</v>
      </c>
      <c r="B10" s="11">
        <v>2.5</v>
      </c>
      <c r="E10" s="27">
        <f>7*7</f>
        <v>49</v>
      </c>
      <c r="F10" s="26">
        <f>B50</f>
        <v>5.64</v>
      </c>
    </row>
    <row r="11" spans="1:6" x14ac:dyDescent="0.25">
      <c r="A11" s="8">
        <v>1</v>
      </c>
      <c r="B11" s="11">
        <v>1</v>
      </c>
      <c r="E11" s="27">
        <f>8*8</f>
        <v>64</v>
      </c>
      <c r="F11" s="26">
        <f>B56</f>
        <v>6.62</v>
      </c>
    </row>
    <row r="12" spans="1:6" x14ac:dyDescent="0.25">
      <c r="A12" s="8">
        <v>1</v>
      </c>
      <c r="B12" s="11">
        <v>2</v>
      </c>
      <c r="E12" s="27">
        <f>9*9</f>
        <v>81</v>
      </c>
      <c r="F12" s="26">
        <f>B62</f>
        <v>9.24</v>
      </c>
    </row>
    <row r="13" spans="1:6" x14ac:dyDescent="0.25">
      <c r="A13" s="9">
        <v>1</v>
      </c>
      <c r="B13" s="12">
        <v>1.5</v>
      </c>
      <c r="E13" s="27">
        <f>10*10</f>
        <v>100</v>
      </c>
      <c r="F13" s="26">
        <f>B68</f>
        <v>10.7</v>
      </c>
    </row>
    <row r="14" spans="1:6" x14ac:dyDescent="0.25">
      <c r="A14" s="25" t="s">
        <v>10</v>
      </c>
      <c r="B14" s="25">
        <f>AVERAGE(B9:B13)</f>
        <v>1.5</v>
      </c>
      <c r="E14" s="27">
        <f>11*11</f>
        <v>121</v>
      </c>
      <c r="F14" s="26">
        <f>B74</f>
        <v>12.4</v>
      </c>
    </row>
    <row r="15" spans="1:6" x14ac:dyDescent="0.25">
      <c r="A15" s="8">
        <v>2</v>
      </c>
      <c r="B15" s="11">
        <v>1.5</v>
      </c>
      <c r="E15" s="27">
        <f>12*12</f>
        <v>144</v>
      </c>
      <c r="F15" s="26">
        <f>B80</f>
        <v>11.4</v>
      </c>
    </row>
    <row r="16" spans="1:6" x14ac:dyDescent="0.25">
      <c r="A16" s="8">
        <v>2</v>
      </c>
      <c r="B16" s="11">
        <v>2</v>
      </c>
      <c r="E16" s="27">
        <f>13*13</f>
        <v>169</v>
      </c>
      <c r="F16" s="26">
        <f>B86</f>
        <v>10</v>
      </c>
    </row>
    <row r="17" spans="1:6" x14ac:dyDescent="0.25">
      <c r="A17" s="8">
        <v>2</v>
      </c>
      <c r="B17" s="11">
        <v>1.5</v>
      </c>
      <c r="E17" s="27">
        <f>14*14</f>
        <v>196</v>
      </c>
      <c r="F17" s="26">
        <f>B92</f>
        <v>15</v>
      </c>
    </row>
    <row r="18" spans="1:6" x14ac:dyDescent="0.25">
      <c r="A18" s="8">
        <v>2</v>
      </c>
      <c r="B18" s="11">
        <v>2.1</v>
      </c>
      <c r="E18" s="27">
        <f>15*15</f>
        <v>225</v>
      </c>
      <c r="F18" s="26">
        <f>B98</f>
        <v>3.5</v>
      </c>
    </row>
    <row r="19" spans="1:6" x14ac:dyDescent="0.25">
      <c r="A19" s="9">
        <v>2</v>
      </c>
      <c r="B19" s="12">
        <v>1.6</v>
      </c>
      <c r="E19" s="27">
        <f>16*16</f>
        <v>256</v>
      </c>
      <c r="F19" s="26">
        <f>B104</f>
        <v>6</v>
      </c>
    </row>
    <row r="20" spans="1:6" x14ac:dyDescent="0.25">
      <c r="A20" s="25" t="s">
        <v>10</v>
      </c>
      <c r="B20" s="25">
        <f>AVERAGE(B15:B19)</f>
        <v>1.7399999999999998</v>
      </c>
    </row>
    <row r="21" spans="1:6" x14ac:dyDescent="0.25">
      <c r="A21" s="8">
        <v>3</v>
      </c>
      <c r="B21" s="18">
        <v>1</v>
      </c>
    </row>
    <row r="22" spans="1:6" x14ac:dyDescent="0.25">
      <c r="A22" s="8">
        <v>3</v>
      </c>
      <c r="B22" s="18">
        <v>1.5</v>
      </c>
    </row>
    <row r="23" spans="1:6" x14ac:dyDescent="0.25">
      <c r="A23" s="8">
        <v>3</v>
      </c>
      <c r="B23" s="18">
        <v>1.8</v>
      </c>
    </row>
    <row r="24" spans="1:6" x14ac:dyDescent="0.25">
      <c r="A24" s="8">
        <v>3</v>
      </c>
      <c r="B24" s="18">
        <v>1.7</v>
      </c>
    </row>
    <row r="25" spans="1:6" x14ac:dyDescent="0.25">
      <c r="A25" s="9">
        <v>3</v>
      </c>
      <c r="B25" s="19">
        <v>2.2000000000000002</v>
      </c>
    </row>
    <row r="26" spans="1:6" x14ac:dyDescent="0.25">
      <c r="A26" s="25" t="s">
        <v>10</v>
      </c>
      <c r="B26" s="25">
        <f>AVERAGE(B21:B25)</f>
        <v>1.64</v>
      </c>
    </row>
    <row r="27" spans="1:6" x14ac:dyDescent="0.25">
      <c r="A27" s="8">
        <v>4</v>
      </c>
      <c r="B27" s="10">
        <v>3</v>
      </c>
    </row>
    <row r="28" spans="1:6" x14ac:dyDescent="0.25">
      <c r="A28" s="8">
        <v>4</v>
      </c>
      <c r="B28" s="11">
        <v>2.6</v>
      </c>
    </row>
    <row r="29" spans="1:6" x14ac:dyDescent="0.25">
      <c r="A29" s="8">
        <v>4</v>
      </c>
      <c r="B29" s="11">
        <v>2.5</v>
      </c>
    </row>
    <row r="30" spans="1:6" x14ac:dyDescent="0.25">
      <c r="A30" s="8">
        <v>4</v>
      </c>
      <c r="B30" s="11">
        <v>2.8</v>
      </c>
    </row>
    <row r="31" spans="1:6" x14ac:dyDescent="0.25">
      <c r="A31" s="9">
        <v>4</v>
      </c>
      <c r="B31" s="12">
        <v>3.2</v>
      </c>
    </row>
    <row r="32" spans="1:6" x14ac:dyDescent="0.25">
      <c r="A32" s="25" t="s">
        <v>10</v>
      </c>
      <c r="B32" s="25">
        <f>AVERAGE(B27:B31)</f>
        <v>2.8199999999999994</v>
      </c>
    </row>
    <row r="33" spans="1:2" x14ac:dyDescent="0.25">
      <c r="A33" s="8">
        <v>5</v>
      </c>
      <c r="B33" s="18">
        <v>3.5</v>
      </c>
    </row>
    <row r="34" spans="1:2" x14ac:dyDescent="0.25">
      <c r="A34" s="8">
        <v>5</v>
      </c>
      <c r="B34" s="18">
        <v>4.5</v>
      </c>
    </row>
    <row r="35" spans="1:2" x14ac:dyDescent="0.25">
      <c r="A35" s="8">
        <v>5</v>
      </c>
      <c r="B35" s="18">
        <v>4.5999999999999996</v>
      </c>
    </row>
    <row r="36" spans="1:2" x14ac:dyDescent="0.25">
      <c r="A36" s="8">
        <v>5</v>
      </c>
      <c r="B36" s="18">
        <v>4.8</v>
      </c>
    </row>
    <row r="37" spans="1:2" x14ac:dyDescent="0.25">
      <c r="A37" s="9">
        <v>5</v>
      </c>
      <c r="B37" s="12">
        <v>4.7</v>
      </c>
    </row>
    <row r="38" spans="1:2" x14ac:dyDescent="0.25">
      <c r="A38" s="25" t="s">
        <v>10</v>
      </c>
      <c r="B38" s="25">
        <f>AVERAGE(B33:B37)</f>
        <v>4.42</v>
      </c>
    </row>
    <row r="39" spans="1:2" x14ac:dyDescent="0.25">
      <c r="A39" s="8">
        <v>6</v>
      </c>
      <c r="B39" s="10">
        <v>4</v>
      </c>
    </row>
    <row r="40" spans="1:2" x14ac:dyDescent="0.25">
      <c r="A40" s="8">
        <v>6</v>
      </c>
      <c r="B40" s="11">
        <v>4.5</v>
      </c>
    </row>
    <row r="41" spans="1:2" x14ac:dyDescent="0.25">
      <c r="A41" s="8">
        <v>6</v>
      </c>
      <c r="B41" s="11">
        <v>5.4</v>
      </c>
    </row>
    <row r="42" spans="1:2" x14ac:dyDescent="0.25">
      <c r="A42" s="8">
        <v>6</v>
      </c>
      <c r="B42" s="11">
        <v>5.4</v>
      </c>
    </row>
    <row r="43" spans="1:2" x14ac:dyDescent="0.25">
      <c r="A43" s="9">
        <v>6</v>
      </c>
      <c r="B43" s="12">
        <v>6</v>
      </c>
    </row>
    <row r="44" spans="1:2" x14ac:dyDescent="0.25">
      <c r="A44" s="25" t="s">
        <v>10</v>
      </c>
      <c r="B44" s="25">
        <f>AVERAGE(B39:B43)</f>
        <v>5.0600000000000005</v>
      </c>
    </row>
    <row r="45" spans="1:2" x14ac:dyDescent="0.25">
      <c r="A45" s="8">
        <v>7</v>
      </c>
      <c r="B45" s="10">
        <v>5</v>
      </c>
    </row>
    <row r="46" spans="1:2" x14ac:dyDescent="0.25">
      <c r="A46" s="8">
        <v>7</v>
      </c>
      <c r="B46" s="11">
        <v>5.3</v>
      </c>
    </row>
    <row r="47" spans="1:2" x14ac:dyDescent="0.25">
      <c r="A47" s="8">
        <v>7</v>
      </c>
      <c r="B47" s="11">
        <v>5.7</v>
      </c>
    </row>
    <row r="48" spans="1:2" x14ac:dyDescent="0.25">
      <c r="A48" s="8">
        <v>7</v>
      </c>
      <c r="B48" s="11">
        <v>6.2</v>
      </c>
    </row>
    <row r="49" spans="1:2" x14ac:dyDescent="0.25">
      <c r="A49" s="9">
        <v>7</v>
      </c>
      <c r="B49" s="12">
        <v>6</v>
      </c>
    </row>
    <row r="50" spans="1:2" x14ac:dyDescent="0.25">
      <c r="A50" s="25" t="s">
        <v>10</v>
      </c>
      <c r="B50" s="25">
        <f>AVERAGE(B45:B49)</f>
        <v>5.64</v>
      </c>
    </row>
    <row r="51" spans="1:2" x14ac:dyDescent="0.25">
      <c r="A51" s="8">
        <v>8</v>
      </c>
      <c r="B51" s="10">
        <v>4.4000000000000004</v>
      </c>
    </row>
    <row r="52" spans="1:2" x14ac:dyDescent="0.25">
      <c r="A52" s="8">
        <v>8</v>
      </c>
      <c r="B52" s="11">
        <v>6.7</v>
      </c>
    </row>
    <row r="53" spans="1:2" x14ac:dyDescent="0.25">
      <c r="A53" s="8">
        <v>8</v>
      </c>
      <c r="B53" s="11">
        <v>7</v>
      </c>
    </row>
    <row r="54" spans="1:2" x14ac:dyDescent="0.25">
      <c r="A54" s="8">
        <v>8</v>
      </c>
      <c r="B54" s="11">
        <v>7.5</v>
      </c>
    </row>
    <row r="55" spans="1:2" x14ac:dyDescent="0.25">
      <c r="A55" s="9">
        <v>8</v>
      </c>
      <c r="B55" s="12">
        <v>7.5</v>
      </c>
    </row>
    <row r="56" spans="1:2" x14ac:dyDescent="0.25">
      <c r="A56" s="25" t="s">
        <v>10</v>
      </c>
      <c r="B56" s="25">
        <f>AVERAGE(B51:B55)</f>
        <v>6.62</v>
      </c>
    </row>
    <row r="57" spans="1:2" x14ac:dyDescent="0.25">
      <c r="A57" s="8">
        <v>9</v>
      </c>
      <c r="B57" s="10">
        <v>9.5</v>
      </c>
    </row>
    <row r="58" spans="1:2" x14ac:dyDescent="0.25">
      <c r="A58" s="8">
        <v>9</v>
      </c>
      <c r="B58" s="11">
        <v>10</v>
      </c>
    </row>
    <row r="59" spans="1:2" x14ac:dyDescent="0.25">
      <c r="A59" s="8">
        <v>9</v>
      </c>
      <c r="B59" s="11">
        <v>10.199999999999999</v>
      </c>
    </row>
    <row r="60" spans="1:2" x14ac:dyDescent="0.25">
      <c r="A60" s="8">
        <v>9</v>
      </c>
      <c r="B60" s="11">
        <v>10.5</v>
      </c>
    </row>
    <row r="61" spans="1:2" x14ac:dyDescent="0.25">
      <c r="A61" s="9">
        <v>9</v>
      </c>
      <c r="B61" s="12">
        <v>6</v>
      </c>
    </row>
    <row r="62" spans="1:2" x14ac:dyDescent="0.25">
      <c r="A62" s="25" t="s">
        <v>10</v>
      </c>
      <c r="B62" s="25">
        <f>AVERAGE(B57:B61)</f>
        <v>9.24</v>
      </c>
    </row>
    <row r="63" spans="1:2" x14ac:dyDescent="0.25">
      <c r="A63" s="8">
        <v>10</v>
      </c>
      <c r="B63" s="10">
        <v>7.5</v>
      </c>
    </row>
    <row r="64" spans="1:2" x14ac:dyDescent="0.25">
      <c r="A64" s="8">
        <v>10</v>
      </c>
      <c r="B64" s="11">
        <v>10</v>
      </c>
    </row>
    <row r="65" spans="1:2" x14ac:dyDescent="0.25">
      <c r="A65" s="8">
        <v>10</v>
      </c>
      <c r="B65" s="11">
        <v>11</v>
      </c>
    </row>
    <row r="66" spans="1:2" x14ac:dyDescent="0.25">
      <c r="A66" s="8">
        <v>10</v>
      </c>
      <c r="B66" s="11">
        <v>12</v>
      </c>
    </row>
    <row r="67" spans="1:2" x14ac:dyDescent="0.25">
      <c r="A67" s="9">
        <v>10</v>
      </c>
      <c r="B67" s="12">
        <v>13</v>
      </c>
    </row>
    <row r="68" spans="1:2" x14ac:dyDescent="0.25">
      <c r="A68" s="25" t="s">
        <v>10</v>
      </c>
      <c r="B68" s="25">
        <f>AVERAGE(B63:B67)</f>
        <v>10.7</v>
      </c>
    </row>
    <row r="69" spans="1:2" x14ac:dyDescent="0.25">
      <c r="A69" s="8">
        <v>11</v>
      </c>
      <c r="B69" s="10">
        <v>10.5</v>
      </c>
    </row>
    <row r="70" spans="1:2" x14ac:dyDescent="0.25">
      <c r="A70" s="8">
        <v>11</v>
      </c>
      <c r="B70" s="11">
        <v>12</v>
      </c>
    </row>
    <row r="71" spans="1:2" x14ac:dyDescent="0.25">
      <c r="A71" s="8">
        <v>11</v>
      </c>
      <c r="B71" s="11">
        <v>12.5</v>
      </c>
    </row>
    <row r="72" spans="1:2" x14ac:dyDescent="0.25">
      <c r="A72" s="8">
        <v>11</v>
      </c>
      <c r="B72" s="11">
        <v>13</v>
      </c>
    </row>
    <row r="73" spans="1:2" x14ac:dyDescent="0.25">
      <c r="A73" s="9">
        <v>11</v>
      </c>
      <c r="B73" s="12">
        <v>14</v>
      </c>
    </row>
    <row r="74" spans="1:2" x14ac:dyDescent="0.25">
      <c r="A74" s="25" t="s">
        <v>10</v>
      </c>
      <c r="B74" s="25">
        <f>AVERAGE(B69:B73)</f>
        <v>12.4</v>
      </c>
    </row>
    <row r="75" spans="1:2" x14ac:dyDescent="0.25">
      <c r="A75" s="8">
        <v>12</v>
      </c>
      <c r="B75" s="11">
        <v>14</v>
      </c>
    </row>
    <row r="76" spans="1:2" x14ac:dyDescent="0.25">
      <c r="A76" s="8">
        <v>12</v>
      </c>
      <c r="B76" s="11">
        <v>1</v>
      </c>
    </row>
    <row r="77" spans="1:2" x14ac:dyDescent="0.25">
      <c r="A77" s="8">
        <v>12</v>
      </c>
      <c r="B77" s="11">
        <v>20</v>
      </c>
    </row>
    <row r="78" spans="1:2" x14ac:dyDescent="0.25">
      <c r="A78" s="8">
        <v>12</v>
      </c>
      <c r="B78" s="11">
        <v>5</v>
      </c>
    </row>
    <row r="79" spans="1:2" x14ac:dyDescent="0.25">
      <c r="A79" s="9">
        <v>12</v>
      </c>
      <c r="B79" s="12">
        <v>17</v>
      </c>
    </row>
    <row r="80" spans="1:2" x14ac:dyDescent="0.25">
      <c r="A80" s="25" t="s">
        <v>10</v>
      </c>
      <c r="B80" s="25">
        <f>AVERAGE(B75:B79)</f>
        <v>11.4</v>
      </c>
    </row>
    <row r="81" spans="1:2" x14ac:dyDescent="0.25">
      <c r="A81" s="8">
        <v>13</v>
      </c>
      <c r="B81" s="11">
        <v>5</v>
      </c>
    </row>
    <row r="82" spans="1:2" x14ac:dyDescent="0.25">
      <c r="A82" s="8">
        <v>13</v>
      </c>
      <c r="B82" s="11">
        <v>10</v>
      </c>
    </row>
    <row r="83" spans="1:2" x14ac:dyDescent="0.25">
      <c r="A83" s="8">
        <v>13</v>
      </c>
      <c r="B83" s="11">
        <v>11</v>
      </c>
    </row>
    <row r="84" spans="1:2" x14ac:dyDescent="0.25">
      <c r="A84" s="8">
        <v>13</v>
      </c>
      <c r="B84" s="11">
        <v>9</v>
      </c>
    </row>
    <row r="85" spans="1:2" x14ac:dyDescent="0.25">
      <c r="A85" s="9">
        <v>13</v>
      </c>
      <c r="B85" s="12">
        <v>15</v>
      </c>
    </row>
    <row r="86" spans="1:2" x14ac:dyDescent="0.25">
      <c r="A86" s="25" t="s">
        <v>10</v>
      </c>
      <c r="B86" s="25">
        <f>AVERAGE(B81:B85)</f>
        <v>10</v>
      </c>
    </row>
    <row r="87" spans="1:2" x14ac:dyDescent="0.25">
      <c r="A87" s="8">
        <v>14</v>
      </c>
      <c r="B87" s="11">
        <v>6</v>
      </c>
    </row>
    <row r="88" spans="1:2" x14ac:dyDescent="0.25">
      <c r="A88" s="8">
        <v>14</v>
      </c>
      <c r="B88" s="11">
        <v>17</v>
      </c>
    </row>
    <row r="89" spans="1:2" x14ac:dyDescent="0.25">
      <c r="A89" s="8">
        <v>14</v>
      </c>
      <c r="B89" s="11">
        <v>18</v>
      </c>
    </row>
    <row r="90" spans="1:2" x14ac:dyDescent="0.25">
      <c r="A90" s="8">
        <v>14</v>
      </c>
      <c r="B90" s="11">
        <v>17</v>
      </c>
    </row>
    <row r="91" spans="1:2" x14ac:dyDescent="0.25">
      <c r="A91" s="9">
        <v>14</v>
      </c>
      <c r="B91" s="11">
        <v>17</v>
      </c>
    </row>
    <row r="92" spans="1:2" x14ac:dyDescent="0.25">
      <c r="A92" s="25" t="s">
        <v>10</v>
      </c>
      <c r="B92" s="25">
        <f>AVERAGE(B87:B91)</f>
        <v>15</v>
      </c>
    </row>
    <row r="93" spans="1:2" x14ac:dyDescent="0.25">
      <c r="A93" s="8">
        <v>15</v>
      </c>
      <c r="B93" s="11">
        <v>1</v>
      </c>
    </row>
    <row r="94" spans="1:2" x14ac:dyDescent="0.25">
      <c r="A94" s="8">
        <v>15</v>
      </c>
      <c r="B94" s="11">
        <v>2</v>
      </c>
    </row>
    <row r="95" spans="1:2" x14ac:dyDescent="0.25">
      <c r="A95" s="8">
        <v>15</v>
      </c>
      <c r="B95" s="11">
        <v>4</v>
      </c>
    </row>
    <row r="96" spans="1:2" x14ac:dyDescent="0.25">
      <c r="A96" s="8">
        <v>15</v>
      </c>
      <c r="B96" s="11">
        <v>4.5</v>
      </c>
    </row>
    <row r="97" spans="1:2" x14ac:dyDescent="0.25">
      <c r="A97" s="9">
        <v>15</v>
      </c>
      <c r="B97" s="12">
        <v>6</v>
      </c>
    </row>
    <row r="98" spans="1:2" x14ac:dyDescent="0.25">
      <c r="A98" s="25" t="s">
        <v>10</v>
      </c>
      <c r="B98" s="25">
        <f>AVERAGE(B93:B97)</f>
        <v>3.5</v>
      </c>
    </row>
    <row r="99" spans="1:2" x14ac:dyDescent="0.25">
      <c r="A99" s="8">
        <v>16</v>
      </c>
      <c r="B99" s="11">
        <v>4</v>
      </c>
    </row>
    <row r="100" spans="1:2" x14ac:dyDescent="0.25">
      <c r="A100" s="8">
        <v>16</v>
      </c>
      <c r="B100" s="11">
        <v>4.5</v>
      </c>
    </row>
    <row r="101" spans="1:2" x14ac:dyDescent="0.25">
      <c r="A101" s="8">
        <v>16</v>
      </c>
      <c r="B101" s="11">
        <v>7</v>
      </c>
    </row>
    <row r="102" spans="1:2" x14ac:dyDescent="0.25">
      <c r="A102" s="8">
        <v>16</v>
      </c>
      <c r="B102" s="11">
        <v>8.5</v>
      </c>
    </row>
    <row r="103" spans="1:2" x14ac:dyDescent="0.25">
      <c r="A103" s="9">
        <v>16</v>
      </c>
      <c r="B103" s="12">
        <v>6</v>
      </c>
    </row>
    <row r="104" spans="1:2" x14ac:dyDescent="0.25">
      <c r="A104" s="25" t="s">
        <v>10</v>
      </c>
      <c r="B104" s="25">
        <f>AVERAGE(B99:B103)</f>
        <v>6</v>
      </c>
    </row>
  </sheetData>
  <mergeCells count="4">
    <mergeCell ref="A1:A2"/>
    <mergeCell ref="B1:B2"/>
    <mergeCell ref="E1:E2"/>
    <mergeCell ref="F1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Cu-Polyimide Sensor Plate</vt:lpstr>
      <vt:lpstr>Compiled Average Results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</dc:creator>
  <cp:lastModifiedBy>Ojuroye O.O.</cp:lastModifiedBy>
  <dcterms:created xsi:type="dcterms:W3CDTF">2017-11-02T15:46:56Z</dcterms:created>
  <dcterms:modified xsi:type="dcterms:W3CDTF">2019-03-24T15:41:33Z</dcterms:modified>
</cp:coreProperties>
</file>