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730" windowHeight="11700" activeTab="5"/>
  </bookViews>
  <sheets>
    <sheet name="Before Washing" sheetId="1" r:id="rId1"/>
    <sheet name="15min wash" sheetId="2" r:id="rId2"/>
    <sheet name="30min wash" sheetId="3" r:id="rId3"/>
    <sheet name="45min wash " sheetId="4" r:id="rId4"/>
    <sheet name="Parameter Results" sheetId="5" r:id="rId5"/>
    <sheet name="Compiled E-Textile Graphs" sheetId="6" r:id="rId6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0" i="5" l="1"/>
  <c r="Q30" i="5"/>
  <c r="R29" i="5"/>
  <c r="Q29" i="5"/>
  <c r="R28" i="5"/>
  <c r="Q28" i="5"/>
  <c r="P28" i="5"/>
  <c r="O28" i="5"/>
  <c r="R20" i="5"/>
  <c r="Q20" i="5"/>
  <c r="R19" i="5"/>
  <c r="Q19" i="5"/>
  <c r="R18" i="5"/>
  <c r="Q18" i="5"/>
  <c r="P18" i="5"/>
  <c r="O18" i="5"/>
  <c r="R10" i="5"/>
  <c r="Q10" i="5"/>
  <c r="R9" i="5"/>
  <c r="Q9" i="5"/>
  <c r="R8" i="5"/>
  <c r="Q8" i="5"/>
  <c r="P8" i="5"/>
  <c r="O8" i="5"/>
  <c r="L30" i="5"/>
  <c r="K30" i="5"/>
  <c r="L29" i="5"/>
  <c r="K29" i="5"/>
  <c r="L28" i="5"/>
  <c r="K28" i="5"/>
  <c r="J28" i="5"/>
  <c r="I28" i="5"/>
  <c r="L20" i="5"/>
  <c r="K20" i="5"/>
  <c r="L19" i="5"/>
  <c r="K19" i="5"/>
  <c r="L18" i="5"/>
  <c r="K18" i="5"/>
  <c r="J18" i="5"/>
  <c r="I18" i="5"/>
  <c r="L10" i="5"/>
  <c r="K10" i="5"/>
  <c r="L9" i="5"/>
  <c r="K9" i="5"/>
  <c r="L8" i="5"/>
  <c r="K8" i="5"/>
  <c r="J8" i="5"/>
  <c r="I8" i="5"/>
  <c r="E30" i="5"/>
  <c r="D30" i="5"/>
  <c r="E20" i="5"/>
  <c r="D20" i="5"/>
  <c r="E10" i="5"/>
  <c r="D10" i="5"/>
  <c r="E23" i="5"/>
  <c r="E24" i="5"/>
  <c r="E29" i="5"/>
  <c r="D23" i="5"/>
  <c r="D24" i="5"/>
  <c r="D29" i="5"/>
  <c r="D13" i="5"/>
  <c r="D14" i="5"/>
  <c r="D19" i="5"/>
  <c r="E13" i="5"/>
  <c r="E14" i="5"/>
  <c r="E19" i="5"/>
  <c r="E3" i="5"/>
  <c r="E4" i="5"/>
  <c r="E9" i="5"/>
  <c r="D3" i="5"/>
  <c r="D4" i="5"/>
  <c r="D9" i="5"/>
  <c r="E22" i="5"/>
  <c r="E28" i="5"/>
  <c r="D22" i="5"/>
  <c r="D28" i="5"/>
  <c r="C22" i="5"/>
  <c r="C23" i="5"/>
  <c r="C28" i="5"/>
  <c r="B22" i="5"/>
  <c r="B23" i="5"/>
  <c r="B28" i="5"/>
  <c r="E2" i="5"/>
  <c r="E8" i="5"/>
  <c r="D2" i="5"/>
  <c r="D8" i="5"/>
  <c r="C2" i="5"/>
  <c r="C3" i="5"/>
  <c r="C8" i="5"/>
  <c r="B2" i="5"/>
  <c r="B3" i="5"/>
  <c r="B8" i="5"/>
  <c r="C12" i="5"/>
  <c r="C13" i="5"/>
  <c r="C18" i="5"/>
  <c r="D12" i="5"/>
  <c r="D18" i="5"/>
  <c r="E12" i="5"/>
  <c r="E18" i="5"/>
  <c r="B12" i="5"/>
  <c r="B13" i="5"/>
  <c r="B18" i="5"/>
  <c r="S28" i="5"/>
  <c r="R23" i="5"/>
  <c r="R22" i="5"/>
  <c r="R25" i="5"/>
  <c r="Q25" i="5"/>
  <c r="Q22" i="5"/>
  <c r="Q23" i="5"/>
  <c r="R15" i="5"/>
  <c r="R12" i="5"/>
  <c r="Q15" i="5"/>
  <c r="Q12" i="5"/>
  <c r="R13" i="5"/>
  <c r="Q13" i="5"/>
  <c r="L25" i="5"/>
  <c r="L22" i="5"/>
  <c r="K25" i="5"/>
  <c r="K22" i="5"/>
  <c r="L23" i="5"/>
  <c r="K23" i="5"/>
  <c r="L15" i="5"/>
  <c r="L12" i="5"/>
  <c r="L13" i="5"/>
  <c r="K13" i="5"/>
  <c r="K12" i="5"/>
  <c r="K15" i="5"/>
  <c r="R5" i="5"/>
  <c r="L5" i="5"/>
  <c r="E25" i="5"/>
  <c r="E15" i="5"/>
  <c r="E5" i="5"/>
  <c r="O21" i="4"/>
  <c r="O20" i="4"/>
  <c r="O19" i="4"/>
  <c r="O18" i="4"/>
  <c r="O17" i="4"/>
  <c r="J21" i="4"/>
  <c r="J20" i="4"/>
  <c r="J19" i="4"/>
  <c r="J18" i="4"/>
  <c r="J17" i="4"/>
  <c r="E21" i="4"/>
  <c r="E20" i="4"/>
  <c r="E19" i="4"/>
  <c r="E18" i="4"/>
  <c r="E17" i="4"/>
  <c r="N21" i="4"/>
  <c r="N20" i="4"/>
  <c r="N19" i="4"/>
  <c r="N18" i="4"/>
  <c r="N17" i="4"/>
  <c r="I21" i="4"/>
  <c r="I20" i="4"/>
  <c r="I19" i="4"/>
  <c r="I18" i="4"/>
  <c r="I17" i="4"/>
  <c r="D21" i="4"/>
  <c r="D20" i="4"/>
  <c r="D19" i="4"/>
  <c r="D18" i="4"/>
  <c r="D17" i="4"/>
  <c r="D15" i="5"/>
  <c r="E21" i="3"/>
  <c r="E20" i="3"/>
  <c r="E19" i="3"/>
  <c r="E18" i="3"/>
  <c r="E17" i="3"/>
  <c r="R24" i="5"/>
  <c r="O21" i="3"/>
  <c r="O20" i="3"/>
  <c r="O19" i="3"/>
  <c r="O18" i="3"/>
  <c r="O17" i="3"/>
  <c r="O22" i="3"/>
  <c r="Q24" i="5"/>
  <c r="P23" i="5"/>
  <c r="O23" i="5"/>
  <c r="L24" i="5"/>
  <c r="K24" i="5"/>
  <c r="J23" i="5"/>
  <c r="I23" i="5"/>
  <c r="P22" i="5"/>
  <c r="O22" i="5"/>
  <c r="J22" i="5"/>
  <c r="I22" i="5"/>
  <c r="R14" i="5"/>
  <c r="L14" i="5"/>
  <c r="J21" i="3"/>
  <c r="J20" i="3"/>
  <c r="J19" i="3"/>
  <c r="J18" i="3"/>
  <c r="J17" i="3"/>
  <c r="J22" i="3"/>
  <c r="Q14" i="5"/>
  <c r="K14" i="5"/>
  <c r="P13" i="5"/>
  <c r="O13" i="5"/>
  <c r="J13" i="5"/>
  <c r="I13" i="5"/>
  <c r="P12" i="5"/>
  <c r="O12" i="5"/>
  <c r="R4" i="5"/>
  <c r="R3" i="5"/>
  <c r="L4" i="5"/>
  <c r="L3" i="5"/>
  <c r="R2" i="5"/>
  <c r="L2" i="5"/>
  <c r="J12" i="5"/>
  <c r="I12" i="5"/>
  <c r="E22" i="3"/>
  <c r="Q5" i="5"/>
  <c r="K5" i="5"/>
  <c r="Q4" i="5"/>
  <c r="K4" i="5"/>
  <c r="Q3" i="5"/>
  <c r="K3" i="5"/>
  <c r="Q2" i="5"/>
  <c r="K2" i="5"/>
  <c r="O3" i="5"/>
  <c r="O2" i="5"/>
  <c r="P3" i="5"/>
  <c r="P2" i="5"/>
  <c r="J3" i="5"/>
  <c r="I2" i="5"/>
  <c r="J2" i="5"/>
  <c r="I3" i="5"/>
  <c r="D25" i="5"/>
  <c r="D5" i="5"/>
  <c r="O15" i="4"/>
  <c r="O14" i="4"/>
  <c r="O13" i="4"/>
  <c r="O12" i="4"/>
  <c r="O11" i="4"/>
  <c r="J15" i="4"/>
  <c r="J14" i="4"/>
  <c r="J13" i="4"/>
  <c r="J12" i="4"/>
  <c r="J11" i="4"/>
  <c r="E15" i="4"/>
  <c r="E14" i="4"/>
  <c r="E13" i="4"/>
  <c r="E12" i="4"/>
  <c r="E11" i="4"/>
  <c r="E28" i="4"/>
  <c r="N15" i="4"/>
  <c r="N14" i="4"/>
  <c r="N13" i="4"/>
  <c r="N12" i="4"/>
  <c r="N11" i="4"/>
  <c r="I15" i="4"/>
  <c r="I14" i="4"/>
  <c r="I13" i="4"/>
  <c r="I12" i="4"/>
  <c r="I11" i="4"/>
  <c r="D15" i="4"/>
  <c r="D14" i="4"/>
  <c r="D13" i="4"/>
  <c r="D12" i="4"/>
  <c r="D11" i="4"/>
  <c r="O9" i="4"/>
  <c r="O8" i="4"/>
  <c r="O7" i="4"/>
  <c r="O6" i="4"/>
  <c r="O5" i="4"/>
  <c r="J9" i="4"/>
  <c r="J8" i="4"/>
  <c r="J7" i="4"/>
  <c r="J6" i="4"/>
  <c r="J5" i="4"/>
  <c r="E9" i="4"/>
  <c r="E8" i="4"/>
  <c r="E7" i="4"/>
  <c r="E6" i="4"/>
  <c r="E5" i="4"/>
  <c r="N9" i="4"/>
  <c r="N8" i="4"/>
  <c r="N7" i="4"/>
  <c r="N6" i="4"/>
  <c r="N5" i="4"/>
  <c r="I9" i="4"/>
  <c r="I8" i="4"/>
  <c r="I7" i="4"/>
  <c r="I6" i="4"/>
  <c r="I5" i="4"/>
  <c r="D9" i="4"/>
  <c r="D8" i="4"/>
  <c r="D7" i="4"/>
  <c r="D6" i="4"/>
  <c r="D5" i="4"/>
  <c r="N21" i="3"/>
  <c r="N20" i="3"/>
  <c r="N19" i="3"/>
  <c r="N18" i="3"/>
  <c r="N17" i="3"/>
  <c r="I21" i="3"/>
  <c r="I20" i="3"/>
  <c r="I19" i="3"/>
  <c r="I18" i="3"/>
  <c r="I17" i="3"/>
  <c r="D21" i="3"/>
  <c r="D20" i="3"/>
  <c r="D19" i="3"/>
  <c r="D18" i="3"/>
  <c r="D17" i="3"/>
  <c r="J15" i="3"/>
  <c r="J14" i="3"/>
  <c r="J13" i="3"/>
  <c r="J12" i="3"/>
  <c r="J11" i="3"/>
  <c r="E15" i="3"/>
  <c r="E14" i="3"/>
  <c r="E13" i="3"/>
  <c r="E12" i="3"/>
  <c r="E11" i="3"/>
  <c r="O15" i="3"/>
  <c r="O14" i="3"/>
  <c r="O13" i="3"/>
  <c r="O12" i="3"/>
  <c r="O11" i="3"/>
  <c r="N15" i="3"/>
  <c r="N14" i="3"/>
  <c r="N13" i="3"/>
  <c r="N12" i="3"/>
  <c r="N11" i="3"/>
  <c r="I15" i="3"/>
  <c r="I14" i="3"/>
  <c r="I13" i="3"/>
  <c r="I12" i="3"/>
  <c r="I11" i="3"/>
  <c r="D15" i="3"/>
  <c r="D14" i="3"/>
  <c r="D13" i="3"/>
  <c r="D12" i="3"/>
  <c r="D11" i="3"/>
  <c r="C12" i="3"/>
  <c r="O9" i="3"/>
  <c r="O8" i="3"/>
  <c r="O7" i="3"/>
  <c r="O6" i="3"/>
  <c r="O5" i="3"/>
  <c r="I9" i="3"/>
  <c r="N9" i="3"/>
  <c r="N8" i="3"/>
  <c r="N7" i="3"/>
  <c r="N6" i="3"/>
  <c r="N5" i="3"/>
  <c r="J9" i="3"/>
  <c r="J8" i="3"/>
  <c r="J7" i="3"/>
  <c r="J6" i="3"/>
  <c r="J5" i="3"/>
  <c r="I8" i="3"/>
  <c r="I7" i="3"/>
  <c r="I6" i="3"/>
  <c r="I5" i="3"/>
  <c r="E9" i="3"/>
  <c r="E8" i="3"/>
  <c r="E7" i="3"/>
  <c r="E6" i="3"/>
  <c r="E5" i="3"/>
  <c r="D9" i="3"/>
  <c r="D8" i="3"/>
  <c r="D7" i="3"/>
  <c r="D6" i="3"/>
  <c r="D5" i="3"/>
  <c r="O23" i="4"/>
  <c r="Q23" i="4"/>
  <c r="O24" i="4"/>
  <c r="Q24" i="4"/>
  <c r="O25" i="4"/>
  <c r="Q25" i="4"/>
  <c r="O26" i="4"/>
  <c r="Q26" i="4"/>
  <c r="O27" i="4"/>
  <c r="Q27" i="4"/>
  <c r="Q28" i="4"/>
  <c r="N23" i="4"/>
  <c r="P23" i="4"/>
  <c r="N24" i="4"/>
  <c r="P24" i="4"/>
  <c r="N25" i="4"/>
  <c r="P25" i="4"/>
  <c r="N26" i="4"/>
  <c r="P26" i="4"/>
  <c r="N27" i="4"/>
  <c r="P27" i="4"/>
  <c r="P28" i="4"/>
  <c r="O28" i="4"/>
  <c r="N28" i="4"/>
  <c r="M23" i="4"/>
  <c r="M24" i="4"/>
  <c r="M25" i="4"/>
  <c r="M26" i="4"/>
  <c r="M27" i="4"/>
  <c r="M28" i="4"/>
  <c r="J23" i="4"/>
  <c r="L23" i="4"/>
  <c r="J24" i="4"/>
  <c r="L24" i="4"/>
  <c r="J25" i="4"/>
  <c r="L25" i="4"/>
  <c r="J26" i="4"/>
  <c r="L26" i="4"/>
  <c r="J27" i="4"/>
  <c r="L27" i="4"/>
  <c r="L28" i="4"/>
  <c r="I23" i="4"/>
  <c r="K23" i="4"/>
  <c r="I24" i="4"/>
  <c r="K24" i="4"/>
  <c r="I25" i="4"/>
  <c r="K25" i="4"/>
  <c r="I26" i="4"/>
  <c r="K26" i="4"/>
  <c r="I27" i="4"/>
  <c r="K27" i="4"/>
  <c r="K28" i="4"/>
  <c r="J28" i="4"/>
  <c r="I28" i="4"/>
  <c r="H23" i="4"/>
  <c r="H24" i="4"/>
  <c r="H25" i="4"/>
  <c r="H26" i="4"/>
  <c r="H27" i="4"/>
  <c r="H28" i="4"/>
  <c r="E23" i="4"/>
  <c r="G23" i="4"/>
  <c r="E24" i="4"/>
  <c r="G24" i="4"/>
  <c r="E25" i="4"/>
  <c r="G25" i="4"/>
  <c r="E26" i="4"/>
  <c r="G26" i="4"/>
  <c r="E27" i="4"/>
  <c r="G27" i="4"/>
  <c r="G28" i="4"/>
  <c r="D23" i="4"/>
  <c r="F23" i="4"/>
  <c r="D24" i="4"/>
  <c r="F24" i="4"/>
  <c r="D25" i="4"/>
  <c r="F25" i="4"/>
  <c r="D26" i="4"/>
  <c r="F26" i="4"/>
  <c r="D27" i="4"/>
  <c r="F27" i="4"/>
  <c r="F28" i="4"/>
  <c r="D28" i="4"/>
  <c r="C23" i="4"/>
  <c r="C24" i="4"/>
  <c r="C25" i="4"/>
  <c r="C26" i="4"/>
  <c r="C27" i="4"/>
  <c r="C28" i="4"/>
  <c r="Q17" i="4"/>
  <c r="Q18" i="4"/>
  <c r="Q19" i="4"/>
  <c r="Q20" i="4"/>
  <c r="Q21" i="4"/>
  <c r="Q22" i="4"/>
  <c r="P17" i="4"/>
  <c r="P18" i="4"/>
  <c r="P19" i="4"/>
  <c r="P20" i="4"/>
  <c r="P21" i="4"/>
  <c r="P22" i="4"/>
  <c r="O22" i="4"/>
  <c r="N22" i="4"/>
  <c r="M22" i="4"/>
  <c r="L17" i="4"/>
  <c r="L18" i="4"/>
  <c r="L19" i="4"/>
  <c r="L20" i="4"/>
  <c r="L21" i="4"/>
  <c r="L22" i="4"/>
  <c r="K17" i="4"/>
  <c r="K18" i="4"/>
  <c r="K19" i="4"/>
  <c r="K20" i="4"/>
  <c r="K21" i="4"/>
  <c r="K22" i="4"/>
  <c r="J22" i="4"/>
  <c r="I22" i="4"/>
  <c r="H22" i="4"/>
  <c r="G17" i="4"/>
  <c r="G18" i="4"/>
  <c r="G19" i="4"/>
  <c r="G20" i="4"/>
  <c r="G21" i="4"/>
  <c r="G22" i="4"/>
  <c r="F17" i="4"/>
  <c r="F18" i="4"/>
  <c r="F19" i="4"/>
  <c r="F20" i="4"/>
  <c r="F21" i="4"/>
  <c r="F22" i="4"/>
  <c r="E22" i="4"/>
  <c r="D22" i="4"/>
  <c r="C22" i="4"/>
  <c r="Q11" i="4"/>
  <c r="Q12" i="4"/>
  <c r="Q13" i="4"/>
  <c r="Q14" i="4"/>
  <c r="Q15" i="4"/>
  <c r="Q16" i="4"/>
  <c r="P11" i="4"/>
  <c r="P12" i="4"/>
  <c r="P13" i="4"/>
  <c r="P14" i="4"/>
  <c r="P15" i="4"/>
  <c r="P16" i="4"/>
  <c r="O16" i="4"/>
  <c r="N16" i="4"/>
  <c r="M16" i="4"/>
  <c r="L11" i="4"/>
  <c r="L12" i="4"/>
  <c r="L13" i="4"/>
  <c r="L14" i="4"/>
  <c r="L15" i="4"/>
  <c r="L16" i="4"/>
  <c r="K11" i="4"/>
  <c r="K12" i="4"/>
  <c r="K13" i="4"/>
  <c r="K14" i="4"/>
  <c r="K15" i="4"/>
  <c r="K16" i="4"/>
  <c r="J16" i="4"/>
  <c r="I16" i="4"/>
  <c r="H16" i="4"/>
  <c r="G11" i="4"/>
  <c r="G12" i="4"/>
  <c r="G13" i="4"/>
  <c r="G14" i="4"/>
  <c r="G15" i="4"/>
  <c r="G16" i="4"/>
  <c r="F11" i="4"/>
  <c r="F12" i="4"/>
  <c r="F13" i="4"/>
  <c r="F14" i="4"/>
  <c r="F15" i="4"/>
  <c r="F16" i="4"/>
  <c r="E16" i="4"/>
  <c r="D16" i="4"/>
  <c r="C16" i="4"/>
  <c r="Q5" i="4"/>
  <c r="Q6" i="4"/>
  <c r="Q7" i="4"/>
  <c r="Q8" i="4"/>
  <c r="Q9" i="4"/>
  <c r="Q10" i="4"/>
  <c r="P5" i="4"/>
  <c r="P6" i="4"/>
  <c r="P7" i="4"/>
  <c r="P8" i="4"/>
  <c r="P9" i="4"/>
  <c r="P10" i="4"/>
  <c r="O10" i="4"/>
  <c r="N10" i="4"/>
  <c r="M10" i="4"/>
  <c r="L5" i="4"/>
  <c r="L6" i="4"/>
  <c r="L7" i="4"/>
  <c r="L8" i="4"/>
  <c r="L9" i="4"/>
  <c r="L10" i="4"/>
  <c r="K5" i="4"/>
  <c r="K6" i="4"/>
  <c r="K7" i="4"/>
  <c r="K8" i="4"/>
  <c r="K9" i="4"/>
  <c r="K10" i="4"/>
  <c r="J10" i="4"/>
  <c r="I10" i="4"/>
  <c r="H10" i="4"/>
  <c r="G5" i="4"/>
  <c r="G6" i="4"/>
  <c r="G7" i="4"/>
  <c r="G8" i="4"/>
  <c r="G9" i="4"/>
  <c r="G10" i="4"/>
  <c r="F5" i="4"/>
  <c r="F6" i="4"/>
  <c r="F7" i="4"/>
  <c r="F8" i="4"/>
  <c r="F9" i="4"/>
  <c r="F10" i="4"/>
  <c r="E10" i="4"/>
  <c r="D10" i="4"/>
  <c r="C10" i="4"/>
  <c r="Q17" i="3"/>
  <c r="Q18" i="3"/>
  <c r="Q19" i="3"/>
  <c r="Q20" i="3"/>
  <c r="Q21" i="3"/>
  <c r="Q22" i="3"/>
  <c r="P17" i="3"/>
  <c r="P18" i="3"/>
  <c r="P19" i="3"/>
  <c r="P20" i="3"/>
  <c r="P21" i="3"/>
  <c r="P22" i="3"/>
  <c r="N22" i="3"/>
  <c r="M22" i="3"/>
  <c r="L17" i="3"/>
  <c r="L18" i="3"/>
  <c r="L19" i="3"/>
  <c r="L20" i="3"/>
  <c r="L21" i="3"/>
  <c r="L22" i="3"/>
  <c r="K17" i="3"/>
  <c r="K18" i="3"/>
  <c r="K19" i="3"/>
  <c r="K20" i="3"/>
  <c r="K21" i="3"/>
  <c r="K22" i="3"/>
  <c r="I22" i="3"/>
  <c r="H22" i="3"/>
  <c r="G17" i="3"/>
  <c r="G18" i="3"/>
  <c r="G19" i="3"/>
  <c r="G20" i="3"/>
  <c r="G21" i="3"/>
  <c r="G22" i="3"/>
  <c r="F17" i="3"/>
  <c r="F18" i="3"/>
  <c r="F19" i="3"/>
  <c r="F20" i="3"/>
  <c r="F21" i="3"/>
  <c r="F22" i="3"/>
  <c r="D22" i="3"/>
  <c r="C22" i="3"/>
  <c r="Q11" i="3"/>
  <c r="Q12" i="3"/>
  <c r="Q13" i="3"/>
  <c r="Q14" i="3"/>
  <c r="Q15" i="3"/>
  <c r="Q16" i="3"/>
  <c r="P11" i="3"/>
  <c r="P12" i="3"/>
  <c r="P13" i="3"/>
  <c r="P14" i="3"/>
  <c r="P15" i="3"/>
  <c r="P16" i="3"/>
  <c r="O16" i="3"/>
  <c r="N16" i="3"/>
  <c r="M16" i="3"/>
  <c r="L11" i="3"/>
  <c r="L12" i="3"/>
  <c r="L13" i="3"/>
  <c r="L14" i="3"/>
  <c r="L15" i="3"/>
  <c r="L16" i="3"/>
  <c r="K11" i="3"/>
  <c r="K12" i="3"/>
  <c r="K13" i="3"/>
  <c r="K14" i="3"/>
  <c r="K15" i="3"/>
  <c r="K16" i="3"/>
  <c r="J16" i="3"/>
  <c r="I16" i="3"/>
  <c r="H16" i="3"/>
  <c r="G11" i="3"/>
  <c r="G12" i="3"/>
  <c r="G13" i="3"/>
  <c r="G14" i="3"/>
  <c r="G15" i="3"/>
  <c r="G16" i="3"/>
  <c r="F11" i="3"/>
  <c r="F12" i="3"/>
  <c r="F13" i="3"/>
  <c r="F14" i="3"/>
  <c r="F15" i="3"/>
  <c r="F16" i="3"/>
  <c r="E16" i="3"/>
  <c r="D16" i="3"/>
  <c r="C16" i="3"/>
  <c r="Q5" i="3"/>
  <c r="Q6" i="3"/>
  <c r="Q7" i="3"/>
  <c r="Q8" i="3"/>
  <c r="Q9" i="3"/>
  <c r="Q10" i="3"/>
  <c r="P5" i="3"/>
  <c r="P6" i="3"/>
  <c r="P7" i="3"/>
  <c r="P8" i="3"/>
  <c r="P9" i="3"/>
  <c r="P10" i="3"/>
  <c r="O10" i="3"/>
  <c r="N10" i="3"/>
  <c r="M10" i="3"/>
  <c r="L5" i="3"/>
  <c r="L6" i="3"/>
  <c r="L7" i="3"/>
  <c r="L8" i="3"/>
  <c r="L9" i="3"/>
  <c r="L10" i="3"/>
  <c r="K5" i="3"/>
  <c r="K6" i="3"/>
  <c r="K7" i="3"/>
  <c r="K8" i="3"/>
  <c r="K9" i="3"/>
  <c r="K10" i="3"/>
  <c r="J10" i="3"/>
  <c r="I10" i="3"/>
  <c r="H10" i="3"/>
  <c r="G5" i="3"/>
  <c r="G6" i="3"/>
  <c r="G7" i="3"/>
  <c r="G8" i="3"/>
  <c r="G9" i="3"/>
  <c r="G10" i="3"/>
  <c r="F5" i="3"/>
  <c r="F6" i="3"/>
  <c r="F7" i="3"/>
  <c r="F8" i="3"/>
  <c r="F9" i="3"/>
  <c r="F10" i="3"/>
  <c r="E10" i="3"/>
  <c r="D10" i="3"/>
  <c r="C10" i="3"/>
  <c r="O51" i="2"/>
  <c r="O50" i="2"/>
  <c r="O49" i="2"/>
  <c r="O48" i="2"/>
  <c r="O47" i="2"/>
  <c r="J51" i="2"/>
  <c r="J50" i="2"/>
  <c r="J49" i="2"/>
  <c r="J48" i="2"/>
  <c r="J47" i="2"/>
  <c r="E51" i="2"/>
  <c r="E50" i="2"/>
  <c r="E48" i="2"/>
  <c r="E49" i="2"/>
  <c r="E47" i="2"/>
  <c r="N51" i="2"/>
  <c r="N50" i="2"/>
  <c r="N49" i="2"/>
  <c r="N48" i="2"/>
  <c r="N47" i="2"/>
  <c r="I50" i="2"/>
  <c r="I51" i="2"/>
  <c r="I49" i="2"/>
  <c r="I48" i="2"/>
  <c r="I47" i="2"/>
  <c r="D51" i="2"/>
  <c r="D49" i="2"/>
  <c r="D48" i="2"/>
  <c r="D50" i="2"/>
  <c r="D47" i="2"/>
  <c r="M51" i="2"/>
  <c r="M50" i="2"/>
  <c r="M49" i="2"/>
  <c r="M48" i="2"/>
  <c r="M47" i="2"/>
  <c r="H51" i="2"/>
  <c r="H50" i="2"/>
  <c r="H49" i="2"/>
  <c r="H48" i="2"/>
  <c r="H47" i="2"/>
  <c r="C49" i="2"/>
  <c r="C48" i="2"/>
  <c r="C50" i="2"/>
  <c r="C51" i="2"/>
  <c r="C47" i="2"/>
  <c r="O179" i="2"/>
  <c r="Q179" i="2"/>
  <c r="O180" i="2"/>
  <c r="Q180" i="2"/>
  <c r="O181" i="2"/>
  <c r="Q181" i="2"/>
  <c r="O182" i="2"/>
  <c r="Q182" i="2"/>
  <c r="O183" i="2"/>
  <c r="Q183" i="2"/>
  <c r="Q184" i="2"/>
  <c r="N179" i="2"/>
  <c r="P179" i="2"/>
  <c r="N180" i="2"/>
  <c r="P180" i="2"/>
  <c r="N181" i="2"/>
  <c r="P181" i="2"/>
  <c r="N182" i="2"/>
  <c r="P182" i="2"/>
  <c r="N183" i="2"/>
  <c r="P183" i="2"/>
  <c r="P184" i="2"/>
  <c r="O184" i="2"/>
  <c r="N184" i="2"/>
  <c r="M184" i="2"/>
  <c r="J179" i="2"/>
  <c r="L179" i="2"/>
  <c r="J180" i="2"/>
  <c r="L180" i="2"/>
  <c r="J181" i="2"/>
  <c r="L181" i="2"/>
  <c r="J182" i="2"/>
  <c r="L182" i="2"/>
  <c r="J183" i="2"/>
  <c r="L183" i="2"/>
  <c r="L184" i="2"/>
  <c r="I179" i="2"/>
  <c r="K179" i="2"/>
  <c r="I180" i="2"/>
  <c r="K180" i="2"/>
  <c r="I181" i="2"/>
  <c r="K181" i="2"/>
  <c r="I182" i="2"/>
  <c r="K182" i="2"/>
  <c r="I183" i="2"/>
  <c r="K183" i="2"/>
  <c r="K184" i="2"/>
  <c r="J184" i="2"/>
  <c r="I184" i="2"/>
  <c r="H184" i="2"/>
  <c r="E179" i="2"/>
  <c r="G179" i="2"/>
  <c r="E180" i="2"/>
  <c r="G180" i="2"/>
  <c r="E181" i="2"/>
  <c r="G181" i="2"/>
  <c r="E182" i="2"/>
  <c r="G182" i="2"/>
  <c r="E183" i="2"/>
  <c r="G183" i="2"/>
  <c r="G184" i="2"/>
  <c r="D179" i="2"/>
  <c r="F179" i="2"/>
  <c r="D180" i="2"/>
  <c r="F180" i="2"/>
  <c r="D181" i="2"/>
  <c r="F181" i="2"/>
  <c r="D182" i="2"/>
  <c r="F182" i="2"/>
  <c r="D183" i="2"/>
  <c r="F183" i="2"/>
  <c r="F184" i="2"/>
  <c r="E184" i="2"/>
  <c r="D184" i="2"/>
  <c r="C184" i="2"/>
  <c r="Q173" i="2"/>
  <c r="Q174" i="2"/>
  <c r="Q175" i="2"/>
  <c r="Q176" i="2"/>
  <c r="Q177" i="2"/>
  <c r="Q178" i="2"/>
  <c r="P173" i="2"/>
  <c r="P174" i="2"/>
  <c r="P175" i="2"/>
  <c r="P176" i="2"/>
  <c r="P177" i="2"/>
  <c r="P178" i="2"/>
  <c r="O178" i="2"/>
  <c r="N178" i="2"/>
  <c r="M178" i="2"/>
  <c r="L173" i="2"/>
  <c r="L174" i="2"/>
  <c r="L175" i="2"/>
  <c r="L176" i="2"/>
  <c r="L177" i="2"/>
  <c r="L178" i="2"/>
  <c r="K173" i="2"/>
  <c r="K174" i="2"/>
  <c r="K175" i="2"/>
  <c r="K176" i="2"/>
  <c r="K177" i="2"/>
  <c r="K178" i="2"/>
  <c r="J178" i="2"/>
  <c r="I178" i="2"/>
  <c r="H178" i="2"/>
  <c r="G173" i="2"/>
  <c r="G174" i="2"/>
  <c r="G175" i="2"/>
  <c r="G176" i="2"/>
  <c r="G177" i="2"/>
  <c r="G178" i="2"/>
  <c r="F173" i="2"/>
  <c r="F174" i="2"/>
  <c r="F175" i="2"/>
  <c r="F176" i="2"/>
  <c r="F177" i="2"/>
  <c r="F178" i="2"/>
  <c r="E178" i="2"/>
  <c r="D178" i="2"/>
  <c r="C178" i="2"/>
  <c r="O167" i="2"/>
  <c r="Q167" i="2"/>
  <c r="O168" i="2"/>
  <c r="Q168" i="2"/>
  <c r="O169" i="2"/>
  <c r="Q169" i="2"/>
  <c r="O170" i="2"/>
  <c r="Q170" i="2"/>
  <c r="O171" i="2"/>
  <c r="Q171" i="2"/>
  <c r="Q172" i="2"/>
  <c r="N167" i="2"/>
  <c r="P167" i="2"/>
  <c r="N168" i="2"/>
  <c r="P168" i="2"/>
  <c r="N169" i="2"/>
  <c r="P169" i="2"/>
  <c r="N170" i="2"/>
  <c r="P170" i="2"/>
  <c r="N171" i="2"/>
  <c r="P171" i="2"/>
  <c r="P172" i="2"/>
  <c r="O172" i="2"/>
  <c r="N172" i="2"/>
  <c r="M172" i="2"/>
  <c r="J167" i="2"/>
  <c r="L167" i="2"/>
  <c r="J168" i="2"/>
  <c r="L168" i="2"/>
  <c r="J169" i="2"/>
  <c r="L169" i="2"/>
  <c r="J170" i="2"/>
  <c r="L170" i="2"/>
  <c r="J171" i="2"/>
  <c r="L171" i="2"/>
  <c r="L172" i="2"/>
  <c r="I167" i="2"/>
  <c r="K167" i="2"/>
  <c r="I168" i="2"/>
  <c r="K168" i="2"/>
  <c r="I169" i="2"/>
  <c r="K169" i="2"/>
  <c r="I170" i="2"/>
  <c r="K170" i="2"/>
  <c r="I171" i="2"/>
  <c r="K171" i="2"/>
  <c r="K172" i="2"/>
  <c r="J172" i="2"/>
  <c r="I172" i="2"/>
  <c r="H172" i="2"/>
  <c r="E167" i="2"/>
  <c r="G167" i="2"/>
  <c r="E168" i="2"/>
  <c r="G168" i="2"/>
  <c r="E169" i="2"/>
  <c r="G169" i="2"/>
  <c r="E170" i="2"/>
  <c r="G170" i="2"/>
  <c r="E171" i="2"/>
  <c r="G171" i="2"/>
  <c r="G172" i="2"/>
  <c r="D167" i="2"/>
  <c r="F167" i="2"/>
  <c r="D168" i="2"/>
  <c r="F168" i="2"/>
  <c r="D169" i="2"/>
  <c r="F169" i="2"/>
  <c r="D170" i="2"/>
  <c r="F170" i="2"/>
  <c r="D171" i="2"/>
  <c r="F171" i="2"/>
  <c r="F172" i="2"/>
  <c r="E172" i="2"/>
  <c r="D172" i="2"/>
  <c r="C172" i="2"/>
  <c r="O161" i="2"/>
  <c r="Q161" i="2"/>
  <c r="O162" i="2"/>
  <c r="Q162" i="2"/>
  <c r="O163" i="2"/>
  <c r="Q163" i="2"/>
  <c r="O164" i="2"/>
  <c r="Q164" i="2"/>
  <c r="O165" i="2"/>
  <c r="Q165" i="2"/>
  <c r="Q166" i="2"/>
  <c r="N161" i="2"/>
  <c r="P161" i="2"/>
  <c r="N162" i="2"/>
  <c r="P162" i="2"/>
  <c r="N163" i="2"/>
  <c r="P163" i="2"/>
  <c r="N164" i="2"/>
  <c r="P164" i="2"/>
  <c r="N165" i="2"/>
  <c r="P165" i="2"/>
  <c r="P166" i="2"/>
  <c r="O166" i="2"/>
  <c r="N166" i="2"/>
  <c r="M161" i="2"/>
  <c r="M162" i="2"/>
  <c r="M163" i="2"/>
  <c r="M164" i="2"/>
  <c r="M165" i="2"/>
  <c r="M166" i="2"/>
  <c r="J161" i="2"/>
  <c r="L161" i="2"/>
  <c r="J162" i="2"/>
  <c r="L162" i="2"/>
  <c r="J163" i="2"/>
  <c r="L163" i="2"/>
  <c r="J164" i="2"/>
  <c r="L164" i="2"/>
  <c r="J165" i="2"/>
  <c r="L165" i="2"/>
  <c r="L166" i="2"/>
  <c r="I161" i="2"/>
  <c r="K161" i="2"/>
  <c r="I162" i="2"/>
  <c r="K162" i="2"/>
  <c r="I163" i="2"/>
  <c r="K163" i="2"/>
  <c r="I164" i="2"/>
  <c r="K164" i="2"/>
  <c r="I165" i="2"/>
  <c r="K165" i="2"/>
  <c r="K166" i="2"/>
  <c r="J166" i="2"/>
  <c r="I166" i="2"/>
  <c r="H161" i="2"/>
  <c r="H162" i="2"/>
  <c r="H163" i="2"/>
  <c r="H164" i="2"/>
  <c r="H165" i="2"/>
  <c r="H166" i="2"/>
  <c r="E161" i="2"/>
  <c r="G161" i="2"/>
  <c r="E162" i="2"/>
  <c r="G162" i="2"/>
  <c r="E163" i="2"/>
  <c r="G163" i="2"/>
  <c r="E164" i="2"/>
  <c r="G164" i="2"/>
  <c r="E165" i="2"/>
  <c r="G165" i="2"/>
  <c r="G166" i="2"/>
  <c r="D161" i="2"/>
  <c r="F161" i="2"/>
  <c r="D162" i="2"/>
  <c r="F162" i="2"/>
  <c r="D163" i="2"/>
  <c r="F163" i="2"/>
  <c r="D164" i="2"/>
  <c r="F164" i="2"/>
  <c r="D165" i="2"/>
  <c r="F165" i="2"/>
  <c r="F166" i="2"/>
  <c r="E166" i="2"/>
  <c r="D166" i="2"/>
  <c r="C161" i="2"/>
  <c r="C162" i="2"/>
  <c r="C163" i="2"/>
  <c r="C164" i="2"/>
  <c r="C165" i="2"/>
  <c r="C166" i="2"/>
  <c r="O155" i="2"/>
  <c r="Q155" i="2"/>
  <c r="O156" i="2"/>
  <c r="Q156" i="2"/>
  <c r="O157" i="2"/>
  <c r="Q157" i="2"/>
  <c r="O158" i="2"/>
  <c r="Q158" i="2"/>
  <c r="O159" i="2"/>
  <c r="Q159" i="2"/>
  <c r="Q160" i="2"/>
  <c r="N155" i="2"/>
  <c r="P155" i="2"/>
  <c r="N156" i="2"/>
  <c r="P156" i="2"/>
  <c r="N157" i="2"/>
  <c r="P157" i="2"/>
  <c r="N158" i="2"/>
  <c r="P158" i="2"/>
  <c r="N159" i="2"/>
  <c r="P159" i="2"/>
  <c r="P160" i="2"/>
  <c r="O160" i="2"/>
  <c r="N160" i="2"/>
  <c r="M160" i="2"/>
  <c r="J155" i="2"/>
  <c r="L155" i="2"/>
  <c r="J156" i="2"/>
  <c r="L156" i="2"/>
  <c r="J157" i="2"/>
  <c r="L157" i="2"/>
  <c r="J158" i="2"/>
  <c r="L158" i="2"/>
  <c r="J159" i="2"/>
  <c r="L159" i="2"/>
  <c r="L160" i="2"/>
  <c r="I155" i="2"/>
  <c r="K155" i="2"/>
  <c r="I156" i="2"/>
  <c r="K156" i="2"/>
  <c r="I157" i="2"/>
  <c r="K157" i="2"/>
  <c r="I158" i="2"/>
  <c r="K158" i="2"/>
  <c r="I159" i="2"/>
  <c r="K159" i="2"/>
  <c r="K160" i="2"/>
  <c r="J160" i="2"/>
  <c r="I160" i="2"/>
  <c r="H160" i="2"/>
  <c r="E155" i="2"/>
  <c r="G155" i="2"/>
  <c r="E156" i="2"/>
  <c r="G156" i="2"/>
  <c r="E157" i="2"/>
  <c r="G157" i="2"/>
  <c r="E158" i="2"/>
  <c r="G158" i="2"/>
  <c r="E159" i="2"/>
  <c r="G159" i="2"/>
  <c r="G160" i="2"/>
  <c r="D155" i="2"/>
  <c r="F155" i="2"/>
  <c r="D156" i="2"/>
  <c r="F156" i="2"/>
  <c r="D157" i="2"/>
  <c r="F157" i="2"/>
  <c r="D158" i="2"/>
  <c r="F158" i="2"/>
  <c r="D159" i="2"/>
  <c r="F159" i="2"/>
  <c r="F160" i="2"/>
  <c r="E160" i="2"/>
  <c r="D160" i="2"/>
  <c r="C160" i="2"/>
  <c r="O149" i="2"/>
  <c r="Q149" i="2"/>
  <c r="O150" i="2"/>
  <c r="Q150" i="2"/>
  <c r="O151" i="2"/>
  <c r="Q151" i="2"/>
  <c r="O152" i="2"/>
  <c r="Q152" i="2"/>
  <c r="O153" i="2"/>
  <c r="Q153" i="2"/>
  <c r="Q154" i="2"/>
  <c r="N149" i="2"/>
  <c r="P149" i="2"/>
  <c r="N150" i="2"/>
  <c r="P150" i="2"/>
  <c r="N151" i="2"/>
  <c r="P151" i="2"/>
  <c r="N152" i="2"/>
  <c r="P152" i="2"/>
  <c r="N153" i="2"/>
  <c r="P153" i="2"/>
  <c r="P154" i="2"/>
  <c r="O154" i="2"/>
  <c r="N154" i="2"/>
  <c r="M154" i="2"/>
  <c r="J149" i="2"/>
  <c r="L149" i="2"/>
  <c r="J150" i="2"/>
  <c r="L150" i="2"/>
  <c r="J151" i="2"/>
  <c r="L151" i="2"/>
  <c r="J152" i="2"/>
  <c r="L152" i="2"/>
  <c r="J153" i="2"/>
  <c r="L153" i="2"/>
  <c r="L154" i="2"/>
  <c r="I149" i="2"/>
  <c r="K149" i="2"/>
  <c r="I150" i="2"/>
  <c r="K150" i="2"/>
  <c r="I151" i="2"/>
  <c r="K151" i="2"/>
  <c r="I152" i="2"/>
  <c r="K152" i="2"/>
  <c r="I153" i="2"/>
  <c r="K153" i="2"/>
  <c r="K154" i="2"/>
  <c r="J154" i="2"/>
  <c r="I154" i="2"/>
  <c r="H154" i="2"/>
  <c r="E149" i="2"/>
  <c r="G149" i="2"/>
  <c r="E150" i="2"/>
  <c r="G150" i="2"/>
  <c r="E151" i="2"/>
  <c r="G151" i="2"/>
  <c r="E152" i="2"/>
  <c r="G152" i="2"/>
  <c r="E153" i="2"/>
  <c r="G153" i="2"/>
  <c r="G154" i="2"/>
  <c r="D149" i="2"/>
  <c r="F149" i="2"/>
  <c r="D150" i="2"/>
  <c r="F150" i="2"/>
  <c r="D151" i="2"/>
  <c r="F151" i="2"/>
  <c r="D152" i="2"/>
  <c r="F152" i="2"/>
  <c r="D153" i="2"/>
  <c r="F153" i="2"/>
  <c r="F154" i="2"/>
  <c r="E154" i="2"/>
  <c r="D154" i="2"/>
  <c r="C154" i="2"/>
  <c r="O143" i="2"/>
  <c r="Q143" i="2"/>
  <c r="O144" i="2"/>
  <c r="Q144" i="2"/>
  <c r="O145" i="2"/>
  <c r="Q145" i="2"/>
  <c r="O146" i="2"/>
  <c r="Q146" i="2"/>
  <c r="O147" i="2"/>
  <c r="Q147" i="2"/>
  <c r="Q148" i="2"/>
  <c r="N143" i="2"/>
  <c r="P143" i="2"/>
  <c r="N144" i="2"/>
  <c r="P144" i="2"/>
  <c r="N145" i="2"/>
  <c r="P145" i="2"/>
  <c r="N146" i="2"/>
  <c r="P146" i="2"/>
  <c r="N147" i="2"/>
  <c r="P147" i="2"/>
  <c r="P148" i="2"/>
  <c r="O148" i="2"/>
  <c r="N148" i="2"/>
  <c r="M148" i="2"/>
  <c r="J143" i="2"/>
  <c r="L143" i="2"/>
  <c r="J144" i="2"/>
  <c r="L144" i="2"/>
  <c r="J145" i="2"/>
  <c r="L145" i="2"/>
  <c r="J146" i="2"/>
  <c r="L146" i="2"/>
  <c r="J147" i="2"/>
  <c r="L147" i="2"/>
  <c r="L148" i="2"/>
  <c r="I143" i="2"/>
  <c r="K143" i="2"/>
  <c r="I144" i="2"/>
  <c r="K144" i="2"/>
  <c r="I145" i="2"/>
  <c r="K145" i="2"/>
  <c r="I146" i="2"/>
  <c r="K146" i="2"/>
  <c r="I147" i="2"/>
  <c r="K147" i="2"/>
  <c r="K148" i="2"/>
  <c r="J148" i="2"/>
  <c r="I148" i="2"/>
  <c r="H148" i="2"/>
  <c r="E143" i="2"/>
  <c r="G143" i="2"/>
  <c r="E144" i="2"/>
  <c r="G144" i="2"/>
  <c r="E145" i="2"/>
  <c r="G145" i="2"/>
  <c r="E146" i="2"/>
  <c r="G146" i="2"/>
  <c r="E147" i="2"/>
  <c r="G147" i="2"/>
  <c r="G148" i="2"/>
  <c r="D143" i="2"/>
  <c r="F143" i="2"/>
  <c r="D144" i="2"/>
  <c r="F144" i="2"/>
  <c r="D145" i="2"/>
  <c r="F145" i="2"/>
  <c r="D146" i="2"/>
  <c r="F146" i="2"/>
  <c r="D147" i="2"/>
  <c r="F147" i="2"/>
  <c r="F148" i="2"/>
  <c r="E148" i="2"/>
  <c r="D148" i="2"/>
  <c r="C148" i="2"/>
  <c r="Q137" i="2"/>
  <c r="Q138" i="2"/>
  <c r="Q139" i="2"/>
  <c r="Q140" i="2"/>
  <c r="Q141" i="2"/>
  <c r="Q142" i="2"/>
  <c r="P137" i="2"/>
  <c r="P138" i="2"/>
  <c r="P139" i="2"/>
  <c r="P140" i="2"/>
  <c r="P141" i="2"/>
  <c r="P142" i="2"/>
  <c r="O142" i="2"/>
  <c r="N142" i="2"/>
  <c r="M142" i="2"/>
  <c r="L137" i="2"/>
  <c r="L138" i="2"/>
  <c r="L139" i="2"/>
  <c r="L140" i="2"/>
  <c r="L141" i="2"/>
  <c r="L142" i="2"/>
  <c r="K137" i="2"/>
  <c r="K138" i="2"/>
  <c r="K139" i="2"/>
  <c r="K140" i="2"/>
  <c r="K141" i="2"/>
  <c r="K142" i="2"/>
  <c r="J142" i="2"/>
  <c r="I142" i="2"/>
  <c r="H142" i="2"/>
  <c r="G137" i="2"/>
  <c r="G138" i="2"/>
  <c r="G139" i="2"/>
  <c r="G140" i="2"/>
  <c r="G141" i="2"/>
  <c r="G142" i="2"/>
  <c r="F137" i="2"/>
  <c r="F138" i="2"/>
  <c r="F139" i="2"/>
  <c r="F140" i="2"/>
  <c r="F141" i="2"/>
  <c r="F142" i="2"/>
  <c r="E142" i="2"/>
  <c r="D142" i="2"/>
  <c r="C142" i="2"/>
  <c r="Q131" i="2"/>
  <c r="Q132" i="2"/>
  <c r="Q133" i="2"/>
  <c r="Q134" i="2"/>
  <c r="Q135" i="2"/>
  <c r="Q136" i="2"/>
  <c r="P131" i="2"/>
  <c r="P132" i="2"/>
  <c r="P133" i="2"/>
  <c r="P134" i="2"/>
  <c r="P135" i="2"/>
  <c r="P136" i="2"/>
  <c r="O136" i="2"/>
  <c r="N136" i="2"/>
  <c r="M136" i="2"/>
  <c r="L131" i="2"/>
  <c r="L132" i="2"/>
  <c r="L133" i="2"/>
  <c r="L134" i="2"/>
  <c r="L135" i="2"/>
  <c r="L136" i="2"/>
  <c r="K131" i="2"/>
  <c r="K132" i="2"/>
  <c r="K133" i="2"/>
  <c r="K134" i="2"/>
  <c r="K135" i="2"/>
  <c r="K136" i="2"/>
  <c r="J136" i="2"/>
  <c r="I136" i="2"/>
  <c r="H136" i="2"/>
  <c r="G131" i="2"/>
  <c r="G132" i="2"/>
  <c r="G133" i="2"/>
  <c r="G134" i="2"/>
  <c r="G135" i="2"/>
  <c r="G136" i="2"/>
  <c r="F131" i="2"/>
  <c r="F132" i="2"/>
  <c r="F133" i="2"/>
  <c r="F134" i="2"/>
  <c r="F135" i="2"/>
  <c r="F136" i="2"/>
  <c r="E136" i="2"/>
  <c r="D136" i="2"/>
  <c r="C136" i="2"/>
  <c r="Q125" i="2"/>
  <c r="Q126" i="2"/>
  <c r="Q127" i="2"/>
  <c r="Q128" i="2"/>
  <c r="Q129" i="2"/>
  <c r="Q130" i="2"/>
  <c r="P125" i="2"/>
  <c r="P126" i="2"/>
  <c r="P127" i="2"/>
  <c r="P128" i="2"/>
  <c r="P129" i="2"/>
  <c r="P130" i="2"/>
  <c r="O130" i="2"/>
  <c r="N130" i="2"/>
  <c r="M130" i="2"/>
  <c r="L125" i="2"/>
  <c r="L126" i="2"/>
  <c r="L127" i="2"/>
  <c r="L128" i="2"/>
  <c r="L129" i="2"/>
  <c r="L130" i="2"/>
  <c r="K125" i="2"/>
  <c r="K126" i="2"/>
  <c r="K127" i="2"/>
  <c r="K128" i="2"/>
  <c r="K129" i="2"/>
  <c r="K130" i="2"/>
  <c r="J130" i="2"/>
  <c r="I130" i="2"/>
  <c r="H130" i="2"/>
  <c r="G125" i="2"/>
  <c r="G126" i="2"/>
  <c r="G127" i="2"/>
  <c r="G128" i="2"/>
  <c r="G129" i="2"/>
  <c r="G130" i="2"/>
  <c r="F125" i="2"/>
  <c r="F126" i="2"/>
  <c r="F127" i="2"/>
  <c r="F128" i="2"/>
  <c r="F129" i="2"/>
  <c r="F130" i="2"/>
  <c r="E130" i="2"/>
  <c r="D130" i="2"/>
  <c r="C130" i="2"/>
  <c r="O119" i="2"/>
  <c r="Q119" i="2"/>
  <c r="O120" i="2"/>
  <c r="Q120" i="2"/>
  <c r="O121" i="2"/>
  <c r="Q121" i="2"/>
  <c r="O122" i="2"/>
  <c r="Q122" i="2"/>
  <c r="O123" i="2"/>
  <c r="Q123" i="2"/>
  <c r="Q124" i="2"/>
  <c r="N119" i="2"/>
  <c r="P119" i="2"/>
  <c r="N120" i="2"/>
  <c r="P120" i="2"/>
  <c r="N121" i="2"/>
  <c r="P121" i="2"/>
  <c r="N122" i="2"/>
  <c r="P122" i="2"/>
  <c r="N123" i="2"/>
  <c r="P123" i="2"/>
  <c r="P124" i="2"/>
  <c r="O124" i="2"/>
  <c r="N124" i="2"/>
  <c r="M119" i="2"/>
  <c r="M120" i="2"/>
  <c r="M121" i="2"/>
  <c r="M122" i="2"/>
  <c r="M123" i="2"/>
  <c r="M124" i="2"/>
  <c r="J119" i="2"/>
  <c r="L119" i="2"/>
  <c r="J120" i="2"/>
  <c r="L120" i="2"/>
  <c r="J121" i="2"/>
  <c r="L121" i="2"/>
  <c r="J122" i="2"/>
  <c r="L122" i="2"/>
  <c r="J123" i="2"/>
  <c r="L123" i="2"/>
  <c r="L124" i="2"/>
  <c r="I119" i="2"/>
  <c r="K119" i="2"/>
  <c r="I120" i="2"/>
  <c r="K120" i="2"/>
  <c r="I121" i="2"/>
  <c r="K121" i="2"/>
  <c r="I122" i="2"/>
  <c r="K122" i="2"/>
  <c r="I123" i="2"/>
  <c r="K123" i="2"/>
  <c r="K124" i="2"/>
  <c r="J124" i="2"/>
  <c r="I124" i="2"/>
  <c r="H119" i="2"/>
  <c r="H120" i="2"/>
  <c r="H121" i="2"/>
  <c r="H122" i="2"/>
  <c r="H123" i="2"/>
  <c r="H124" i="2"/>
  <c r="E119" i="2"/>
  <c r="G119" i="2"/>
  <c r="E120" i="2"/>
  <c r="G120" i="2"/>
  <c r="E121" i="2"/>
  <c r="G121" i="2"/>
  <c r="E122" i="2"/>
  <c r="G122" i="2"/>
  <c r="E123" i="2"/>
  <c r="G123" i="2"/>
  <c r="G124" i="2"/>
  <c r="D119" i="2"/>
  <c r="F119" i="2"/>
  <c r="D120" i="2"/>
  <c r="F120" i="2"/>
  <c r="D121" i="2"/>
  <c r="F121" i="2"/>
  <c r="D122" i="2"/>
  <c r="F122" i="2"/>
  <c r="D123" i="2"/>
  <c r="F123" i="2"/>
  <c r="F124" i="2"/>
  <c r="E124" i="2"/>
  <c r="D124" i="2"/>
  <c r="C119" i="2"/>
  <c r="C120" i="2"/>
  <c r="C121" i="2"/>
  <c r="C122" i="2"/>
  <c r="C123" i="2"/>
  <c r="C124" i="2"/>
  <c r="Q113" i="2"/>
  <c r="Q114" i="2"/>
  <c r="Q115" i="2"/>
  <c r="Q116" i="2"/>
  <c r="Q117" i="2"/>
  <c r="Q118" i="2"/>
  <c r="P113" i="2"/>
  <c r="P114" i="2"/>
  <c r="P115" i="2"/>
  <c r="P116" i="2"/>
  <c r="P117" i="2"/>
  <c r="P118" i="2"/>
  <c r="O118" i="2"/>
  <c r="N118" i="2"/>
  <c r="M118" i="2"/>
  <c r="L113" i="2"/>
  <c r="L114" i="2"/>
  <c r="L115" i="2"/>
  <c r="L116" i="2"/>
  <c r="L117" i="2"/>
  <c r="L118" i="2"/>
  <c r="K113" i="2"/>
  <c r="K114" i="2"/>
  <c r="K115" i="2"/>
  <c r="K116" i="2"/>
  <c r="K117" i="2"/>
  <c r="K118" i="2"/>
  <c r="J118" i="2"/>
  <c r="I118" i="2"/>
  <c r="H118" i="2"/>
  <c r="G113" i="2"/>
  <c r="G114" i="2"/>
  <c r="G115" i="2"/>
  <c r="G116" i="2"/>
  <c r="G117" i="2"/>
  <c r="G118" i="2"/>
  <c r="F113" i="2"/>
  <c r="F114" i="2"/>
  <c r="F115" i="2"/>
  <c r="F116" i="2"/>
  <c r="F117" i="2"/>
  <c r="F118" i="2"/>
  <c r="E118" i="2"/>
  <c r="D118" i="2"/>
  <c r="C118" i="2"/>
  <c r="O107" i="2"/>
  <c r="Q107" i="2"/>
  <c r="O108" i="2"/>
  <c r="Q108" i="2"/>
  <c r="O109" i="2"/>
  <c r="Q109" i="2"/>
  <c r="O110" i="2"/>
  <c r="Q110" i="2"/>
  <c r="O111" i="2"/>
  <c r="Q111" i="2"/>
  <c r="Q112" i="2"/>
  <c r="N107" i="2"/>
  <c r="P107" i="2"/>
  <c r="N108" i="2"/>
  <c r="P108" i="2"/>
  <c r="N109" i="2"/>
  <c r="P109" i="2"/>
  <c r="N110" i="2"/>
  <c r="P110" i="2"/>
  <c r="N111" i="2"/>
  <c r="P111" i="2"/>
  <c r="P112" i="2"/>
  <c r="O112" i="2"/>
  <c r="N112" i="2"/>
  <c r="M107" i="2"/>
  <c r="M108" i="2"/>
  <c r="M109" i="2"/>
  <c r="M110" i="2"/>
  <c r="M111" i="2"/>
  <c r="M112" i="2"/>
  <c r="J107" i="2"/>
  <c r="L107" i="2"/>
  <c r="J108" i="2"/>
  <c r="L108" i="2"/>
  <c r="J109" i="2"/>
  <c r="L109" i="2"/>
  <c r="J110" i="2"/>
  <c r="L110" i="2"/>
  <c r="J111" i="2"/>
  <c r="L111" i="2"/>
  <c r="L112" i="2"/>
  <c r="I107" i="2"/>
  <c r="K107" i="2"/>
  <c r="I108" i="2"/>
  <c r="K108" i="2"/>
  <c r="I109" i="2"/>
  <c r="K109" i="2"/>
  <c r="I110" i="2"/>
  <c r="K110" i="2"/>
  <c r="I111" i="2"/>
  <c r="K111" i="2"/>
  <c r="K112" i="2"/>
  <c r="J112" i="2"/>
  <c r="I112" i="2"/>
  <c r="H107" i="2"/>
  <c r="H108" i="2"/>
  <c r="H109" i="2"/>
  <c r="H110" i="2"/>
  <c r="H111" i="2"/>
  <c r="H112" i="2"/>
  <c r="E107" i="2"/>
  <c r="G107" i="2"/>
  <c r="E108" i="2"/>
  <c r="G108" i="2"/>
  <c r="E109" i="2"/>
  <c r="G109" i="2"/>
  <c r="E110" i="2"/>
  <c r="G110" i="2"/>
  <c r="E111" i="2"/>
  <c r="G111" i="2"/>
  <c r="G112" i="2"/>
  <c r="D107" i="2"/>
  <c r="F107" i="2"/>
  <c r="D108" i="2"/>
  <c r="F108" i="2"/>
  <c r="D109" i="2"/>
  <c r="F109" i="2"/>
  <c r="D110" i="2"/>
  <c r="F110" i="2"/>
  <c r="D111" i="2"/>
  <c r="F111" i="2"/>
  <c r="F112" i="2"/>
  <c r="E112" i="2"/>
  <c r="D112" i="2"/>
  <c r="C107" i="2"/>
  <c r="C108" i="2"/>
  <c r="C109" i="2"/>
  <c r="C110" i="2"/>
  <c r="C111" i="2"/>
  <c r="C112" i="2"/>
  <c r="Q101" i="2"/>
  <c r="Q102" i="2"/>
  <c r="Q103" i="2"/>
  <c r="Q104" i="2"/>
  <c r="Q105" i="2"/>
  <c r="Q106" i="2"/>
  <c r="P101" i="2"/>
  <c r="P102" i="2"/>
  <c r="P103" i="2"/>
  <c r="P104" i="2"/>
  <c r="P105" i="2"/>
  <c r="P106" i="2"/>
  <c r="O106" i="2"/>
  <c r="N106" i="2"/>
  <c r="M106" i="2"/>
  <c r="L101" i="2"/>
  <c r="L102" i="2"/>
  <c r="L103" i="2"/>
  <c r="L104" i="2"/>
  <c r="L105" i="2"/>
  <c r="L106" i="2"/>
  <c r="K101" i="2"/>
  <c r="K102" i="2"/>
  <c r="K103" i="2"/>
  <c r="K104" i="2"/>
  <c r="K105" i="2"/>
  <c r="K106" i="2"/>
  <c r="J106" i="2"/>
  <c r="I106" i="2"/>
  <c r="H106" i="2"/>
  <c r="G101" i="2"/>
  <c r="G102" i="2"/>
  <c r="G103" i="2"/>
  <c r="G104" i="2"/>
  <c r="G105" i="2"/>
  <c r="G106" i="2"/>
  <c r="F101" i="2"/>
  <c r="F102" i="2"/>
  <c r="F103" i="2"/>
  <c r="F104" i="2"/>
  <c r="F105" i="2"/>
  <c r="F106" i="2"/>
  <c r="E106" i="2"/>
  <c r="D106" i="2"/>
  <c r="C106" i="2"/>
  <c r="O95" i="2"/>
  <c r="Q95" i="2"/>
  <c r="O96" i="2"/>
  <c r="Q96" i="2"/>
  <c r="O97" i="2"/>
  <c r="Q97" i="2"/>
  <c r="O98" i="2"/>
  <c r="Q98" i="2"/>
  <c r="O99" i="2"/>
  <c r="Q99" i="2"/>
  <c r="Q100" i="2"/>
  <c r="N95" i="2"/>
  <c r="P95" i="2"/>
  <c r="N96" i="2"/>
  <c r="P96" i="2"/>
  <c r="N97" i="2"/>
  <c r="P97" i="2"/>
  <c r="N98" i="2"/>
  <c r="P98" i="2"/>
  <c r="N99" i="2"/>
  <c r="P99" i="2"/>
  <c r="P100" i="2"/>
  <c r="O100" i="2"/>
  <c r="N100" i="2"/>
  <c r="M100" i="2"/>
  <c r="J95" i="2"/>
  <c r="L95" i="2"/>
  <c r="J96" i="2"/>
  <c r="L96" i="2"/>
  <c r="J97" i="2"/>
  <c r="L97" i="2"/>
  <c r="J98" i="2"/>
  <c r="L98" i="2"/>
  <c r="J99" i="2"/>
  <c r="L99" i="2"/>
  <c r="L100" i="2"/>
  <c r="I95" i="2"/>
  <c r="K95" i="2"/>
  <c r="I96" i="2"/>
  <c r="K96" i="2"/>
  <c r="I97" i="2"/>
  <c r="K97" i="2"/>
  <c r="I98" i="2"/>
  <c r="K98" i="2"/>
  <c r="I99" i="2"/>
  <c r="K99" i="2"/>
  <c r="K100" i="2"/>
  <c r="J100" i="2"/>
  <c r="I100" i="2"/>
  <c r="H100" i="2"/>
  <c r="E95" i="2"/>
  <c r="G95" i="2"/>
  <c r="E96" i="2"/>
  <c r="G96" i="2"/>
  <c r="E97" i="2"/>
  <c r="G97" i="2"/>
  <c r="E98" i="2"/>
  <c r="G98" i="2"/>
  <c r="E99" i="2"/>
  <c r="G99" i="2"/>
  <c r="G100" i="2"/>
  <c r="D95" i="2"/>
  <c r="F95" i="2"/>
  <c r="D96" i="2"/>
  <c r="F96" i="2"/>
  <c r="D97" i="2"/>
  <c r="F97" i="2"/>
  <c r="D98" i="2"/>
  <c r="F98" i="2"/>
  <c r="D99" i="2"/>
  <c r="F99" i="2"/>
  <c r="F100" i="2"/>
  <c r="E100" i="2"/>
  <c r="D100" i="2"/>
  <c r="C100" i="2"/>
  <c r="Q47" i="2"/>
  <c r="Q48" i="2"/>
  <c r="Q49" i="2"/>
  <c r="Q50" i="2"/>
  <c r="Q51" i="2"/>
  <c r="Q52" i="2"/>
  <c r="P47" i="2"/>
  <c r="P48" i="2"/>
  <c r="P49" i="2"/>
  <c r="P50" i="2"/>
  <c r="P51" i="2"/>
  <c r="P52" i="2"/>
  <c r="O52" i="2"/>
  <c r="N52" i="2"/>
  <c r="M52" i="2"/>
  <c r="L47" i="2"/>
  <c r="L48" i="2"/>
  <c r="L49" i="2"/>
  <c r="L50" i="2"/>
  <c r="L51" i="2"/>
  <c r="L52" i="2"/>
  <c r="K47" i="2"/>
  <c r="K48" i="2"/>
  <c r="K49" i="2"/>
  <c r="K50" i="2"/>
  <c r="K51" i="2"/>
  <c r="K52" i="2"/>
  <c r="J52" i="2"/>
  <c r="I52" i="2"/>
  <c r="H52" i="2"/>
  <c r="G47" i="2"/>
  <c r="G48" i="2"/>
  <c r="G49" i="2"/>
  <c r="G50" i="2"/>
  <c r="G51" i="2"/>
  <c r="G52" i="2"/>
  <c r="F47" i="2"/>
  <c r="F48" i="2"/>
  <c r="F49" i="2"/>
  <c r="F50" i="2"/>
  <c r="F51" i="2"/>
  <c r="F52" i="2"/>
  <c r="E52" i="2"/>
  <c r="D52" i="2"/>
  <c r="C52" i="2"/>
  <c r="F53" i="2"/>
  <c r="G53" i="2"/>
  <c r="K53" i="2"/>
  <c r="L53" i="2"/>
  <c r="P53" i="2"/>
  <c r="Q53" i="2"/>
  <c r="O39" i="2"/>
  <c r="O38" i="2"/>
  <c r="O37" i="2"/>
  <c r="O36" i="2"/>
  <c r="O35" i="2"/>
  <c r="J39" i="2"/>
  <c r="J38" i="2"/>
  <c r="J37" i="2"/>
  <c r="J36" i="2"/>
  <c r="J35" i="2"/>
  <c r="E39" i="2"/>
  <c r="E38" i="2"/>
  <c r="E37" i="2"/>
  <c r="E36" i="2"/>
  <c r="E35" i="2"/>
  <c r="N39" i="2"/>
  <c r="N38" i="2"/>
  <c r="N37" i="2"/>
  <c r="N36" i="2"/>
  <c r="N35" i="2"/>
  <c r="I39" i="2"/>
  <c r="I38" i="2"/>
  <c r="I37" i="2"/>
  <c r="I36" i="2"/>
  <c r="I35" i="2"/>
  <c r="D37" i="2"/>
  <c r="D39" i="2"/>
  <c r="D38" i="2"/>
  <c r="D36" i="2"/>
  <c r="D35" i="2"/>
  <c r="M39" i="2"/>
  <c r="M36" i="2"/>
  <c r="M38" i="2"/>
  <c r="M37" i="2"/>
  <c r="M35" i="2"/>
  <c r="H39" i="2"/>
  <c r="H38" i="2"/>
  <c r="H37" i="2"/>
  <c r="H36" i="2"/>
  <c r="H35" i="2"/>
  <c r="C36" i="2"/>
  <c r="C39" i="2"/>
  <c r="C38" i="2"/>
  <c r="C37" i="2"/>
  <c r="C35" i="2"/>
  <c r="O33" i="2"/>
  <c r="O32" i="2"/>
  <c r="O31" i="2"/>
  <c r="O30" i="2"/>
  <c r="O29" i="2"/>
  <c r="J33" i="2"/>
  <c r="J32" i="2"/>
  <c r="J31" i="2"/>
  <c r="J30" i="2"/>
  <c r="J29" i="2"/>
  <c r="E33" i="2"/>
  <c r="E30" i="2"/>
  <c r="E32" i="2"/>
  <c r="E31" i="2"/>
  <c r="E29" i="2"/>
  <c r="N32" i="2"/>
  <c r="N33" i="2"/>
  <c r="N31" i="2"/>
  <c r="N30" i="2"/>
  <c r="N29" i="2"/>
  <c r="I33" i="2"/>
  <c r="I32" i="2"/>
  <c r="I31" i="2"/>
  <c r="I30" i="2"/>
  <c r="I29" i="2"/>
  <c r="I34" i="2"/>
  <c r="D33" i="2"/>
  <c r="D32" i="2"/>
  <c r="D31" i="2"/>
  <c r="D30" i="2"/>
  <c r="D29" i="2"/>
  <c r="M33" i="2"/>
  <c r="M32" i="2"/>
  <c r="M31" i="2"/>
  <c r="M30" i="2"/>
  <c r="M29" i="2"/>
  <c r="H33" i="2"/>
  <c r="H32" i="2"/>
  <c r="H31" i="2"/>
  <c r="H30" i="2"/>
  <c r="H29" i="2"/>
  <c r="C31" i="2"/>
  <c r="C30" i="2"/>
  <c r="C33" i="2"/>
  <c r="C32" i="2"/>
  <c r="C29" i="2"/>
  <c r="O27" i="2"/>
  <c r="O26" i="2"/>
  <c r="O25" i="2"/>
  <c r="O24" i="2"/>
  <c r="O23" i="2"/>
  <c r="I27" i="2"/>
  <c r="I26" i="2"/>
  <c r="I25" i="2"/>
  <c r="I24" i="2"/>
  <c r="I23" i="2"/>
  <c r="N27" i="2"/>
  <c r="N26" i="2"/>
  <c r="N25" i="2"/>
  <c r="N24" i="2"/>
  <c r="N23" i="2"/>
  <c r="J27" i="2"/>
  <c r="J26" i="2"/>
  <c r="J25" i="2"/>
  <c r="J24" i="2"/>
  <c r="J23" i="2"/>
  <c r="E27" i="2"/>
  <c r="E26" i="2"/>
  <c r="E25" i="2"/>
  <c r="E24" i="2"/>
  <c r="E23" i="2"/>
  <c r="D27" i="2"/>
  <c r="D26" i="2"/>
  <c r="D25" i="2"/>
  <c r="D24" i="2"/>
  <c r="D23" i="2"/>
  <c r="M25" i="2"/>
  <c r="M27" i="2"/>
  <c r="M26" i="2"/>
  <c r="M24" i="2"/>
  <c r="M23" i="2"/>
  <c r="H26" i="2"/>
  <c r="H25" i="2"/>
  <c r="H27" i="2"/>
  <c r="H24" i="2"/>
  <c r="H23" i="2"/>
  <c r="C27" i="2"/>
  <c r="C24" i="2"/>
  <c r="C26" i="2"/>
  <c r="C25" i="2"/>
  <c r="C23" i="2"/>
  <c r="O21" i="2"/>
  <c r="O20" i="2"/>
  <c r="O19" i="2"/>
  <c r="O18" i="2"/>
  <c r="O17" i="2"/>
  <c r="J21" i="2"/>
  <c r="J20" i="2"/>
  <c r="J19" i="2"/>
  <c r="J18" i="2"/>
  <c r="I17" i="2"/>
  <c r="J17" i="2"/>
  <c r="E21" i="2"/>
  <c r="E20" i="2"/>
  <c r="E19" i="2"/>
  <c r="E18" i="2"/>
  <c r="E17" i="2"/>
  <c r="N21" i="2"/>
  <c r="N20" i="2"/>
  <c r="N19" i="2"/>
  <c r="N18" i="2"/>
  <c r="N17" i="2"/>
  <c r="I21" i="2"/>
  <c r="I20" i="2"/>
  <c r="I19" i="2"/>
  <c r="I18" i="2"/>
  <c r="D21" i="2"/>
  <c r="D20" i="2"/>
  <c r="D19" i="2"/>
  <c r="D18" i="2"/>
  <c r="D17" i="2"/>
  <c r="M21" i="2"/>
  <c r="M20" i="2"/>
  <c r="M19" i="2"/>
  <c r="M18" i="2"/>
  <c r="M17" i="2"/>
  <c r="H18" i="2"/>
  <c r="H21" i="2"/>
  <c r="H20" i="2"/>
  <c r="H19" i="2"/>
  <c r="H17" i="2"/>
  <c r="C21" i="2"/>
  <c r="C20" i="2"/>
  <c r="C19" i="2"/>
  <c r="C18" i="2"/>
  <c r="C17" i="2"/>
  <c r="O9" i="2"/>
  <c r="O8" i="2"/>
  <c r="O7" i="2"/>
  <c r="O6" i="2"/>
  <c r="O5" i="2"/>
  <c r="J9" i="2"/>
  <c r="J8" i="2"/>
  <c r="J7" i="2"/>
  <c r="J6" i="2"/>
  <c r="J5" i="2"/>
  <c r="E9" i="2"/>
  <c r="E8" i="2"/>
  <c r="E7" i="2"/>
  <c r="E6" i="2"/>
  <c r="E5" i="2"/>
  <c r="N9" i="2"/>
  <c r="N8" i="2"/>
  <c r="N7" i="2"/>
  <c r="N6" i="2"/>
  <c r="N5" i="2"/>
  <c r="I9" i="2"/>
  <c r="I8" i="2"/>
  <c r="I7" i="2"/>
  <c r="I6" i="2"/>
  <c r="I5" i="2"/>
  <c r="D9" i="2"/>
  <c r="D8" i="2"/>
  <c r="D7" i="2"/>
  <c r="D6" i="2"/>
  <c r="D5" i="2"/>
  <c r="Q89" i="2"/>
  <c r="Q90" i="2"/>
  <c r="Q91" i="2"/>
  <c r="Q92" i="2"/>
  <c r="Q93" i="2"/>
  <c r="Q94" i="2"/>
  <c r="P89" i="2"/>
  <c r="P90" i="2"/>
  <c r="P91" i="2"/>
  <c r="P92" i="2"/>
  <c r="P93" i="2"/>
  <c r="P94" i="2"/>
  <c r="O94" i="2"/>
  <c r="N94" i="2"/>
  <c r="M94" i="2"/>
  <c r="L89" i="2"/>
  <c r="L90" i="2"/>
  <c r="L91" i="2"/>
  <c r="L92" i="2"/>
  <c r="L93" i="2"/>
  <c r="L94" i="2"/>
  <c r="K89" i="2"/>
  <c r="K90" i="2"/>
  <c r="K91" i="2"/>
  <c r="K92" i="2"/>
  <c r="K93" i="2"/>
  <c r="K94" i="2"/>
  <c r="J94" i="2"/>
  <c r="I94" i="2"/>
  <c r="H94" i="2"/>
  <c r="G89" i="2"/>
  <c r="G90" i="2"/>
  <c r="G91" i="2"/>
  <c r="G92" i="2"/>
  <c r="G93" i="2"/>
  <c r="G94" i="2"/>
  <c r="F89" i="2"/>
  <c r="F90" i="2"/>
  <c r="F91" i="2"/>
  <c r="F92" i="2"/>
  <c r="F93" i="2"/>
  <c r="F94" i="2"/>
  <c r="E94" i="2"/>
  <c r="D94" i="2"/>
  <c r="C94" i="2"/>
  <c r="Q83" i="2"/>
  <c r="Q84" i="2"/>
  <c r="Q85" i="2"/>
  <c r="Q86" i="2"/>
  <c r="Q87" i="2"/>
  <c r="Q88" i="2"/>
  <c r="P83" i="2"/>
  <c r="P84" i="2"/>
  <c r="P85" i="2"/>
  <c r="P86" i="2"/>
  <c r="P87" i="2"/>
  <c r="P88" i="2"/>
  <c r="O88" i="2"/>
  <c r="N88" i="2"/>
  <c r="M88" i="2"/>
  <c r="L83" i="2"/>
  <c r="L84" i="2"/>
  <c r="L85" i="2"/>
  <c r="L86" i="2"/>
  <c r="L87" i="2"/>
  <c r="L88" i="2"/>
  <c r="K83" i="2"/>
  <c r="K84" i="2"/>
  <c r="K85" i="2"/>
  <c r="K86" i="2"/>
  <c r="K87" i="2"/>
  <c r="K88" i="2"/>
  <c r="J88" i="2"/>
  <c r="I88" i="2"/>
  <c r="H88" i="2"/>
  <c r="G83" i="2"/>
  <c r="G84" i="2"/>
  <c r="G85" i="2"/>
  <c r="G86" i="2"/>
  <c r="G87" i="2"/>
  <c r="G88" i="2"/>
  <c r="F83" i="2"/>
  <c r="F84" i="2"/>
  <c r="F85" i="2"/>
  <c r="F86" i="2"/>
  <c r="F87" i="2"/>
  <c r="F88" i="2"/>
  <c r="E88" i="2"/>
  <c r="D88" i="2"/>
  <c r="C88" i="2"/>
  <c r="Q77" i="2"/>
  <c r="Q78" i="2"/>
  <c r="Q79" i="2"/>
  <c r="Q80" i="2"/>
  <c r="Q81" i="2"/>
  <c r="Q82" i="2"/>
  <c r="P77" i="2"/>
  <c r="P78" i="2"/>
  <c r="P79" i="2"/>
  <c r="P80" i="2"/>
  <c r="P81" i="2"/>
  <c r="P82" i="2"/>
  <c r="O82" i="2"/>
  <c r="N82" i="2"/>
  <c r="M82" i="2"/>
  <c r="L77" i="2"/>
  <c r="L78" i="2"/>
  <c r="L79" i="2"/>
  <c r="L80" i="2"/>
  <c r="L81" i="2"/>
  <c r="L82" i="2"/>
  <c r="K77" i="2"/>
  <c r="K78" i="2"/>
  <c r="K79" i="2"/>
  <c r="K80" i="2"/>
  <c r="K81" i="2"/>
  <c r="K82" i="2"/>
  <c r="J82" i="2"/>
  <c r="I82" i="2"/>
  <c r="H82" i="2"/>
  <c r="G77" i="2"/>
  <c r="G78" i="2"/>
  <c r="G79" i="2"/>
  <c r="G80" i="2"/>
  <c r="G81" i="2"/>
  <c r="G82" i="2"/>
  <c r="F77" i="2"/>
  <c r="F78" i="2"/>
  <c r="F79" i="2"/>
  <c r="F80" i="2"/>
  <c r="F81" i="2"/>
  <c r="F82" i="2"/>
  <c r="E82" i="2"/>
  <c r="D82" i="2"/>
  <c r="C82" i="2"/>
  <c r="O71" i="2"/>
  <c r="Q71" i="2"/>
  <c r="O72" i="2"/>
  <c r="Q72" i="2"/>
  <c r="O73" i="2"/>
  <c r="Q73" i="2"/>
  <c r="O74" i="2"/>
  <c r="Q74" i="2"/>
  <c r="O75" i="2"/>
  <c r="Q75" i="2"/>
  <c r="Q76" i="2"/>
  <c r="N71" i="2"/>
  <c r="P71" i="2"/>
  <c r="N72" i="2"/>
  <c r="P72" i="2"/>
  <c r="N73" i="2"/>
  <c r="P73" i="2"/>
  <c r="N74" i="2"/>
  <c r="P74" i="2"/>
  <c r="N75" i="2"/>
  <c r="P75" i="2"/>
  <c r="P76" i="2"/>
  <c r="O76" i="2"/>
  <c r="N76" i="2"/>
  <c r="M71" i="2"/>
  <c r="M72" i="2"/>
  <c r="M73" i="2"/>
  <c r="M74" i="2"/>
  <c r="M75" i="2"/>
  <c r="M76" i="2"/>
  <c r="J71" i="2"/>
  <c r="L71" i="2"/>
  <c r="J72" i="2"/>
  <c r="L72" i="2"/>
  <c r="J73" i="2"/>
  <c r="L73" i="2"/>
  <c r="J74" i="2"/>
  <c r="L74" i="2"/>
  <c r="J75" i="2"/>
  <c r="L75" i="2"/>
  <c r="L76" i="2"/>
  <c r="I71" i="2"/>
  <c r="K71" i="2"/>
  <c r="I72" i="2"/>
  <c r="K72" i="2"/>
  <c r="I73" i="2"/>
  <c r="K73" i="2"/>
  <c r="I74" i="2"/>
  <c r="K74" i="2"/>
  <c r="I75" i="2"/>
  <c r="K75" i="2"/>
  <c r="K76" i="2"/>
  <c r="J76" i="2"/>
  <c r="I76" i="2"/>
  <c r="H71" i="2"/>
  <c r="H72" i="2"/>
  <c r="H73" i="2"/>
  <c r="H74" i="2"/>
  <c r="H75" i="2"/>
  <c r="H76" i="2"/>
  <c r="E71" i="2"/>
  <c r="G71" i="2"/>
  <c r="E72" i="2"/>
  <c r="G72" i="2"/>
  <c r="E73" i="2"/>
  <c r="G73" i="2"/>
  <c r="E74" i="2"/>
  <c r="G74" i="2"/>
  <c r="E75" i="2"/>
  <c r="G75" i="2"/>
  <c r="G76" i="2"/>
  <c r="D71" i="2"/>
  <c r="F71" i="2"/>
  <c r="D72" i="2"/>
  <c r="F72" i="2"/>
  <c r="D73" i="2"/>
  <c r="F73" i="2"/>
  <c r="D74" i="2"/>
  <c r="F74" i="2"/>
  <c r="D75" i="2"/>
  <c r="F75" i="2"/>
  <c r="F76" i="2"/>
  <c r="E76" i="2"/>
  <c r="D76" i="2"/>
  <c r="C71" i="2"/>
  <c r="C72" i="2"/>
  <c r="C73" i="2"/>
  <c r="C74" i="2"/>
  <c r="C75" i="2"/>
  <c r="C76" i="2"/>
  <c r="Q65" i="2"/>
  <c r="Q66" i="2"/>
  <c r="Q67" i="2"/>
  <c r="Q68" i="2"/>
  <c r="Q69" i="2"/>
  <c r="Q70" i="2"/>
  <c r="P65" i="2"/>
  <c r="P66" i="2"/>
  <c r="P67" i="2"/>
  <c r="P68" i="2"/>
  <c r="P69" i="2"/>
  <c r="P70" i="2"/>
  <c r="O70" i="2"/>
  <c r="N70" i="2"/>
  <c r="M70" i="2"/>
  <c r="L65" i="2"/>
  <c r="L66" i="2"/>
  <c r="L67" i="2"/>
  <c r="L68" i="2"/>
  <c r="L69" i="2"/>
  <c r="L70" i="2"/>
  <c r="K65" i="2"/>
  <c r="K66" i="2"/>
  <c r="K67" i="2"/>
  <c r="K68" i="2"/>
  <c r="K69" i="2"/>
  <c r="K70" i="2"/>
  <c r="J70" i="2"/>
  <c r="I70" i="2"/>
  <c r="H70" i="2"/>
  <c r="G65" i="2"/>
  <c r="G66" i="2"/>
  <c r="G67" i="2"/>
  <c r="G68" i="2"/>
  <c r="G69" i="2"/>
  <c r="G70" i="2"/>
  <c r="F65" i="2"/>
  <c r="F66" i="2"/>
  <c r="F67" i="2"/>
  <c r="F68" i="2"/>
  <c r="F69" i="2"/>
  <c r="F70" i="2"/>
  <c r="E70" i="2"/>
  <c r="D70" i="2"/>
  <c r="C70" i="2"/>
  <c r="O59" i="2"/>
  <c r="Q59" i="2"/>
  <c r="O60" i="2"/>
  <c r="Q60" i="2"/>
  <c r="O61" i="2"/>
  <c r="Q61" i="2"/>
  <c r="O62" i="2"/>
  <c r="Q62" i="2"/>
  <c r="O63" i="2"/>
  <c r="Q63" i="2"/>
  <c r="Q64" i="2"/>
  <c r="N59" i="2"/>
  <c r="P59" i="2"/>
  <c r="N60" i="2"/>
  <c r="P60" i="2"/>
  <c r="N61" i="2"/>
  <c r="P61" i="2"/>
  <c r="N62" i="2"/>
  <c r="P62" i="2"/>
  <c r="N63" i="2"/>
  <c r="P63" i="2"/>
  <c r="P64" i="2"/>
  <c r="O64" i="2"/>
  <c r="N64" i="2"/>
  <c r="M64" i="2"/>
  <c r="J59" i="2"/>
  <c r="L59" i="2"/>
  <c r="J60" i="2"/>
  <c r="L60" i="2"/>
  <c r="J61" i="2"/>
  <c r="L61" i="2"/>
  <c r="J62" i="2"/>
  <c r="L62" i="2"/>
  <c r="J63" i="2"/>
  <c r="L63" i="2"/>
  <c r="L64" i="2"/>
  <c r="I59" i="2"/>
  <c r="K59" i="2"/>
  <c r="I60" i="2"/>
  <c r="K60" i="2"/>
  <c r="I61" i="2"/>
  <c r="K61" i="2"/>
  <c r="I62" i="2"/>
  <c r="K62" i="2"/>
  <c r="I63" i="2"/>
  <c r="K63" i="2"/>
  <c r="K64" i="2"/>
  <c r="J64" i="2"/>
  <c r="I64" i="2"/>
  <c r="H64" i="2"/>
  <c r="E59" i="2"/>
  <c r="G59" i="2"/>
  <c r="E60" i="2"/>
  <c r="G60" i="2"/>
  <c r="E61" i="2"/>
  <c r="G61" i="2"/>
  <c r="E62" i="2"/>
  <c r="G62" i="2"/>
  <c r="E63" i="2"/>
  <c r="G63" i="2"/>
  <c r="G64" i="2"/>
  <c r="D59" i="2"/>
  <c r="F59" i="2"/>
  <c r="D60" i="2"/>
  <c r="F60" i="2"/>
  <c r="D61" i="2"/>
  <c r="F61" i="2"/>
  <c r="D62" i="2"/>
  <c r="F62" i="2"/>
  <c r="D63" i="2"/>
  <c r="F63" i="2"/>
  <c r="F64" i="2"/>
  <c r="E64" i="2"/>
  <c r="D64" i="2"/>
  <c r="C64" i="2"/>
  <c r="Q54" i="2"/>
  <c r="Q55" i="2"/>
  <c r="Q56" i="2"/>
  <c r="Q57" i="2"/>
  <c r="Q58" i="2"/>
  <c r="P54" i="2"/>
  <c r="P55" i="2"/>
  <c r="P56" i="2"/>
  <c r="P57" i="2"/>
  <c r="P58" i="2"/>
  <c r="O58" i="2"/>
  <c r="N58" i="2"/>
  <c r="M58" i="2"/>
  <c r="L54" i="2"/>
  <c r="L55" i="2"/>
  <c r="L56" i="2"/>
  <c r="L57" i="2"/>
  <c r="L58" i="2"/>
  <c r="K54" i="2"/>
  <c r="K55" i="2"/>
  <c r="K56" i="2"/>
  <c r="K57" i="2"/>
  <c r="K58" i="2"/>
  <c r="J58" i="2"/>
  <c r="I58" i="2"/>
  <c r="H58" i="2"/>
  <c r="G54" i="2"/>
  <c r="G55" i="2"/>
  <c r="G56" i="2"/>
  <c r="G57" i="2"/>
  <c r="G58" i="2"/>
  <c r="F54" i="2"/>
  <c r="F55" i="2"/>
  <c r="F56" i="2"/>
  <c r="F57" i="2"/>
  <c r="F58" i="2"/>
  <c r="E58" i="2"/>
  <c r="D58" i="2"/>
  <c r="C58" i="2"/>
  <c r="Q41" i="2"/>
  <c r="Q42" i="2"/>
  <c r="Q43" i="2"/>
  <c r="Q44" i="2"/>
  <c r="Q45" i="2"/>
  <c r="Q46" i="2"/>
  <c r="P41" i="2"/>
  <c r="P42" i="2"/>
  <c r="P43" i="2"/>
  <c r="P44" i="2"/>
  <c r="P45" i="2"/>
  <c r="P46" i="2"/>
  <c r="O46" i="2"/>
  <c r="N46" i="2"/>
  <c r="M46" i="2"/>
  <c r="L41" i="2"/>
  <c r="L42" i="2"/>
  <c r="L43" i="2"/>
  <c r="L44" i="2"/>
  <c r="L45" i="2"/>
  <c r="L46" i="2"/>
  <c r="K41" i="2"/>
  <c r="K42" i="2"/>
  <c r="K43" i="2"/>
  <c r="K44" i="2"/>
  <c r="K45" i="2"/>
  <c r="K46" i="2"/>
  <c r="J46" i="2"/>
  <c r="I46" i="2"/>
  <c r="H46" i="2"/>
  <c r="G41" i="2"/>
  <c r="G42" i="2"/>
  <c r="G43" i="2"/>
  <c r="G44" i="2"/>
  <c r="G45" i="2"/>
  <c r="G46" i="2"/>
  <c r="F41" i="2"/>
  <c r="F42" i="2"/>
  <c r="F43" i="2"/>
  <c r="F44" i="2"/>
  <c r="F45" i="2"/>
  <c r="F46" i="2"/>
  <c r="E46" i="2"/>
  <c r="D46" i="2"/>
  <c r="C46" i="2"/>
  <c r="Q35" i="2"/>
  <c r="Q36" i="2"/>
  <c r="Q37" i="2"/>
  <c r="Q38" i="2"/>
  <c r="Q39" i="2"/>
  <c r="Q40" i="2"/>
  <c r="P35" i="2"/>
  <c r="P36" i="2"/>
  <c r="P37" i="2"/>
  <c r="P38" i="2"/>
  <c r="P39" i="2"/>
  <c r="P40" i="2"/>
  <c r="O40" i="2"/>
  <c r="N40" i="2"/>
  <c r="M40" i="2"/>
  <c r="L35" i="2"/>
  <c r="L36" i="2"/>
  <c r="L37" i="2"/>
  <c r="L38" i="2"/>
  <c r="L39" i="2"/>
  <c r="L40" i="2"/>
  <c r="K35" i="2"/>
  <c r="K36" i="2"/>
  <c r="K37" i="2"/>
  <c r="K38" i="2"/>
  <c r="K39" i="2"/>
  <c r="K40" i="2"/>
  <c r="J40" i="2"/>
  <c r="I40" i="2"/>
  <c r="H40" i="2"/>
  <c r="G35" i="2"/>
  <c r="G36" i="2"/>
  <c r="G37" i="2"/>
  <c r="G38" i="2"/>
  <c r="G39" i="2"/>
  <c r="G40" i="2"/>
  <c r="F35" i="2"/>
  <c r="F36" i="2"/>
  <c r="F37" i="2"/>
  <c r="F38" i="2"/>
  <c r="F39" i="2"/>
  <c r="F40" i="2"/>
  <c r="E40" i="2"/>
  <c r="D40" i="2"/>
  <c r="C40" i="2"/>
  <c r="Q29" i="2"/>
  <c r="Q30" i="2"/>
  <c r="Q31" i="2"/>
  <c r="Q32" i="2"/>
  <c r="Q33" i="2"/>
  <c r="Q34" i="2"/>
  <c r="P29" i="2"/>
  <c r="P30" i="2"/>
  <c r="P31" i="2"/>
  <c r="P32" i="2"/>
  <c r="P33" i="2"/>
  <c r="P34" i="2"/>
  <c r="O34" i="2"/>
  <c r="N34" i="2"/>
  <c r="M34" i="2"/>
  <c r="L29" i="2"/>
  <c r="L30" i="2"/>
  <c r="L31" i="2"/>
  <c r="L32" i="2"/>
  <c r="L33" i="2"/>
  <c r="L34" i="2"/>
  <c r="K29" i="2"/>
  <c r="K30" i="2"/>
  <c r="K31" i="2"/>
  <c r="K32" i="2"/>
  <c r="K33" i="2"/>
  <c r="K34" i="2"/>
  <c r="J34" i="2"/>
  <c r="H34" i="2"/>
  <c r="G29" i="2"/>
  <c r="G30" i="2"/>
  <c r="G31" i="2"/>
  <c r="G32" i="2"/>
  <c r="G33" i="2"/>
  <c r="G34" i="2"/>
  <c r="F29" i="2"/>
  <c r="F30" i="2"/>
  <c r="F31" i="2"/>
  <c r="F32" i="2"/>
  <c r="F33" i="2"/>
  <c r="F34" i="2"/>
  <c r="E34" i="2"/>
  <c r="D34" i="2"/>
  <c r="C34" i="2"/>
  <c r="Q23" i="2"/>
  <c r="Q24" i="2"/>
  <c r="Q25" i="2"/>
  <c r="Q26" i="2"/>
  <c r="Q27" i="2"/>
  <c r="Q28" i="2"/>
  <c r="P23" i="2"/>
  <c r="P24" i="2"/>
  <c r="P25" i="2"/>
  <c r="P26" i="2"/>
  <c r="P27" i="2"/>
  <c r="P28" i="2"/>
  <c r="O28" i="2"/>
  <c r="N28" i="2"/>
  <c r="M28" i="2"/>
  <c r="L23" i="2"/>
  <c r="L24" i="2"/>
  <c r="L25" i="2"/>
  <c r="L26" i="2"/>
  <c r="L27" i="2"/>
  <c r="L28" i="2"/>
  <c r="K23" i="2"/>
  <c r="K24" i="2"/>
  <c r="K25" i="2"/>
  <c r="K26" i="2"/>
  <c r="K27" i="2"/>
  <c r="K28" i="2"/>
  <c r="J28" i="2"/>
  <c r="I28" i="2"/>
  <c r="H28" i="2"/>
  <c r="G23" i="2"/>
  <c r="G24" i="2"/>
  <c r="G25" i="2"/>
  <c r="G26" i="2"/>
  <c r="G27" i="2"/>
  <c r="G28" i="2"/>
  <c r="F23" i="2"/>
  <c r="F24" i="2"/>
  <c r="F25" i="2"/>
  <c r="F26" i="2"/>
  <c r="F27" i="2"/>
  <c r="F28" i="2"/>
  <c r="E28" i="2"/>
  <c r="D28" i="2"/>
  <c r="C28" i="2"/>
  <c r="Q17" i="2"/>
  <c r="Q18" i="2"/>
  <c r="Q19" i="2"/>
  <c r="Q20" i="2"/>
  <c r="Q21" i="2"/>
  <c r="Q22" i="2"/>
  <c r="P17" i="2"/>
  <c r="P18" i="2"/>
  <c r="P19" i="2"/>
  <c r="P20" i="2"/>
  <c r="P21" i="2"/>
  <c r="P22" i="2"/>
  <c r="O22" i="2"/>
  <c r="N22" i="2"/>
  <c r="M22" i="2"/>
  <c r="L17" i="2"/>
  <c r="L18" i="2"/>
  <c r="L19" i="2"/>
  <c r="L20" i="2"/>
  <c r="L21" i="2"/>
  <c r="L22" i="2"/>
  <c r="K17" i="2"/>
  <c r="K18" i="2"/>
  <c r="K19" i="2"/>
  <c r="K20" i="2"/>
  <c r="K21" i="2"/>
  <c r="K22" i="2"/>
  <c r="J22" i="2"/>
  <c r="I22" i="2"/>
  <c r="H22" i="2"/>
  <c r="G17" i="2"/>
  <c r="G18" i="2"/>
  <c r="G19" i="2"/>
  <c r="G20" i="2"/>
  <c r="G21" i="2"/>
  <c r="G22" i="2"/>
  <c r="F17" i="2"/>
  <c r="F18" i="2"/>
  <c r="F19" i="2"/>
  <c r="F20" i="2"/>
  <c r="F21" i="2"/>
  <c r="F22" i="2"/>
  <c r="E22" i="2"/>
  <c r="D22" i="2"/>
  <c r="C22" i="2"/>
  <c r="O11" i="2"/>
  <c r="Q11" i="2"/>
  <c r="O12" i="2"/>
  <c r="Q12" i="2"/>
  <c r="O13" i="2"/>
  <c r="Q13" i="2"/>
  <c r="O14" i="2"/>
  <c r="Q14" i="2"/>
  <c r="O15" i="2"/>
  <c r="Q15" i="2"/>
  <c r="Q16" i="2"/>
  <c r="N11" i="2"/>
  <c r="P11" i="2"/>
  <c r="N12" i="2"/>
  <c r="P12" i="2"/>
  <c r="N13" i="2"/>
  <c r="P13" i="2"/>
  <c r="N14" i="2"/>
  <c r="P14" i="2"/>
  <c r="N15" i="2"/>
  <c r="P15" i="2"/>
  <c r="P16" i="2"/>
  <c r="O16" i="2"/>
  <c r="N16" i="2"/>
  <c r="M16" i="2"/>
  <c r="J11" i="2"/>
  <c r="L11" i="2"/>
  <c r="J12" i="2"/>
  <c r="L12" i="2"/>
  <c r="J13" i="2"/>
  <c r="L13" i="2"/>
  <c r="J14" i="2"/>
  <c r="L14" i="2"/>
  <c r="J15" i="2"/>
  <c r="L15" i="2"/>
  <c r="L16" i="2"/>
  <c r="I11" i="2"/>
  <c r="K11" i="2"/>
  <c r="I12" i="2"/>
  <c r="K12" i="2"/>
  <c r="I13" i="2"/>
  <c r="K13" i="2"/>
  <c r="I14" i="2"/>
  <c r="K14" i="2"/>
  <c r="I15" i="2"/>
  <c r="K15" i="2"/>
  <c r="K16" i="2"/>
  <c r="J16" i="2"/>
  <c r="I16" i="2"/>
  <c r="H16" i="2"/>
  <c r="E11" i="2"/>
  <c r="G11" i="2"/>
  <c r="E12" i="2"/>
  <c r="G12" i="2"/>
  <c r="E13" i="2"/>
  <c r="G13" i="2"/>
  <c r="E14" i="2"/>
  <c r="G14" i="2"/>
  <c r="E15" i="2"/>
  <c r="G15" i="2"/>
  <c r="G16" i="2"/>
  <c r="D11" i="2"/>
  <c r="F11" i="2"/>
  <c r="D12" i="2"/>
  <c r="F12" i="2"/>
  <c r="D13" i="2"/>
  <c r="F13" i="2"/>
  <c r="D14" i="2"/>
  <c r="F14" i="2"/>
  <c r="D15" i="2"/>
  <c r="F15" i="2"/>
  <c r="F16" i="2"/>
  <c r="E16" i="2"/>
  <c r="D16" i="2"/>
  <c r="C16" i="2"/>
  <c r="Q5" i="2"/>
  <c r="Q6" i="2"/>
  <c r="Q7" i="2"/>
  <c r="Q8" i="2"/>
  <c r="Q9" i="2"/>
  <c r="Q10" i="2"/>
  <c r="P5" i="2"/>
  <c r="P6" i="2"/>
  <c r="P7" i="2"/>
  <c r="P8" i="2"/>
  <c r="P9" i="2"/>
  <c r="P10" i="2"/>
  <c r="O10" i="2"/>
  <c r="N10" i="2"/>
  <c r="M10" i="2"/>
  <c r="L5" i="2"/>
  <c r="L6" i="2"/>
  <c r="L7" i="2"/>
  <c r="L8" i="2"/>
  <c r="L9" i="2"/>
  <c r="L10" i="2"/>
  <c r="K5" i="2"/>
  <c r="K6" i="2"/>
  <c r="K7" i="2"/>
  <c r="K8" i="2"/>
  <c r="K9" i="2"/>
  <c r="K10" i="2"/>
  <c r="J10" i="2"/>
  <c r="I10" i="2"/>
  <c r="H10" i="2"/>
  <c r="G5" i="2"/>
  <c r="G6" i="2"/>
  <c r="G7" i="2"/>
  <c r="G8" i="2"/>
  <c r="G9" i="2"/>
  <c r="G10" i="2"/>
  <c r="F5" i="2"/>
  <c r="F6" i="2"/>
  <c r="F7" i="2"/>
  <c r="F8" i="2"/>
  <c r="F9" i="2"/>
  <c r="F10" i="2"/>
  <c r="E10" i="2"/>
  <c r="D10" i="2"/>
  <c r="C10" i="2"/>
  <c r="N43" i="1"/>
  <c r="N42" i="1"/>
  <c r="N41" i="1"/>
  <c r="N40" i="1"/>
  <c r="N39" i="1"/>
  <c r="I42" i="1"/>
  <c r="I41" i="1"/>
  <c r="I43" i="1"/>
  <c r="I40" i="1"/>
  <c r="I39" i="1"/>
  <c r="D43" i="1"/>
  <c r="D41" i="1"/>
  <c r="D42" i="1"/>
  <c r="D40" i="1"/>
  <c r="D39" i="1"/>
  <c r="M43" i="1"/>
  <c r="M42" i="1"/>
  <c r="M41" i="1"/>
  <c r="M40" i="1"/>
  <c r="M39" i="1"/>
  <c r="H43" i="1"/>
  <c r="H42" i="1"/>
  <c r="H41" i="1"/>
  <c r="H40" i="1"/>
  <c r="H39" i="1"/>
  <c r="C43" i="1"/>
  <c r="C41" i="1"/>
  <c r="C42" i="1"/>
  <c r="C40" i="1"/>
  <c r="C39" i="1"/>
  <c r="N29" i="1"/>
  <c r="N30" i="1"/>
  <c r="N28" i="1"/>
  <c r="N31" i="1"/>
  <c r="N27" i="1"/>
  <c r="I31" i="1"/>
  <c r="I30" i="1"/>
  <c r="I29" i="1"/>
  <c r="I28" i="1"/>
  <c r="I27" i="1"/>
  <c r="D31" i="1"/>
  <c r="D30" i="1"/>
  <c r="D29" i="1"/>
  <c r="D28" i="1"/>
  <c r="D27" i="1"/>
  <c r="M31" i="1"/>
  <c r="M30" i="1"/>
  <c r="M29" i="1"/>
  <c r="M28" i="1"/>
  <c r="M27" i="1"/>
  <c r="H31" i="1"/>
  <c r="H28" i="1"/>
  <c r="H29" i="1"/>
  <c r="H30" i="1"/>
  <c r="H27" i="1"/>
  <c r="C30" i="1"/>
  <c r="C29" i="1"/>
  <c r="C28" i="1"/>
  <c r="C31" i="1"/>
  <c r="C27" i="1"/>
  <c r="N25" i="1"/>
  <c r="N23" i="1"/>
  <c r="N22" i="1"/>
  <c r="N24" i="1"/>
  <c r="N21" i="1"/>
  <c r="I25" i="1"/>
  <c r="I24" i="1"/>
  <c r="I23" i="1"/>
  <c r="I22" i="1"/>
  <c r="I21" i="1"/>
  <c r="D25" i="1"/>
  <c r="D24" i="1"/>
  <c r="D23" i="1"/>
  <c r="D22" i="1"/>
  <c r="D21" i="1"/>
  <c r="M25" i="1"/>
  <c r="M24" i="1"/>
  <c r="M23" i="1"/>
  <c r="M22" i="1"/>
  <c r="M21" i="1"/>
  <c r="H25" i="1"/>
  <c r="H24" i="1"/>
  <c r="H23" i="1"/>
  <c r="H22" i="1"/>
  <c r="H21" i="1"/>
  <c r="C25" i="1"/>
  <c r="C24" i="1"/>
  <c r="C23" i="1"/>
  <c r="C22" i="1"/>
  <c r="C21" i="1"/>
  <c r="L25" i="1"/>
  <c r="L24" i="1"/>
  <c r="L23" i="1"/>
  <c r="L22" i="1"/>
  <c r="L21" i="1"/>
  <c r="G23" i="1"/>
  <c r="G22" i="1"/>
  <c r="G24" i="1"/>
  <c r="G25" i="1"/>
  <c r="G21" i="1"/>
  <c r="B25" i="1"/>
  <c r="B22" i="1"/>
  <c r="B23" i="1"/>
  <c r="B24" i="1"/>
  <c r="B21" i="1"/>
  <c r="N19" i="1"/>
  <c r="N18" i="1"/>
  <c r="N17" i="1"/>
  <c r="N16" i="1"/>
  <c r="N15" i="1"/>
  <c r="I19" i="1"/>
  <c r="I18" i="1"/>
  <c r="I17" i="1"/>
  <c r="I16" i="1"/>
  <c r="I15" i="1"/>
  <c r="D19" i="1"/>
  <c r="D18" i="1"/>
  <c r="D17" i="1"/>
  <c r="D16" i="1"/>
  <c r="D15" i="1"/>
  <c r="M19" i="1"/>
  <c r="M18" i="1"/>
  <c r="M17" i="1"/>
  <c r="M16" i="1"/>
  <c r="M15" i="1"/>
  <c r="H19" i="1"/>
  <c r="H18" i="1"/>
  <c r="H17" i="1"/>
  <c r="H16" i="1"/>
  <c r="H15" i="1"/>
  <c r="C19" i="1"/>
  <c r="C18" i="1"/>
  <c r="C17" i="1"/>
  <c r="C16" i="1"/>
  <c r="C15" i="1"/>
  <c r="N13" i="1"/>
  <c r="N12" i="1"/>
  <c r="N10" i="1"/>
  <c r="N9" i="1"/>
  <c r="N11" i="1"/>
  <c r="I13" i="1"/>
  <c r="I12" i="1"/>
  <c r="I11" i="1"/>
  <c r="I10" i="1"/>
  <c r="I9" i="1"/>
  <c r="D11" i="1"/>
  <c r="D12" i="1"/>
  <c r="D13" i="1"/>
  <c r="D10" i="1"/>
  <c r="D9" i="1"/>
  <c r="M13" i="1"/>
  <c r="M11" i="1"/>
  <c r="M12" i="1"/>
  <c r="M10" i="1"/>
  <c r="M9" i="1"/>
  <c r="H12" i="1"/>
  <c r="H13" i="1"/>
  <c r="H11" i="1"/>
  <c r="H10" i="1"/>
  <c r="H9" i="1"/>
  <c r="C13" i="1"/>
  <c r="C12" i="1"/>
  <c r="C11" i="1"/>
  <c r="C10" i="1"/>
  <c r="C9" i="1"/>
  <c r="E10" i="1"/>
  <c r="N4" i="1"/>
  <c r="N5" i="1"/>
  <c r="N6" i="1"/>
  <c r="N7" i="1"/>
  <c r="N3" i="1"/>
  <c r="I7" i="1"/>
  <c r="I6" i="1"/>
  <c r="I5" i="1"/>
  <c r="I4" i="1"/>
  <c r="I3" i="1"/>
  <c r="D7" i="1"/>
  <c r="D6" i="1"/>
  <c r="D4" i="1"/>
  <c r="D5" i="1"/>
  <c r="D3" i="1"/>
  <c r="M7" i="1"/>
  <c r="M6" i="1"/>
  <c r="M5" i="1"/>
  <c r="M4" i="1"/>
  <c r="M3" i="1"/>
  <c r="H7" i="1"/>
  <c r="H5" i="1"/>
  <c r="H6" i="1"/>
  <c r="H4" i="1"/>
  <c r="H3" i="1"/>
  <c r="C6" i="1"/>
  <c r="C4" i="1"/>
  <c r="C5" i="1"/>
  <c r="C7" i="1"/>
  <c r="C3" i="1"/>
  <c r="P39" i="1"/>
  <c r="P40" i="1"/>
  <c r="P41" i="1"/>
  <c r="P42" i="1"/>
  <c r="P43" i="1"/>
  <c r="P44" i="1"/>
  <c r="O39" i="1"/>
  <c r="O40" i="1"/>
  <c r="O41" i="1"/>
  <c r="O42" i="1"/>
  <c r="O43" i="1"/>
  <c r="O44" i="1"/>
  <c r="N44" i="1"/>
  <c r="M44" i="1"/>
  <c r="L44" i="1"/>
  <c r="K39" i="1"/>
  <c r="K40" i="1"/>
  <c r="K41" i="1"/>
  <c r="K42" i="1"/>
  <c r="K43" i="1"/>
  <c r="K44" i="1"/>
  <c r="J39" i="1"/>
  <c r="J40" i="1"/>
  <c r="J41" i="1"/>
  <c r="J42" i="1"/>
  <c r="J43" i="1"/>
  <c r="J44" i="1"/>
  <c r="I44" i="1"/>
  <c r="H44" i="1"/>
  <c r="G44" i="1"/>
  <c r="F39" i="1"/>
  <c r="F40" i="1"/>
  <c r="F41" i="1"/>
  <c r="F42" i="1"/>
  <c r="F43" i="1"/>
  <c r="F44" i="1"/>
  <c r="E39" i="1"/>
  <c r="E40" i="1"/>
  <c r="E41" i="1"/>
  <c r="E42" i="1"/>
  <c r="E43" i="1"/>
  <c r="E44" i="1"/>
  <c r="D44" i="1"/>
  <c r="C44" i="1"/>
  <c r="B44" i="1"/>
  <c r="P33" i="1"/>
  <c r="P34" i="1"/>
  <c r="P35" i="1"/>
  <c r="P36" i="1"/>
  <c r="P37" i="1"/>
  <c r="P38" i="1"/>
  <c r="O33" i="1"/>
  <c r="O34" i="1"/>
  <c r="O35" i="1"/>
  <c r="O36" i="1"/>
  <c r="O37" i="1"/>
  <c r="O38" i="1"/>
  <c r="N38" i="1"/>
  <c r="M38" i="1"/>
  <c r="L38" i="1"/>
  <c r="K33" i="1"/>
  <c r="K34" i="1"/>
  <c r="K35" i="1"/>
  <c r="K36" i="1"/>
  <c r="K37" i="1"/>
  <c r="K38" i="1"/>
  <c r="J33" i="1"/>
  <c r="J34" i="1"/>
  <c r="J35" i="1"/>
  <c r="J36" i="1"/>
  <c r="J37" i="1"/>
  <c r="J38" i="1"/>
  <c r="I38" i="1"/>
  <c r="H38" i="1"/>
  <c r="G38" i="1"/>
  <c r="F33" i="1"/>
  <c r="F34" i="1"/>
  <c r="F35" i="1"/>
  <c r="F36" i="1"/>
  <c r="F37" i="1"/>
  <c r="F38" i="1"/>
  <c r="E33" i="1"/>
  <c r="E34" i="1"/>
  <c r="E35" i="1"/>
  <c r="E36" i="1"/>
  <c r="E37" i="1"/>
  <c r="E38" i="1"/>
  <c r="D38" i="1"/>
  <c r="C38" i="1"/>
  <c r="B38" i="1"/>
  <c r="P27" i="1"/>
  <c r="P28" i="1"/>
  <c r="P29" i="1"/>
  <c r="P30" i="1"/>
  <c r="P31" i="1"/>
  <c r="P32" i="1"/>
  <c r="O27" i="1"/>
  <c r="O28" i="1"/>
  <c r="O29" i="1"/>
  <c r="O30" i="1"/>
  <c r="O31" i="1"/>
  <c r="O32" i="1"/>
  <c r="N32" i="1"/>
  <c r="M32" i="1"/>
  <c r="L32" i="1"/>
  <c r="K27" i="1"/>
  <c r="K28" i="1"/>
  <c r="K29" i="1"/>
  <c r="K30" i="1"/>
  <c r="K31" i="1"/>
  <c r="K32" i="1"/>
  <c r="J27" i="1"/>
  <c r="J28" i="1"/>
  <c r="J29" i="1"/>
  <c r="J30" i="1"/>
  <c r="J31" i="1"/>
  <c r="J32" i="1"/>
  <c r="I32" i="1"/>
  <c r="H32" i="1"/>
  <c r="G32" i="1"/>
  <c r="F27" i="1"/>
  <c r="F28" i="1"/>
  <c r="F29" i="1"/>
  <c r="F30" i="1"/>
  <c r="F31" i="1"/>
  <c r="F32" i="1"/>
  <c r="E27" i="1"/>
  <c r="E28" i="1"/>
  <c r="E29" i="1"/>
  <c r="E30" i="1"/>
  <c r="E31" i="1"/>
  <c r="E32" i="1"/>
  <c r="D32" i="1"/>
  <c r="C32" i="1"/>
  <c r="B32" i="1"/>
  <c r="P21" i="1"/>
  <c r="P22" i="1"/>
  <c r="P23" i="1"/>
  <c r="P24" i="1"/>
  <c r="P25" i="1"/>
  <c r="P26" i="1"/>
  <c r="O21" i="1"/>
  <c r="O22" i="1"/>
  <c r="O23" i="1"/>
  <c r="O24" i="1"/>
  <c r="O25" i="1"/>
  <c r="O26" i="1"/>
  <c r="N26" i="1"/>
  <c r="M26" i="1"/>
  <c r="L26" i="1"/>
  <c r="K21" i="1"/>
  <c r="K22" i="1"/>
  <c r="K23" i="1"/>
  <c r="K24" i="1"/>
  <c r="K25" i="1"/>
  <c r="K26" i="1"/>
  <c r="J21" i="1"/>
  <c r="J22" i="1"/>
  <c r="J23" i="1"/>
  <c r="J24" i="1"/>
  <c r="J25" i="1"/>
  <c r="J26" i="1"/>
  <c r="I26" i="1"/>
  <c r="H26" i="1"/>
  <c r="G26" i="1"/>
  <c r="F21" i="1"/>
  <c r="F22" i="1"/>
  <c r="F23" i="1"/>
  <c r="F24" i="1"/>
  <c r="F25" i="1"/>
  <c r="F26" i="1"/>
  <c r="E21" i="1"/>
  <c r="E22" i="1"/>
  <c r="E23" i="1"/>
  <c r="E24" i="1"/>
  <c r="E25" i="1"/>
  <c r="E26" i="1"/>
  <c r="D26" i="1"/>
  <c r="C26" i="1"/>
  <c r="B26" i="1"/>
  <c r="P15" i="1"/>
  <c r="P16" i="1"/>
  <c r="P17" i="1"/>
  <c r="P18" i="1"/>
  <c r="P19" i="1"/>
  <c r="P20" i="1"/>
  <c r="O15" i="1"/>
  <c r="O16" i="1"/>
  <c r="O17" i="1"/>
  <c r="O18" i="1"/>
  <c r="O19" i="1"/>
  <c r="O20" i="1"/>
  <c r="N20" i="1"/>
  <c r="M20" i="1"/>
  <c r="L20" i="1"/>
  <c r="K15" i="1"/>
  <c r="K16" i="1"/>
  <c r="K17" i="1"/>
  <c r="K18" i="1"/>
  <c r="K19" i="1"/>
  <c r="K20" i="1"/>
  <c r="J15" i="1"/>
  <c r="J16" i="1"/>
  <c r="J17" i="1"/>
  <c r="J18" i="1"/>
  <c r="J19" i="1"/>
  <c r="J20" i="1"/>
  <c r="I20" i="1"/>
  <c r="H20" i="1"/>
  <c r="G20" i="1"/>
  <c r="P9" i="1"/>
  <c r="P10" i="1"/>
  <c r="P11" i="1"/>
  <c r="P12" i="1"/>
  <c r="P13" i="1"/>
  <c r="P14" i="1"/>
  <c r="O9" i="1"/>
  <c r="O10" i="1"/>
  <c r="O11" i="1"/>
  <c r="O12" i="1"/>
  <c r="O13" i="1"/>
  <c r="O14" i="1"/>
  <c r="N14" i="1"/>
  <c r="M14" i="1"/>
  <c r="L14" i="1"/>
  <c r="K9" i="1"/>
  <c r="K10" i="1"/>
  <c r="K11" i="1"/>
  <c r="K12" i="1"/>
  <c r="K13" i="1"/>
  <c r="K14" i="1"/>
  <c r="J9" i="1"/>
  <c r="J10" i="1"/>
  <c r="J11" i="1"/>
  <c r="J12" i="1"/>
  <c r="J13" i="1"/>
  <c r="J14" i="1"/>
  <c r="I14" i="1"/>
  <c r="H14" i="1"/>
  <c r="G14" i="1"/>
  <c r="P3" i="1"/>
  <c r="P4" i="1"/>
  <c r="P5" i="1"/>
  <c r="P6" i="1"/>
  <c r="P7" i="1"/>
  <c r="P8" i="1"/>
  <c r="O3" i="1"/>
  <c r="O4" i="1"/>
  <c r="O5" i="1"/>
  <c r="O6" i="1"/>
  <c r="O7" i="1"/>
  <c r="O8" i="1"/>
  <c r="N8" i="1"/>
  <c r="M8" i="1"/>
  <c r="L8" i="1"/>
  <c r="K3" i="1"/>
  <c r="K4" i="1"/>
  <c r="K5" i="1"/>
  <c r="K6" i="1"/>
  <c r="K7" i="1"/>
  <c r="K8" i="1"/>
  <c r="J3" i="1"/>
  <c r="J4" i="1"/>
  <c r="J5" i="1"/>
  <c r="J6" i="1"/>
  <c r="J7" i="1"/>
  <c r="J8" i="1"/>
  <c r="I8" i="1"/>
  <c r="H8" i="1"/>
  <c r="G8" i="1"/>
  <c r="F15" i="1"/>
  <c r="F16" i="1"/>
  <c r="F17" i="1"/>
  <c r="F18" i="1"/>
  <c r="F19" i="1"/>
  <c r="F20" i="1"/>
  <c r="E15" i="1"/>
  <c r="E16" i="1"/>
  <c r="E17" i="1"/>
  <c r="E18" i="1"/>
  <c r="E19" i="1"/>
  <c r="E20" i="1"/>
  <c r="D20" i="1"/>
  <c r="C20" i="1"/>
  <c r="B20" i="1"/>
  <c r="F9" i="1"/>
  <c r="F10" i="1"/>
  <c r="F11" i="1"/>
  <c r="F12" i="1"/>
  <c r="F13" i="1"/>
  <c r="F14" i="1"/>
  <c r="E9" i="1"/>
  <c r="E11" i="1"/>
  <c r="E12" i="1"/>
  <c r="E13" i="1"/>
  <c r="E14" i="1"/>
  <c r="D14" i="1"/>
  <c r="C14" i="1"/>
  <c r="B14" i="1"/>
  <c r="F3" i="1"/>
  <c r="F4" i="1"/>
  <c r="F5" i="1"/>
  <c r="F6" i="1"/>
  <c r="F7" i="1"/>
  <c r="F8" i="1"/>
  <c r="E3" i="1"/>
  <c r="E4" i="1"/>
  <c r="E5" i="1"/>
  <c r="E6" i="1"/>
  <c r="E7" i="1"/>
  <c r="E8" i="1"/>
  <c r="D8" i="1"/>
  <c r="C8" i="1"/>
  <c r="B8" i="1"/>
</calcChain>
</file>

<file path=xl/sharedStrings.xml><?xml version="1.0" encoding="utf-8"?>
<sst xmlns="http://schemas.openxmlformats.org/spreadsheetml/2006/main" count="260" uniqueCount="51">
  <si>
    <t>Circuit Label</t>
  </si>
  <si>
    <t>No Prox/Touch</t>
  </si>
  <si>
    <t>Vmax (V)</t>
  </si>
  <si>
    <t>Rise Time (s)</t>
  </si>
  <si>
    <t>Fall Time (s)</t>
  </si>
  <si>
    <t>RiseCapacitance (F)</t>
  </si>
  <si>
    <t>Fall Capacitance (F)</t>
  </si>
  <si>
    <t>Average</t>
  </si>
  <si>
    <t>Proximity</t>
  </si>
  <si>
    <t>Touch</t>
  </si>
  <si>
    <t xml:space="preserve">Temperature </t>
  </si>
  <si>
    <t>30C</t>
  </si>
  <si>
    <t>800rpm</t>
  </si>
  <si>
    <t>Detergent</t>
  </si>
  <si>
    <t>Fabric Conditoner</t>
  </si>
  <si>
    <t>After 1 wash</t>
  </si>
  <si>
    <t>After 5 washes</t>
  </si>
  <si>
    <t>After 10 washes</t>
  </si>
  <si>
    <t>After 15 washes</t>
  </si>
  <si>
    <t>After 20 washes</t>
  </si>
  <si>
    <t>After 25 washes</t>
  </si>
  <si>
    <t>After 30 washes</t>
  </si>
  <si>
    <t>After 35 washes</t>
  </si>
  <si>
    <t>After 40 washes</t>
  </si>
  <si>
    <t>After 45 washes</t>
  </si>
  <si>
    <t>After 50 washes</t>
  </si>
  <si>
    <t>After 55 washes</t>
  </si>
  <si>
    <t>400rpm</t>
  </si>
  <si>
    <t>Wool/Handwash setting</t>
  </si>
  <si>
    <t>Silk/delicates setting</t>
  </si>
  <si>
    <t>SuperQuick setting</t>
  </si>
  <si>
    <t>Etextile1</t>
  </si>
  <si>
    <t>Etextile2</t>
  </si>
  <si>
    <t>Before washing</t>
  </si>
  <si>
    <t>1st wash</t>
  </si>
  <si>
    <t>5th wash</t>
  </si>
  <si>
    <t>Etextile_silk</t>
  </si>
  <si>
    <t>Etextile_wool</t>
  </si>
  <si>
    <t>10th wash</t>
  </si>
  <si>
    <t xml:space="preserve">15th wash </t>
  </si>
  <si>
    <t>20th wash</t>
  </si>
  <si>
    <t>NTO Voltage</t>
  </si>
  <si>
    <t>P Voltage</t>
  </si>
  <si>
    <t>T Voltage</t>
  </si>
  <si>
    <t>NTO Rise Time</t>
  </si>
  <si>
    <t>P Rise Time</t>
  </si>
  <si>
    <t>T Rise Time</t>
  </si>
  <si>
    <t>NTO Fall Time</t>
  </si>
  <si>
    <t>P Fall Time</t>
  </si>
  <si>
    <t>T Fall Time</t>
  </si>
  <si>
    <t>%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</si>
</sst>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0" xfId="0" applyNumberFormat="1" applyFont="1"/>
    <xf numFmtId="0" fontId="1" fillId="0" borderId="1" xfId="0" applyNumberFormat="1" applyFont="1" applyBorder="1"/>
    <xf numFmtId="0" fontId="2" fillId="0" borderId="6" xfId="0" applyFont="1" applyBorder="1"/>
    <xf numFmtId="0" fontId="1" fillId="0" borderId="5" xfId="0" applyFont="1" applyBorder="1"/>
    <xf numFmtId="0" fontId="2" fillId="0" borderId="5" xfId="0" applyFont="1" applyBorder="1"/>
    <xf numFmtId="0" fontId="2" fillId="0" borderId="7" xfId="0" applyFont="1" applyBorder="1"/>
    <xf numFmtId="0" fontId="1" fillId="0" borderId="1" xfId="0" applyFont="1" applyBorder="1" applyAlignment="1">
      <alignment horizontal="center"/>
    </xf>
    <xf numFmtId="0" fontId="1" fillId="0" borderId="9" xfId="0" applyNumberFormat="1" applyFont="1" applyBorder="1"/>
    <xf numFmtId="0" fontId="1" fillId="0" borderId="0" xfId="0" applyFont="1" applyBorder="1"/>
    <xf numFmtId="0" fontId="1" fillId="0" borderId="0" xfId="0" applyNumberFormat="1" applyFont="1" applyBorder="1"/>
    <xf numFmtId="0" fontId="0" fillId="0" borderId="0" xfId="0" applyBorder="1"/>
    <xf numFmtId="0" fontId="2" fillId="0" borderId="0" xfId="0" applyFont="1" applyBorder="1"/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/>
    <xf numFmtId="0" fontId="3" fillId="0" borderId="0" xfId="0" applyFont="1" applyBorder="1"/>
    <xf numFmtId="0" fontId="0" fillId="0" borderId="10" xfId="0" applyBorder="1"/>
    <xf numFmtId="0" fontId="4" fillId="0" borderId="0" xfId="0" applyFont="1"/>
    <xf numFmtId="9" fontId="0" fillId="0" borderId="0" xfId="1" applyFont="1"/>
    <xf numFmtId="10" fontId="0" fillId="0" borderId="0" xfId="0" applyNumberFormat="1"/>
    <xf numFmtId="0" fontId="1" fillId="0" borderId="1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E-Textile1</c:v>
          </c:tx>
          <c:errBars>
            <c:errDir val="y"/>
            <c:errBarType val="both"/>
            <c:errValType val="percentage"/>
            <c:noEndCap val="0"/>
            <c:val val="5"/>
          </c:errBars>
          <c:cat>
            <c:numRef>
              <c:f>'Parameter Results'!$A$2:$A$7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</c:numCache>
            </c:numRef>
          </c:cat>
          <c:val>
            <c:numRef>
              <c:f>'Parameter Results'!$B$2:$B$7</c:f>
              <c:numCache>
                <c:formatCode>General</c:formatCode>
                <c:ptCount val="6"/>
                <c:pt idx="0">
                  <c:v>4.1609999999999996</c:v>
                </c:pt>
                <c:pt idx="1">
                  <c:v>3.0409999999999999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E-Textile 2</c:v>
          </c:tx>
          <c:errBars>
            <c:errDir val="y"/>
            <c:errBarType val="both"/>
            <c:errValType val="percentage"/>
            <c:noEndCap val="0"/>
            <c:val val="5"/>
          </c:errBars>
          <c:cat>
            <c:numRef>
              <c:f>'Parameter Results'!$A$2:$A$7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</c:numCache>
            </c:numRef>
          </c:cat>
          <c:val>
            <c:numRef>
              <c:f>'Parameter Results'!$C$2:$C$7</c:f>
              <c:numCache>
                <c:formatCode>General</c:formatCode>
                <c:ptCount val="6"/>
                <c:pt idx="0">
                  <c:v>3.8729999999999998</c:v>
                </c:pt>
                <c:pt idx="1">
                  <c:v>3.8729999999999998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E-Textile 3</c:v>
          </c:tx>
          <c:errBars>
            <c:errDir val="y"/>
            <c:errBarType val="both"/>
            <c:errValType val="percentage"/>
            <c:noEndCap val="0"/>
            <c:val val="5"/>
          </c:errBars>
          <c:cat>
            <c:numRef>
              <c:f>'Parameter Results'!$A$2:$A$7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</c:numCache>
            </c:numRef>
          </c:cat>
          <c:val>
            <c:numRef>
              <c:f>'Parameter Results'!$D$2:$D$7</c:f>
              <c:numCache>
                <c:formatCode>General</c:formatCode>
                <c:ptCount val="6"/>
                <c:pt idx="0">
                  <c:v>4.0010000000000003</c:v>
                </c:pt>
                <c:pt idx="1">
                  <c:v>2.9849999999999999</c:v>
                </c:pt>
                <c:pt idx="2">
                  <c:v>2.665</c:v>
                </c:pt>
                <c:pt idx="3">
                  <c:v>1.7370000000000001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E-Textile 4</c:v>
          </c:tx>
          <c:errBars>
            <c:errDir val="y"/>
            <c:errBarType val="both"/>
            <c:errValType val="percentage"/>
            <c:noEndCap val="0"/>
            <c:val val="5"/>
          </c:errBars>
          <c:cat>
            <c:numRef>
              <c:f>'Parameter Results'!$A$2:$A$7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</c:numCache>
            </c:numRef>
          </c:cat>
          <c:val>
            <c:numRef>
              <c:f>'Parameter Results'!$E$2:$E$7</c:f>
              <c:numCache>
                <c:formatCode>General</c:formatCode>
                <c:ptCount val="6"/>
                <c:pt idx="0">
                  <c:v>3.7050000000000005</c:v>
                </c:pt>
                <c:pt idx="1">
                  <c:v>3.4009999999999998</c:v>
                </c:pt>
                <c:pt idx="2">
                  <c:v>2.5130000000000003</c:v>
                </c:pt>
                <c:pt idx="3">
                  <c:v>1.8089999999999999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940160"/>
        <c:axId val="136942336"/>
      </c:lineChart>
      <c:catAx>
        <c:axId val="136940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No.</a:t>
                </a:r>
                <a:r>
                  <a:rPr lang="en-US" b="0" baseline="0"/>
                  <a:t> of completed washes</a:t>
                </a:r>
                <a:endParaRPr lang="en-US" b="0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6942336"/>
        <c:crosses val="autoZero"/>
        <c:auto val="1"/>
        <c:lblAlgn val="ctr"/>
        <c:lblOffset val="100"/>
        <c:noMultiLvlLbl val="0"/>
      </c:catAx>
      <c:valAx>
        <c:axId val="136942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Max</a:t>
                </a:r>
                <a:r>
                  <a:rPr lang="en-GB" b="0" baseline="0"/>
                  <a:t> Charging</a:t>
                </a:r>
                <a:r>
                  <a:rPr lang="en-GB" b="0"/>
                  <a:t> Voltage (V)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3694016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400"/>
              <a:t>ETextile</a:t>
            </a:r>
            <a:r>
              <a:rPr lang="en-GB" sz="1400" baseline="0"/>
              <a:t>3 </a:t>
            </a:r>
            <a:r>
              <a:rPr lang="en-GB" sz="1400" b="1" i="0" baseline="0">
                <a:effectLst/>
              </a:rPr>
              <a:t>Voltage of TRC Curve of Sensory due to Washing Cycles</a:t>
            </a:r>
            <a:endParaRPr lang="en-GB" sz="14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No Trigger Object</c:v>
          </c:tx>
          <c:cat>
            <c:numRef>
              <c:f>'Parameter Results'!$A$2:$A$7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</c:numCache>
            </c:numRef>
          </c:cat>
          <c:val>
            <c:numRef>
              <c:f>'Parameter Results'!$D$2:$D$7</c:f>
              <c:numCache>
                <c:formatCode>General</c:formatCode>
                <c:ptCount val="6"/>
                <c:pt idx="0">
                  <c:v>4.0010000000000003</c:v>
                </c:pt>
                <c:pt idx="1">
                  <c:v>2.9849999999999999</c:v>
                </c:pt>
                <c:pt idx="2">
                  <c:v>2.665</c:v>
                </c:pt>
                <c:pt idx="3">
                  <c:v>1.7370000000000001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Proximity</c:v>
          </c:tx>
          <c:cat>
            <c:numRef>
              <c:f>'Parameter Results'!$A$2:$A$7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</c:numCache>
            </c:numRef>
          </c:cat>
          <c:val>
            <c:numRef>
              <c:f>'Parameter Results'!$D$12:$D$17</c:f>
              <c:numCache>
                <c:formatCode>General</c:formatCode>
                <c:ptCount val="6"/>
                <c:pt idx="0">
                  <c:v>4.0170000000000003</c:v>
                </c:pt>
                <c:pt idx="1">
                  <c:v>2.633</c:v>
                </c:pt>
                <c:pt idx="2">
                  <c:v>2.9929999999999999</c:v>
                </c:pt>
                <c:pt idx="3">
                  <c:v>1.7729999999999997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Touch</c:v>
          </c:tx>
          <c:cat>
            <c:numRef>
              <c:f>'Parameter Results'!$A$2:$A$7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</c:numCache>
            </c:numRef>
          </c:cat>
          <c:val>
            <c:numRef>
              <c:f>'Parameter Results'!$D$22:$D$27</c:f>
              <c:numCache>
                <c:formatCode>General</c:formatCode>
                <c:ptCount val="6"/>
                <c:pt idx="0">
                  <c:v>4.0170000000000003</c:v>
                </c:pt>
                <c:pt idx="1">
                  <c:v>2.4330000000000003</c:v>
                </c:pt>
                <c:pt idx="2">
                  <c:v>2.7290000000000001</c:v>
                </c:pt>
                <c:pt idx="3">
                  <c:v>1.5089999999999999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57216"/>
        <c:axId val="138058752"/>
      </c:lineChart>
      <c:catAx>
        <c:axId val="13805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38058752"/>
        <c:crosses val="autoZero"/>
        <c:auto val="1"/>
        <c:lblAlgn val="ctr"/>
        <c:lblOffset val="100"/>
        <c:noMultiLvlLbl val="0"/>
      </c:catAx>
      <c:valAx>
        <c:axId val="138058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Peak Capacitance Voltage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380572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400"/>
              <a:t>ETextile</a:t>
            </a:r>
            <a:r>
              <a:rPr lang="en-GB" sz="1400" baseline="0"/>
              <a:t>4 </a:t>
            </a:r>
            <a:r>
              <a:rPr lang="en-GB" sz="1400" b="1" i="0" baseline="0">
                <a:effectLst/>
              </a:rPr>
              <a:t>Voltage of TRC Curve of Sensory due to Washing Cycles</a:t>
            </a:r>
            <a:endParaRPr lang="en-GB" sz="14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No Trigger Object</c:v>
          </c:tx>
          <c:cat>
            <c:numRef>
              <c:f>'Parameter Results'!$A$2:$A$7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</c:numCache>
            </c:numRef>
          </c:cat>
          <c:val>
            <c:numRef>
              <c:f>'Parameter Results'!$E$2:$E$7</c:f>
              <c:numCache>
                <c:formatCode>General</c:formatCode>
                <c:ptCount val="6"/>
                <c:pt idx="0">
                  <c:v>3.7050000000000005</c:v>
                </c:pt>
                <c:pt idx="1">
                  <c:v>3.4009999999999998</c:v>
                </c:pt>
                <c:pt idx="2">
                  <c:v>2.5130000000000003</c:v>
                </c:pt>
                <c:pt idx="3">
                  <c:v>1.8089999999999999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Proximity</c:v>
          </c:tx>
          <c:cat>
            <c:numRef>
              <c:f>'Parameter Results'!$A$2:$A$7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</c:numCache>
            </c:numRef>
          </c:cat>
          <c:val>
            <c:numRef>
              <c:f>'Parameter Results'!$E$12:$E$17</c:f>
              <c:numCache>
                <c:formatCode>General</c:formatCode>
                <c:ptCount val="6"/>
                <c:pt idx="0">
                  <c:v>3.7130000000000001</c:v>
                </c:pt>
                <c:pt idx="1">
                  <c:v>3.4329999999999998</c:v>
                </c:pt>
                <c:pt idx="2">
                  <c:v>2.593</c:v>
                </c:pt>
                <c:pt idx="3">
                  <c:v>1.3069999999999999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Touch</c:v>
          </c:tx>
          <c:cat>
            <c:numRef>
              <c:f>'Parameter Results'!$A$2:$A$7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</c:numCache>
            </c:numRef>
          </c:cat>
          <c:val>
            <c:numRef>
              <c:f>'Parameter Results'!$E$22:$E$27</c:f>
              <c:numCache>
                <c:formatCode>General</c:formatCode>
                <c:ptCount val="6"/>
                <c:pt idx="0">
                  <c:v>3.7050000000000005</c:v>
                </c:pt>
                <c:pt idx="1">
                  <c:v>2.7930000000000001</c:v>
                </c:pt>
                <c:pt idx="2">
                  <c:v>2.101</c:v>
                </c:pt>
                <c:pt idx="3">
                  <c:v>1.2090000000000001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81792"/>
        <c:axId val="138083328"/>
      </c:lineChart>
      <c:catAx>
        <c:axId val="13808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38083328"/>
        <c:crosses val="autoZero"/>
        <c:auto val="1"/>
        <c:lblAlgn val="ctr"/>
        <c:lblOffset val="100"/>
        <c:noMultiLvlLbl val="0"/>
      </c:catAx>
      <c:valAx>
        <c:axId val="138083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Peak Capacitance Voltage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380817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No Trigger Object</c:v>
          </c:tx>
          <c:errBars>
            <c:errDir val="y"/>
            <c:errBarType val="both"/>
            <c:errValType val="percentage"/>
            <c:noEndCap val="0"/>
            <c:val val="5"/>
          </c:errBars>
          <c:cat>
            <c:numRef>
              <c:f>'Parameter Results'!$A$2:$A$7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</c:numCache>
            </c:numRef>
          </c:cat>
          <c:val>
            <c:numRef>
              <c:f>'Parameter Results'!$K$2:$K$7</c:f>
              <c:numCache>
                <c:formatCode>General</c:formatCode>
                <c:ptCount val="6"/>
                <c:pt idx="0">
                  <c:v>5.44E-7</c:v>
                </c:pt>
                <c:pt idx="1">
                  <c:v>9.4800000000000007E-7</c:v>
                </c:pt>
                <c:pt idx="2">
                  <c:v>9.1800000000000004E-7</c:v>
                </c:pt>
                <c:pt idx="3">
                  <c:v>1.2219999999999999E-6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Proximity</c:v>
          </c:tx>
          <c:errBars>
            <c:errDir val="y"/>
            <c:errBarType val="both"/>
            <c:errValType val="percentage"/>
            <c:noEndCap val="0"/>
            <c:val val="5"/>
          </c:errBars>
          <c:cat>
            <c:numRef>
              <c:f>'Parameter Results'!$A$2:$A$7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</c:numCache>
            </c:numRef>
          </c:cat>
          <c:val>
            <c:numRef>
              <c:f>'Parameter Results'!$K$12:$K$17</c:f>
              <c:numCache>
                <c:formatCode>General</c:formatCode>
                <c:ptCount val="6"/>
                <c:pt idx="0">
                  <c:v>5.06E-7</c:v>
                </c:pt>
                <c:pt idx="1">
                  <c:v>9.16E-7</c:v>
                </c:pt>
                <c:pt idx="2">
                  <c:v>8.2999999999999999E-7</c:v>
                </c:pt>
                <c:pt idx="3">
                  <c:v>1.2419999999999999E-6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Touch</c:v>
          </c:tx>
          <c:errBars>
            <c:errDir val="y"/>
            <c:errBarType val="both"/>
            <c:errValType val="percentage"/>
            <c:noEndCap val="0"/>
            <c:val val="5"/>
          </c:errBars>
          <c:cat>
            <c:numRef>
              <c:f>'Parameter Results'!$A$2:$A$7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</c:numCache>
            </c:numRef>
          </c:cat>
          <c:val>
            <c:numRef>
              <c:f>'Parameter Results'!$K$22:$K$27</c:f>
              <c:numCache>
                <c:formatCode>General</c:formatCode>
                <c:ptCount val="6"/>
                <c:pt idx="0">
                  <c:v>5.5999999999999993E-7</c:v>
                </c:pt>
                <c:pt idx="1">
                  <c:v>1.0939999999999998E-6</c:v>
                </c:pt>
                <c:pt idx="2">
                  <c:v>1.0939999999999998E-6</c:v>
                </c:pt>
                <c:pt idx="3">
                  <c:v>1.3539999999999999E-6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11232"/>
        <c:axId val="138117504"/>
      </c:lineChart>
      <c:catAx>
        <c:axId val="138111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No.</a:t>
                </a:r>
                <a:r>
                  <a:rPr lang="en-GB" b="0" baseline="0"/>
                  <a:t> of completed washes</a:t>
                </a:r>
                <a:endParaRPr lang="en-GB" b="0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38117504"/>
        <c:crosses val="autoZero"/>
        <c:auto val="1"/>
        <c:lblAlgn val="ctr"/>
        <c:lblOffset val="100"/>
        <c:noMultiLvlLbl val="0"/>
      </c:catAx>
      <c:valAx>
        <c:axId val="138117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Full Capacitance Charge Time (s)</a:t>
                </a:r>
              </a:p>
            </c:rich>
          </c:tx>
          <c:layout>
            <c:manualLayout>
              <c:xMode val="edge"/>
              <c:yMode val="edge"/>
              <c:x val="3.3333333333333333E-2"/>
              <c:y val="0.24204870224555264"/>
            </c:manualLayout>
          </c:layout>
          <c:overlay val="0"/>
        </c:title>
        <c:numFmt formatCode="0.00E+00" sourceLinked="0"/>
        <c:majorTickMark val="none"/>
        <c:minorTickMark val="none"/>
        <c:tickLblPos val="nextTo"/>
        <c:crossAx val="13811123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No Trigger Object</c:v>
          </c:tx>
          <c:errBars>
            <c:errDir val="y"/>
            <c:errBarType val="both"/>
            <c:errValType val="percentage"/>
            <c:noEndCap val="0"/>
            <c:val val="5"/>
          </c:errBars>
          <c:cat>
            <c:numRef>
              <c:f>'Parameter Results'!$A$2:$A$7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</c:numCache>
            </c:numRef>
          </c:cat>
          <c:val>
            <c:numRef>
              <c:f>'Parameter Results'!$L$2:$L$7</c:f>
              <c:numCache>
                <c:formatCode>General</c:formatCode>
                <c:ptCount val="6"/>
                <c:pt idx="0">
                  <c:v>5.6200000000000008E-7</c:v>
                </c:pt>
                <c:pt idx="1">
                  <c:v>9.8000000000000015E-7</c:v>
                </c:pt>
                <c:pt idx="2">
                  <c:v>1.508E-6</c:v>
                </c:pt>
                <c:pt idx="3">
                  <c:v>1.012E-6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Proximity</c:v>
          </c:tx>
          <c:errBars>
            <c:errDir val="y"/>
            <c:errBarType val="both"/>
            <c:errValType val="percentage"/>
            <c:noEndCap val="0"/>
            <c:val val="5"/>
          </c:errBars>
          <c:cat>
            <c:numRef>
              <c:f>'Parameter Results'!$A$2:$A$7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</c:numCache>
            </c:numRef>
          </c:cat>
          <c:val>
            <c:numRef>
              <c:f>'Parameter Results'!$L$12:$L$17</c:f>
              <c:numCache>
                <c:formatCode>General</c:formatCode>
                <c:ptCount val="6"/>
                <c:pt idx="0">
                  <c:v>5.5400000000000001E-7</c:v>
                </c:pt>
                <c:pt idx="1">
                  <c:v>9.0599999999999999E-7</c:v>
                </c:pt>
                <c:pt idx="2">
                  <c:v>1.3859999999999999E-6</c:v>
                </c:pt>
                <c:pt idx="3">
                  <c:v>1.7499999999999998E-6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Touch</c:v>
          </c:tx>
          <c:errBars>
            <c:errDir val="y"/>
            <c:errBarType val="both"/>
            <c:errValType val="percentage"/>
            <c:noEndCap val="0"/>
            <c:val val="5"/>
          </c:errBars>
          <c:cat>
            <c:numRef>
              <c:f>'Parameter Results'!$A$2:$A$7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</c:numCache>
            </c:numRef>
          </c:cat>
          <c:val>
            <c:numRef>
              <c:f>'Parameter Results'!$L$22:$L$27</c:f>
              <c:numCache>
                <c:formatCode>General</c:formatCode>
                <c:ptCount val="6"/>
                <c:pt idx="0">
                  <c:v>6.1800000000000005E-7</c:v>
                </c:pt>
                <c:pt idx="1">
                  <c:v>1.8639999999999999E-6</c:v>
                </c:pt>
                <c:pt idx="2">
                  <c:v>1.5219999999999998E-6</c:v>
                </c:pt>
                <c:pt idx="3">
                  <c:v>2.0393999999999999E-6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36192"/>
        <c:axId val="138154752"/>
      </c:lineChart>
      <c:catAx>
        <c:axId val="138136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No. of completed washes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38154752"/>
        <c:crosses val="autoZero"/>
        <c:auto val="1"/>
        <c:lblAlgn val="ctr"/>
        <c:lblOffset val="100"/>
        <c:noMultiLvlLbl val="0"/>
      </c:catAx>
      <c:valAx>
        <c:axId val="138154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Full Capacitance Charge Time (s)</a:t>
                </a:r>
              </a:p>
            </c:rich>
          </c:tx>
          <c:layout/>
          <c:overlay val="0"/>
        </c:title>
        <c:numFmt formatCode="0.00E+00" sourceLinked="0"/>
        <c:majorTickMark val="none"/>
        <c:minorTickMark val="none"/>
        <c:tickLblPos val="nextTo"/>
        <c:crossAx val="13813619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No Trigger Object</c:v>
          </c:tx>
          <c:errBars>
            <c:errDir val="y"/>
            <c:errBarType val="both"/>
            <c:errValType val="percentage"/>
            <c:noEndCap val="0"/>
            <c:val val="5"/>
          </c:errBars>
          <c:cat>
            <c:numRef>
              <c:f>'Parameter Results'!$A$2:$A$7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</c:numCache>
            </c:numRef>
          </c:cat>
          <c:val>
            <c:numRef>
              <c:f>'Parameter Results'!$Q$2:$Q$7</c:f>
              <c:numCache>
                <c:formatCode>General</c:formatCode>
                <c:ptCount val="6"/>
                <c:pt idx="0">
                  <c:v>3.2320000000000001E-6</c:v>
                </c:pt>
                <c:pt idx="1">
                  <c:v>7.2259999999999991E-6</c:v>
                </c:pt>
                <c:pt idx="2">
                  <c:v>6.5159999999999991E-6</c:v>
                </c:pt>
                <c:pt idx="3">
                  <c:v>6.5839999999999991E-6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Proximity</c:v>
          </c:tx>
          <c:errBars>
            <c:errDir val="y"/>
            <c:errBarType val="both"/>
            <c:errValType val="percentage"/>
            <c:noEndCap val="0"/>
            <c:val val="5"/>
          </c:errBars>
          <c:cat>
            <c:numRef>
              <c:f>'Parameter Results'!$A$2:$A$7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</c:numCache>
            </c:numRef>
          </c:cat>
          <c:val>
            <c:numRef>
              <c:f>'Parameter Results'!$Q$12:$Q$17</c:f>
              <c:numCache>
                <c:formatCode>General</c:formatCode>
                <c:ptCount val="6"/>
                <c:pt idx="0">
                  <c:v>3.2400000000000003E-6</c:v>
                </c:pt>
                <c:pt idx="1">
                  <c:v>7.0679999999999991E-6</c:v>
                </c:pt>
                <c:pt idx="2">
                  <c:v>6.0959999999999989E-6</c:v>
                </c:pt>
                <c:pt idx="3">
                  <c:v>6.4839999999999992E-6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Touch</c:v>
          </c:tx>
          <c:errBars>
            <c:errDir val="y"/>
            <c:errBarType val="both"/>
            <c:errValType val="percentage"/>
            <c:noEndCap val="0"/>
            <c:val val="5"/>
          </c:errBars>
          <c:cat>
            <c:numRef>
              <c:f>'Parameter Results'!$A$2:$A$7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</c:numCache>
            </c:numRef>
          </c:cat>
          <c:val>
            <c:numRef>
              <c:f>'Parameter Results'!$Q$22:$Q$27</c:f>
              <c:numCache>
                <c:formatCode>General</c:formatCode>
                <c:ptCount val="6"/>
                <c:pt idx="0">
                  <c:v>3.3239999999999999E-6</c:v>
                </c:pt>
                <c:pt idx="1">
                  <c:v>1.0627999999999999E-5</c:v>
                </c:pt>
                <c:pt idx="2">
                  <c:v>9.7000000000000003E-6</c:v>
                </c:pt>
                <c:pt idx="3">
                  <c:v>7.9279999999999993E-6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9728"/>
        <c:axId val="138171904"/>
      </c:lineChart>
      <c:catAx>
        <c:axId val="13816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No. of completed</a:t>
                </a:r>
                <a:r>
                  <a:rPr lang="en-GB" b="0" baseline="0"/>
                  <a:t> washes</a:t>
                </a:r>
                <a:endParaRPr lang="en-GB" b="0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38171904"/>
        <c:crosses val="autoZero"/>
        <c:auto val="1"/>
        <c:lblAlgn val="ctr"/>
        <c:lblOffset val="100"/>
        <c:noMultiLvlLbl val="0"/>
      </c:catAx>
      <c:valAx>
        <c:axId val="138171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Full Capacitance Discharge Time (s)</a:t>
                </a:r>
              </a:p>
            </c:rich>
          </c:tx>
          <c:layout/>
          <c:overlay val="0"/>
        </c:title>
        <c:numFmt formatCode="0.00E+00" sourceLinked="0"/>
        <c:majorTickMark val="none"/>
        <c:minorTickMark val="none"/>
        <c:tickLblPos val="nextTo"/>
        <c:crossAx val="1381697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No Trigger Object</c:v>
          </c:tx>
          <c:errBars>
            <c:errDir val="y"/>
            <c:errBarType val="both"/>
            <c:errValType val="percentage"/>
            <c:noEndCap val="0"/>
            <c:val val="5"/>
          </c:errBars>
          <c:cat>
            <c:strRef>
              <c:f>'Parameter Results'!$H$22:$H$27</c:f>
              <c:strCache>
                <c:ptCount val="6"/>
                <c:pt idx="0">
                  <c:v>Before washing</c:v>
                </c:pt>
                <c:pt idx="1">
                  <c:v>1st wash</c:v>
                </c:pt>
                <c:pt idx="2">
                  <c:v>5th wash</c:v>
                </c:pt>
                <c:pt idx="3">
                  <c:v>10th wash</c:v>
                </c:pt>
                <c:pt idx="4">
                  <c:v>15th wash </c:v>
                </c:pt>
                <c:pt idx="5">
                  <c:v>20th wash</c:v>
                </c:pt>
              </c:strCache>
            </c:strRef>
          </c:cat>
          <c:val>
            <c:numRef>
              <c:f>'Parameter Results'!$R$2:$R$7</c:f>
              <c:numCache>
                <c:formatCode>General</c:formatCode>
                <c:ptCount val="6"/>
                <c:pt idx="0">
                  <c:v>1.3999999999999999E-6</c:v>
                </c:pt>
                <c:pt idx="1">
                  <c:v>1.7039999999999999E-6</c:v>
                </c:pt>
                <c:pt idx="2">
                  <c:v>5.7559999999999996E-6</c:v>
                </c:pt>
                <c:pt idx="3">
                  <c:v>3.9319999999999998E-6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Proximity</c:v>
          </c:tx>
          <c:errBars>
            <c:errDir val="y"/>
            <c:errBarType val="both"/>
            <c:errValType val="percentage"/>
            <c:noEndCap val="0"/>
            <c:val val="5"/>
          </c:errBars>
          <c:cat>
            <c:strRef>
              <c:f>'Parameter Results'!$H$22:$H$27</c:f>
              <c:strCache>
                <c:ptCount val="6"/>
                <c:pt idx="0">
                  <c:v>Before washing</c:v>
                </c:pt>
                <c:pt idx="1">
                  <c:v>1st wash</c:v>
                </c:pt>
                <c:pt idx="2">
                  <c:v>5th wash</c:v>
                </c:pt>
                <c:pt idx="3">
                  <c:v>10th wash</c:v>
                </c:pt>
                <c:pt idx="4">
                  <c:v>15th wash </c:v>
                </c:pt>
                <c:pt idx="5">
                  <c:v>20th wash</c:v>
                </c:pt>
              </c:strCache>
            </c:strRef>
          </c:cat>
          <c:val>
            <c:numRef>
              <c:f>'Parameter Results'!$R$12:$R$17</c:f>
              <c:numCache>
                <c:formatCode>General</c:formatCode>
                <c:ptCount val="6"/>
                <c:pt idx="0">
                  <c:v>1.6359999999999999E-6</c:v>
                </c:pt>
                <c:pt idx="1">
                  <c:v>1.6919999999999996E-6</c:v>
                </c:pt>
                <c:pt idx="2">
                  <c:v>4.7439999999999998E-6</c:v>
                </c:pt>
                <c:pt idx="3">
                  <c:v>9.4639999999999995E-6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Touch</c:v>
          </c:tx>
          <c:errBars>
            <c:errDir val="y"/>
            <c:errBarType val="both"/>
            <c:errValType val="percentage"/>
            <c:noEndCap val="0"/>
            <c:val val="5"/>
          </c:errBars>
          <c:cat>
            <c:strRef>
              <c:f>'Parameter Results'!$H$22:$H$27</c:f>
              <c:strCache>
                <c:ptCount val="6"/>
                <c:pt idx="0">
                  <c:v>Before washing</c:v>
                </c:pt>
                <c:pt idx="1">
                  <c:v>1st wash</c:v>
                </c:pt>
                <c:pt idx="2">
                  <c:v>5th wash</c:v>
                </c:pt>
                <c:pt idx="3">
                  <c:v>10th wash</c:v>
                </c:pt>
                <c:pt idx="4">
                  <c:v>15th wash </c:v>
                </c:pt>
                <c:pt idx="5">
                  <c:v>20th wash</c:v>
                </c:pt>
              </c:strCache>
            </c:strRef>
          </c:cat>
          <c:val>
            <c:numRef>
              <c:f>'Parameter Results'!$R$22:$R$27</c:f>
              <c:numCache>
                <c:formatCode>General</c:formatCode>
                <c:ptCount val="6"/>
                <c:pt idx="0">
                  <c:v>1.46E-6</c:v>
                </c:pt>
                <c:pt idx="1">
                  <c:v>1.5311999999999998E-5</c:v>
                </c:pt>
                <c:pt idx="2">
                  <c:v>8.1939999999999998E-6</c:v>
                </c:pt>
                <c:pt idx="3">
                  <c:v>1.1452000000000001E-5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207616"/>
        <c:axId val="138209536"/>
      </c:lineChart>
      <c:catAx>
        <c:axId val="138207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No. of completed washes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38209536"/>
        <c:crosses val="autoZero"/>
        <c:auto val="1"/>
        <c:lblAlgn val="ctr"/>
        <c:lblOffset val="100"/>
        <c:noMultiLvlLbl val="0"/>
      </c:catAx>
      <c:valAx>
        <c:axId val="138209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Full Capacitance Discharge Time (s)</a:t>
                </a:r>
              </a:p>
            </c:rich>
          </c:tx>
          <c:layout/>
          <c:overlay val="0"/>
        </c:title>
        <c:numFmt formatCode="0.00E+00" sourceLinked="0"/>
        <c:majorTickMark val="none"/>
        <c:minorTickMark val="none"/>
        <c:tickLblPos val="nextTo"/>
        <c:crossAx val="13820761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baseline="0">
                <a:effectLst/>
              </a:rPr>
              <a:t>No Trigger Object Rise Time of TRC Curve of Sensory E-Textile Circuits after Washing Cycles</a:t>
            </a:r>
            <a:endParaRPr lang="en-GB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E-Textile 1</c:v>
          </c:tx>
          <c:cat>
            <c:strRef>
              <c:f>'Parameter Results'!$H$2:$H$7</c:f>
              <c:strCache>
                <c:ptCount val="6"/>
                <c:pt idx="0">
                  <c:v>Before washing</c:v>
                </c:pt>
                <c:pt idx="1">
                  <c:v>1st wash</c:v>
                </c:pt>
                <c:pt idx="2">
                  <c:v>5th wash</c:v>
                </c:pt>
                <c:pt idx="3">
                  <c:v>10th wash</c:v>
                </c:pt>
                <c:pt idx="4">
                  <c:v>15th wash </c:v>
                </c:pt>
                <c:pt idx="5">
                  <c:v>20th wash</c:v>
                </c:pt>
              </c:strCache>
            </c:strRef>
          </c:cat>
          <c:val>
            <c:numRef>
              <c:f>'Parameter Results'!$I$2:$I$7</c:f>
              <c:numCache>
                <c:formatCode>General</c:formatCode>
                <c:ptCount val="6"/>
                <c:pt idx="0">
                  <c:v>4.32E-7</c:v>
                </c:pt>
                <c:pt idx="1">
                  <c:v>1.1739999999999999E-6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E-Textile 2</c:v>
          </c:tx>
          <c:cat>
            <c:strRef>
              <c:f>'Parameter Results'!$H$2:$H$7</c:f>
              <c:strCache>
                <c:ptCount val="6"/>
                <c:pt idx="0">
                  <c:v>Before washing</c:v>
                </c:pt>
                <c:pt idx="1">
                  <c:v>1st wash</c:v>
                </c:pt>
                <c:pt idx="2">
                  <c:v>5th wash</c:v>
                </c:pt>
                <c:pt idx="3">
                  <c:v>10th wash</c:v>
                </c:pt>
                <c:pt idx="4">
                  <c:v>15th wash </c:v>
                </c:pt>
                <c:pt idx="5">
                  <c:v>20th wash</c:v>
                </c:pt>
              </c:strCache>
            </c:strRef>
          </c:cat>
          <c:val>
            <c:numRef>
              <c:f>'Parameter Results'!$J$2:$J$7</c:f>
              <c:numCache>
                <c:formatCode>General</c:formatCode>
                <c:ptCount val="6"/>
                <c:pt idx="0">
                  <c:v>4.0400000000000002E-7</c:v>
                </c:pt>
                <c:pt idx="1">
                  <c:v>4.0400000000000002E-7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E-Textile 3</c:v>
          </c:tx>
          <c:cat>
            <c:strRef>
              <c:f>'Parameter Results'!$H$2:$H$7</c:f>
              <c:strCache>
                <c:ptCount val="6"/>
                <c:pt idx="0">
                  <c:v>Before washing</c:v>
                </c:pt>
                <c:pt idx="1">
                  <c:v>1st wash</c:v>
                </c:pt>
                <c:pt idx="2">
                  <c:v>5th wash</c:v>
                </c:pt>
                <c:pt idx="3">
                  <c:v>10th wash</c:v>
                </c:pt>
                <c:pt idx="4">
                  <c:v>15th wash </c:v>
                </c:pt>
                <c:pt idx="5">
                  <c:v>20th wash</c:v>
                </c:pt>
              </c:strCache>
            </c:strRef>
          </c:cat>
          <c:val>
            <c:numRef>
              <c:f>'Parameter Results'!$K$2:$K$7</c:f>
              <c:numCache>
                <c:formatCode>General</c:formatCode>
                <c:ptCount val="6"/>
                <c:pt idx="0">
                  <c:v>5.44E-7</c:v>
                </c:pt>
                <c:pt idx="1">
                  <c:v>9.4800000000000007E-7</c:v>
                </c:pt>
                <c:pt idx="2">
                  <c:v>9.1800000000000004E-7</c:v>
                </c:pt>
                <c:pt idx="3">
                  <c:v>1.2219999999999999E-6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E-Textile 4</c:v>
          </c:tx>
          <c:cat>
            <c:strRef>
              <c:f>'Parameter Results'!$H$2:$H$7</c:f>
              <c:strCache>
                <c:ptCount val="6"/>
                <c:pt idx="0">
                  <c:v>Before washing</c:v>
                </c:pt>
                <c:pt idx="1">
                  <c:v>1st wash</c:v>
                </c:pt>
                <c:pt idx="2">
                  <c:v>5th wash</c:v>
                </c:pt>
                <c:pt idx="3">
                  <c:v>10th wash</c:v>
                </c:pt>
                <c:pt idx="4">
                  <c:v>15th wash </c:v>
                </c:pt>
                <c:pt idx="5">
                  <c:v>20th wash</c:v>
                </c:pt>
              </c:strCache>
            </c:strRef>
          </c:cat>
          <c:val>
            <c:numRef>
              <c:f>'Parameter Results'!$L$2:$L$7</c:f>
              <c:numCache>
                <c:formatCode>General</c:formatCode>
                <c:ptCount val="6"/>
                <c:pt idx="0">
                  <c:v>5.6200000000000008E-7</c:v>
                </c:pt>
                <c:pt idx="1">
                  <c:v>9.8000000000000015E-7</c:v>
                </c:pt>
                <c:pt idx="2">
                  <c:v>1.508E-6</c:v>
                </c:pt>
                <c:pt idx="3">
                  <c:v>1.012E-6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956928"/>
        <c:axId val="136958720"/>
      </c:lineChart>
      <c:catAx>
        <c:axId val="136956928"/>
        <c:scaling>
          <c:orientation val="minMax"/>
        </c:scaling>
        <c:delete val="0"/>
        <c:axPos val="b"/>
        <c:majorTickMark val="none"/>
        <c:minorTickMark val="none"/>
        <c:tickLblPos val="nextTo"/>
        <c:crossAx val="136958720"/>
        <c:crosses val="autoZero"/>
        <c:auto val="1"/>
        <c:lblAlgn val="ctr"/>
        <c:lblOffset val="100"/>
        <c:noMultiLvlLbl val="0"/>
      </c:catAx>
      <c:valAx>
        <c:axId val="136958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 baseline="0"/>
                  <a:t>Capacitor Full Charging Time (s)</a:t>
                </a: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369569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baseline="0">
                <a:effectLst/>
              </a:rPr>
              <a:t>No Trigger Object Fall Time of TRC Curve of Sensory E-Textile Circuits after Washing Cycles</a:t>
            </a:r>
            <a:endParaRPr lang="en-GB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'Parameter Results'!$N$2:$N$7</c:f>
              <c:strCache>
                <c:ptCount val="6"/>
                <c:pt idx="0">
                  <c:v>Before washing</c:v>
                </c:pt>
                <c:pt idx="1">
                  <c:v>1st wash</c:v>
                </c:pt>
                <c:pt idx="2">
                  <c:v>5th wash</c:v>
                </c:pt>
                <c:pt idx="3">
                  <c:v>10th wash</c:v>
                </c:pt>
                <c:pt idx="4">
                  <c:v>15th wash </c:v>
                </c:pt>
                <c:pt idx="5">
                  <c:v>20th wash</c:v>
                </c:pt>
              </c:strCache>
            </c:strRef>
          </c:cat>
          <c:val>
            <c:numRef>
              <c:f>'Parameter Results'!$O$2:$O$7</c:f>
              <c:numCache>
                <c:formatCode>General</c:formatCode>
                <c:ptCount val="6"/>
                <c:pt idx="0">
                  <c:v>1.6160000000000001E-6</c:v>
                </c:pt>
                <c:pt idx="1">
                  <c:v>1.2836E-5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cat>
            <c:strRef>
              <c:f>'Parameter Results'!$N$2:$N$7</c:f>
              <c:strCache>
                <c:ptCount val="6"/>
                <c:pt idx="0">
                  <c:v>Before washing</c:v>
                </c:pt>
                <c:pt idx="1">
                  <c:v>1st wash</c:v>
                </c:pt>
                <c:pt idx="2">
                  <c:v>5th wash</c:v>
                </c:pt>
                <c:pt idx="3">
                  <c:v>10th wash</c:v>
                </c:pt>
                <c:pt idx="4">
                  <c:v>15th wash </c:v>
                </c:pt>
                <c:pt idx="5">
                  <c:v>20th wash</c:v>
                </c:pt>
              </c:strCache>
            </c:strRef>
          </c:cat>
          <c:val>
            <c:numRef>
              <c:f>'Parameter Results'!$P$2:$P$7</c:f>
              <c:numCache>
                <c:formatCode>General</c:formatCode>
                <c:ptCount val="6"/>
                <c:pt idx="0">
                  <c:v>1.5319999999999999E-6</c:v>
                </c:pt>
                <c:pt idx="1">
                  <c:v>1.5319999999999999E-6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cat>
            <c:strRef>
              <c:f>'Parameter Results'!$N$2:$N$7</c:f>
              <c:strCache>
                <c:ptCount val="6"/>
                <c:pt idx="0">
                  <c:v>Before washing</c:v>
                </c:pt>
                <c:pt idx="1">
                  <c:v>1st wash</c:v>
                </c:pt>
                <c:pt idx="2">
                  <c:v>5th wash</c:v>
                </c:pt>
                <c:pt idx="3">
                  <c:v>10th wash</c:v>
                </c:pt>
                <c:pt idx="4">
                  <c:v>15th wash </c:v>
                </c:pt>
                <c:pt idx="5">
                  <c:v>20th wash</c:v>
                </c:pt>
              </c:strCache>
            </c:strRef>
          </c:cat>
          <c:val>
            <c:numRef>
              <c:f>'Parameter Results'!$Q$2:$Q$7</c:f>
              <c:numCache>
                <c:formatCode>General</c:formatCode>
                <c:ptCount val="6"/>
                <c:pt idx="0">
                  <c:v>3.2320000000000001E-6</c:v>
                </c:pt>
                <c:pt idx="1">
                  <c:v>7.2259999999999991E-6</c:v>
                </c:pt>
                <c:pt idx="2">
                  <c:v>6.5159999999999991E-6</c:v>
                </c:pt>
                <c:pt idx="3">
                  <c:v>6.5839999999999991E-6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cat>
            <c:strRef>
              <c:f>'Parameter Results'!$N$2:$N$7</c:f>
              <c:strCache>
                <c:ptCount val="6"/>
                <c:pt idx="0">
                  <c:v>Before washing</c:v>
                </c:pt>
                <c:pt idx="1">
                  <c:v>1st wash</c:v>
                </c:pt>
                <c:pt idx="2">
                  <c:v>5th wash</c:v>
                </c:pt>
                <c:pt idx="3">
                  <c:v>10th wash</c:v>
                </c:pt>
                <c:pt idx="4">
                  <c:v>15th wash </c:v>
                </c:pt>
                <c:pt idx="5">
                  <c:v>20th wash</c:v>
                </c:pt>
              </c:strCache>
            </c:strRef>
          </c:cat>
          <c:val>
            <c:numRef>
              <c:f>'Parameter Results'!$R$2:$R$7</c:f>
              <c:numCache>
                <c:formatCode>General</c:formatCode>
                <c:ptCount val="6"/>
                <c:pt idx="0">
                  <c:v>1.3999999999999999E-6</c:v>
                </c:pt>
                <c:pt idx="1">
                  <c:v>1.7039999999999999E-6</c:v>
                </c:pt>
                <c:pt idx="2">
                  <c:v>5.7559999999999996E-6</c:v>
                </c:pt>
                <c:pt idx="3">
                  <c:v>3.9319999999999998E-6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977792"/>
        <c:axId val="136983680"/>
      </c:lineChart>
      <c:catAx>
        <c:axId val="136977792"/>
        <c:scaling>
          <c:orientation val="minMax"/>
        </c:scaling>
        <c:delete val="0"/>
        <c:axPos val="b"/>
        <c:majorTickMark val="none"/>
        <c:minorTickMark val="none"/>
        <c:tickLblPos val="nextTo"/>
        <c:crossAx val="136983680"/>
        <c:crosses val="autoZero"/>
        <c:auto val="1"/>
        <c:lblAlgn val="ctr"/>
        <c:lblOffset val="100"/>
        <c:noMultiLvlLbl val="0"/>
      </c:catAx>
      <c:valAx>
        <c:axId val="136983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Capaictor Full</a:t>
                </a:r>
                <a:r>
                  <a:rPr lang="en-GB" baseline="0"/>
                  <a:t> Discharge Time (s)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36977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E-Textile1</c:v>
          </c:tx>
          <c:errBars>
            <c:errDir val="y"/>
            <c:errBarType val="both"/>
            <c:errValType val="percentage"/>
            <c:noEndCap val="0"/>
            <c:val val="5"/>
          </c:errBars>
          <c:cat>
            <c:numRef>
              <c:f>'Parameter Results'!$A$2:$A$7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</c:numCache>
            </c:numRef>
          </c:cat>
          <c:val>
            <c:numRef>
              <c:f>'Parameter Results'!$B$12:$B$17</c:f>
              <c:numCache>
                <c:formatCode>General</c:formatCode>
                <c:ptCount val="6"/>
                <c:pt idx="0">
                  <c:v>4.1609999999999996</c:v>
                </c:pt>
                <c:pt idx="1">
                  <c:v>2.9609999999999999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E-Textile 2</c:v>
          </c:tx>
          <c:errBars>
            <c:errDir val="y"/>
            <c:errBarType val="both"/>
            <c:errValType val="percentage"/>
            <c:noEndCap val="0"/>
            <c:val val="5"/>
          </c:errBars>
          <c:cat>
            <c:numRef>
              <c:f>'Parameter Results'!$A$2:$A$7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</c:numCache>
            </c:numRef>
          </c:cat>
          <c:val>
            <c:numRef>
              <c:f>'Parameter Results'!$C$12:$C$17</c:f>
              <c:numCache>
                <c:formatCode>General</c:formatCode>
                <c:ptCount val="6"/>
                <c:pt idx="0">
                  <c:v>3.8890000000000002</c:v>
                </c:pt>
                <c:pt idx="1">
                  <c:v>3.8890000000000002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E-Textile 3</c:v>
          </c:tx>
          <c:errBars>
            <c:errDir val="y"/>
            <c:errBarType val="both"/>
            <c:errValType val="percentage"/>
            <c:noEndCap val="0"/>
            <c:val val="5"/>
          </c:errBars>
          <c:cat>
            <c:numRef>
              <c:f>'Parameter Results'!$A$2:$A$7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</c:numCache>
            </c:numRef>
          </c:cat>
          <c:val>
            <c:numRef>
              <c:f>'Parameter Results'!$D$12:$D$17</c:f>
              <c:numCache>
                <c:formatCode>General</c:formatCode>
                <c:ptCount val="6"/>
                <c:pt idx="0">
                  <c:v>4.0170000000000003</c:v>
                </c:pt>
                <c:pt idx="1">
                  <c:v>2.633</c:v>
                </c:pt>
                <c:pt idx="2">
                  <c:v>2.9929999999999999</c:v>
                </c:pt>
                <c:pt idx="3">
                  <c:v>1.7729999999999997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E-Textile 4</c:v>
          </c:tx>
          <c:errBars>
            <c:errDir val="y"/>
            <c:errBarType val="both"/>
            <c:errValType val="percentage"/>
            <c:noEndCap val="0"/>
            <c:val val="5"/>
          </c:errBars>
          <c:cat>
            <c:numRef>
              <c:f>'Parameter Results'!$A$2:$A$7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</c:numCache>
            </c:numRef>
          </c:cat>
          <c:val>
            <c:numRef>
              <c:f>'Parameter Results'!$E$12:$E$17</c:f>
              <c:numCache>
                <c:formatCode>General</c:formatCode>
                <c:ptCount val="6"/>
                <c:pt idx="0">
                  <c:v>3.7130000000000001</c:v>
                </c:pt>
                <c:pt idx="1">
                  <c:v>3.4329999999999998</c:v>
                </c:pt>
                <c:pt idx="2">
                  <c:v>2.593</c:v>
                </c:pt>
                <c:pt idx="3">
                  <c:v>1.3069999999999999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000448"/>
        <c:axId val="137002368"/>
      </c:lineChart>
      <c:catAx>
        <c:axId val="137000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No.</a:t>
                </a:r>
                <a:r>
                  <a:rPr lang="en-GB" b="0" baseline="0"/>
                  <a:t> of completed washes</a:t>
                </a:r>
                <a:endParaRPr lang="en-GB" b="0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7002368"/>
        <c:crosses val="autoZero"/>
        <c:auto val="1"/>
        <c:lblAlgn val="ctr"/>
        <c:lblOffset val="100"/>
        <c:noMultiLvlLbl val="0"/>
      </c:catAx>
      <c:valAx>
        <c:axId val="137002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Max Charging Voltage (V)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3700044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baseline="0">
                <a:effectLst/>
              </a:rPr>
              <a:t>Proximity Rise Time of TRC Curve of Sensory E-Textile Circuits after Washing Cycles</a:t>
            </a:r>
            <a:endParaRPr lang="en-GB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E-Textile 1</c:v>
          </c:tx>
          <c:cat>
            <c:strRef>
              <c:f>'Parameter Results'!$H$2:$H$7</c:f>
              <c:strCache>
                <c:ptCount val="6"/>
                <c:pt idx="0">
                  <c:v>Before washing</c:v>
                </c:pt>
                <c:pt idx="1">
                  <c:v>1st wash</c:v>
                </c:pt>
                <c:pt idx="2">
                  <c:v>5th wash</c:v>
                </c:pt>
                <c:pt idx="3">
                  <c:v>10th wash</c:v>
                </c:pt>
                <c:pt idx="4">
                  <c:v>15th wash </c:v>
                </c:pt>
                <c:pt idx="5">
                  <c:v>20th wash</c:v>
                </c:pt>
              </c:strCache>
            </c:strRef>
          </c:cat>
          <c:val>
            <c:numRef>
              <c:f>'Parameter Results'!$I$12:$I$17</c:f>
              <c:numCache>
                <c:formatCode>General</c:formatCode>
                <c:ptCount val="6"/>
                <c:pt idx="0">
                  <c:v>4.3599999999999999E-7</c:v>
                </c:pt>
                <c:pt idx="1">
                  <c:v>1.452E-6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E-Textile 2</c:v>
          </c:tx>
          <c:cat>
            <c:strRef>
              <c:f>'Parameter Results'!$H$2:$H$7</c:f>
              <c:strCache>
                <c:ptCount val="6"/>
                <c:pt idx="0">
                  <c:v>Before washing</c:v>
                </c:pt>
                <c:pt idx="1">
                  <c:v>1st wash</c:v>
                </c:pt>
                <c:pt idx="2">
                  <c:v>5th wash</c:v>
                </c:pt>
                <c:pt idx="3">
                  <c:v>10th wash</c:v>
                </c:pt>
                <c:pt idx="4">
                  <c:v>15th wash </c:v>
                </c:pt>
                <c:pt idx="5">
                  <c:v>20th wash</c:v>
                </c:pt>
              </c:strCache>
            </c:strRef>
          </c:cat>
          <c:val>
            <c:numRef>
              <c:f>'Parameter Results'!$J$12:$J$17</c:f>
              <c:numCache>
                <c:formatCode>General</c:formatCode>
                <c:ptCount val="6"/>
                <c:pt idx="0">
                  <c:v>4.0800000000000005E-7</c:v>
                </c:pt>
                <c:pt idx="1">
                  <c:v>4.0800000000000005E-7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E-Textile 3</c:v>
          </c:tx>
          <c:cat>
            <c:strRef>
              <c:f>'Parameter Results'!$H$2:$H$7</c:f>
              <c:strCache>
                <c:ptCount val="6"/>
                <c:pt idx="0">
                  <c:v>Before washing</c:v>
                </c:pt>
                <c:pt idx="1">
                  <c:v>1st wash</c:v>
                </c:pt>
                <c:pt idx="2">
                  <c:v>5th wash</c:v>
                </c:pt>
                <c:pt idx="3">
                  <c:v>10th wash</c:v>
                </c:pt>
                <c:pt idx="4">
                  <c:v>15th wash </c:v>
                </c:pt>
                <c:pt idx="5">
                  <c:v>20th wash</c:v>
                </c:pt>
              </c:strCache>
            </c:strRef>
          </c:cat>
          <c:val>
            <c:numRef>
              <c:f>'Parameter Results'!$K$12:$K$17</c:f>
              <c:numCache>
                <c:formatCode>General</c:formatCode>
                <c:ptCount val="6"/>
                <c:pt idx="0">
                  <c:v>5.06E-7</c:v>
                </c:pt>
                <c:pt idx="1">
                  <c:v>9.16E-7</c:v>
                </c:pt>
                <c:pt idx="2">
                  <c:v>8.2999999999999999E-7</c:v>
                </c:pt>
                <c:pt idx="3">
                  <c:v>1.2419999999999999E-6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E-Textile 4</c:v>
          </c:tx>
          <c:cat>
            <c:strRef>
              <c:f>'Parameter Results'!$H$2:$H$7</c:f>
              <c:strCache>
                <c:ptCount val="6"/>
                <c:pt idx="0">
                  <c:v>Before washing</c:v>
                </c:pt>
                <c:pt idx="1">
                  <c:v>1st wash</c:v>
                </c:pt>
                <c:pt idx="2">
                  <c:v>5th wash</c:v>
                </c:pt>
                <c:pt idx="3">
                  <c:v>10th wash</c:v>
                </c:pt>
                <c:pt idx="4">
                  <c:v>15th wash </c:v>
                </c:pt>
                <c:pt idx="5">
                  <c:v>20th wash</c:v>
                </c:pt>
              </c:strCache>
            </c:strRef>
          </c:cat>
          <c:val>
            <c:numRef>
              <c:f>'Parameter Results'!$L$12:$L$17</c:f>
              <c:numCache>
                <c:formatCode>General</c:formatCode>
                <c:ptCount val="6"/>
                <c:pt idx="0">
                  <c:v>5.5400000000000001E-7</c:v>
                </c:pt>
                <c:pt idx="1">
                  <c:v>9.0599999999999999E-7</c:v>
                </c:pt>
                <c:pt idx="2">
                  <c:v>1.3859999999999999E-6</c:v>
                </c:pt>
                <c:pt idx="3">
                  <c:v>1.7499999999999998E-6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025408"/>
        <c:axId val="137026944"/>
      </c:lineChart>
      <c:catAx>
        <c:axId val="137025408"/>
        <c:scaling>
          <c:orientation val="minMax"/>
        </c:scaling>
        <c:delete val="0"/>
        <c:axPos val="b"/>
        <c:majorTickMark val="none"/>
        <c:minorTickMark val="none"/>
        <c:tickLblPos val="nextTo"/>
        <c:crossAx val="137026944"/>
        <c:crosses val="autoZero"/>
        <c:auto val="1"/>
        <c:lblAlgn val="ctr"/>
        <c:lblOffset val="100"/>
        <c:noMultiLvlLbl val="0"/>
      </c:catAx>
      <c:valAx>
        <c:axId val="137026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 baseline="0"/>
                  <a:t>Capacitor Full Charging Time (s)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37025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baseline="0">
                <a:effectLst/>
              </a:rPr>
              <a:t>Proximity Fall Time of TRC Curve of Sensory E-Textile Circuits after Washing Cycles</a:t>
            </a:r>
            <a:endParaRPr lang="en-GB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E-Textile 1</c:v>
          </c:tx>
          <c:cat>
            <c:strRef>
              <c:f>'Parameter Results'!$H$2:$H$7</c:f>
              <c:strCache>
                <c:ptCount val="6"/>
                <c:pt idx="0">
                  <c:v>Before washing</c:v>
                </c:pt>
                <c:pt idx="1">
                  <c:v>1st wash</c:v>
                </c:pt>
                <c:pt idx="2">
                  <c:v>5th wash</c:v>
                </c:pt>
                <c:pt idx="3">
                  <c:v>10th wash</c:v>
                </c:pt>
                <c:pt idx="4">
                  <c:v>15th wash </c:v>
                </c:pt>
                <c:pt idx="5">
                  <c:v>20th wash</c:v>
                </c:pt>
              </c:strCache>
            </c:strRef>
          </c:cat>
          <c:val>
            <c:numRef>
              <c:f>'Parameter Results'!$O$12:$O$17</c:f>
              <c:numCache>
                <c:formatCode>General</c:formatCode>
                <c:ptCount val="6"/>
                <c:pt idx="0">
                  <c:v>1.6279999999999997E-6</c:v>
                </c:pt>
                <c:pt idx="1">
                  <c:v>1.1064000000000001E-5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E-Textile 2</c:v>
          </c:tx>
          <c:cat>
            <c:strRef>
              <c:f>'Parameter Results'!$H$2:$H$7</c:f>
              <c:strCache>
                <c:ptCount val="6"/>
                <c:pt idx="0">
                  <c:v>Before washing</c:v>
                </c:pt>
                <c:pt idx="1">
                  <c:v>1st wash</c:v>
                </c:pt>
                <c:pt idx="2">
                  <c:v>5th wash</c:v>
                </c:pt>
                <c:pt idx="3">
                  <c:v>10th wash</c:v>
                </c:pt>
                <c:pt idx="4">
                  <c:v>15th wash </c:v>
                </c:pt>
                <c:pt idx="5">
                  <c:v>20th wash</c:v>
                </c:pt>
              </c:strCache>
            </c:strRef>
          </c:cat>
          <c:val>
            <c:numRef>
              <c:f>'Parameter Results'!$P$12:$P$17</c:f>
              <c:numCache>
                <c:formatCode>General</c:formatCode>
                <c:ptCount val="6"/>
                <c:pt idx="0">
                  <c:v>1.516E-6</c:v>
                </c:pt>
                <c:pt idx="1">
                  <c:v>4.0800000000000005E-7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E-Textile 3</c:v>
          </c:tx>
          <c:cat>
            <c:strRef>
              <c:f>'Parameter Results'!$H$2:$H$7</c:f>
              <c:strCache>
                <c:ptCount val="6"/>
                <c:pt idx="0">
                  <c:v>Before washing</c:v>
                </c:pt>
                <c:pt idx="1">
                  <c:v>1st wash</c:v>
                </c:pt>
                <c:pt idx="2">
                  <c:v>5th wash</c:v>
                </c:pt>
                <c:pt idx="3">
                  <c:v>10th wash</c:v>
                </c:pt>
                <c:pt idx="4">
                  <c:v>15th wash </c:v>
                </c:pt>
                <c:pt idx="5">
                  <c:v>20th wash</c:v>
                </c:pt>
              </c:strCache>
            </c:strRef>
          </c:cat>
          <c:val>
            <c:numRef>
              <c:f>'Parameter Results'!$Q$12:$Q$17</c:f>
              <c:numCache>
                <c:formatCode>General</c:formatCode>
                <c:ptCount val="6"/>
                <c:pt idx="0">
                  <c:v>3.2400000000000003E-6</c:v>
                </c:pt>
                <c:pt idx="1">
                  <c:v>7.0679999999999991E-6</c:v>
                </c:pt>
                <c:pt idx="2">
                  <c:v>6.0959999999999989E-6</c:v>
                </c:pt>
                <c:pt idx="3">
                  <c:v>6.4839999999999992E-6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E-Textile 4</c:v>
          </c:tx>
          <c:cat>
            <c:strRef>
              <c:f>'Parameter Results'!$H$2:$H$7</c:f>
              <c:strCache>
                <c:ptCount val="6"/>
                <c:pt idx="0">
                  <c:v>Before washing</c:v>
                </c:pt>
                <c:pt idx="1">
                  <c:v>1st wash</c:v>
                </c:pt>
                <c:pt idx="2">
                  <c:v>5th wash</c:v>
                </c:pt>
                <c:pt idx="3">
                  <c:v>10th wash</c:v>
                </c:pt>
                <c:pt idx="4">
                  <c:v>15th wash </c:v>
                </c:pt>
                <c:pt idx="5">
                  <c:v>20th wash</c:v>
                </c:pt>
              </c:strCache>
            </c:strRef>
          </c:cat>
          <c:val>
            <c:numRef>
              <c:f>'Parameter Results'!$R$12:$R$17</c:f>
              <c:numCache>
                <c:formatCode>General</c:formatCode>
                <c:ptCount val="6"/>
                <c:pt idx="0">
                  <c:v>1.6359999999999999E-6</c:v>
                </c:pt>
                <c:pt idx="1">
                  <c:v>1.6919999999999996E-6</c:v>
                </c:pt>
                <c:pt idx="2">
                  <c:v>4.7439999999999998E-6</c:v>
                </c:pt>
                <c:pt idx="3">
                  <c:v>9.4639999999999995E-6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431296"/>
        <c:axId val="137433088"/>
      </c:lineChart>
      <c:catAx>
        <c:axId val="13743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37433088"/>
        <c:crosses val="autoZero"/>
        <c:auto val="1"/>
        <c:lblAlgn val="ctr"/>
        <c:lblOffset val="100"/>
        <c:noMultiLvlLbl val="0"/>
      </c:catAx>
      <c:valAx>
        <c:axId val="137433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 baseline="0"/>
                  <a:t>Capacitor Full Charging Time (s)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37431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E-Textile1</c:v>
          </c:tx>
          <c:errBars>
            <c:errDir val="y"/>
            <c:errBarType val="both"/>
            <c:errValType val="percentage"/>
            <c:noEndCap val="0"/>
            <c:val val="5"/>
          </c:errBars>
          <c:cat>
            <c:numRef>
              <c:f>'Parameter Results'!$A$2:$A$7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</c:numCache>
            </c:numRef>
          </c:cat>
          <c:val>
            <c:numRef>
              <c:f>'Parameter Results'!$B$22:$B$27</c:f>
              <c:numCache>
                <c:formatCode>General</c:formatCode>
                <c:ptCount val="6"/>
                <c:pt idx="0">
                  <c:v>3.6970000000000005</c:v>
                </c:pt>
                <c:pt idx="1">
                  <c:v>2.593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E-Textile 2</c:v>
          </c:tx>
          <c:errBars>
            <c:errDir val="y"/>
            <c:errBarType val="both"/>
            <c:errValType val="percentage"/>
            <c:noEndCap val="0"/>
            <c:val val="5"/>
          </c:errBars>
          <c:cat>
            <c:numRef>
              <c:f>'Parameter Results'!$A$2:$A$7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</c:numCache>
            </c:numRef>
          </c:cat>
          <c:val>
            <c:numRef>
              <c:f>'Parameter Results'!$C$22:$C$27</c:f>
              <c:numCache>
                <c:formatCode>General</c:formatCode>
                <c:ptCount val="6"/>
                <c:pt idx="0">
                  <c:v>3.8729999999999998</c:v>
                </c:pt>
                <c:pt idx="1">
                  <c:v>3.8729999999999998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E-Textile 3</c:v>
          </c:tx>
          <c:errBars>
            <c:errDir val="y"/>
            <c:errBarType val="both"/>
            <c:errValType val="percentage"/>
            <c:noEndCap val="0"/>
            <c:val val="5"/>
          </c:errBars>
          <c:cat>
            <c:numRef>
              <c:f>'Parameter Results'!$A$2:$A$7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</c:numCache>
            </c:numRef>
          </c:cat>
          <c:val>
            <c:numRef>
              <c:f>'Parameter Results'!$D$22:$D$27</c:f>
              <c:numCache>
                <c:formatCode>General</c:formatCode>
                <c:ptCount val="6"/>
                <c:pt idx="0">
                  <c:v>4.0170000000000003</c:v>
                </c:pt>
                <c:pt idx="1">
                  <c:v>2.4330000000000003</c:v>
                </c:pt>
                <c:pt idx="2">
                  <c:v>2.7290000000000001</c:v>
                </c:pt>
                <c:pt idx="3">
                  <c:v>1.5089999999999999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E-Textile 4</c:v>
          </c:tx>
          <c:errBars>
            <c:errDir val="y"/>
            <c:errBarType val="both"/>
            <c:errValType val="percentage"/>
            <c:noEndCap val="0"/>
            <c:val val="5"/>
          </c:errBars>
          <c:cat>
            <c:numRef>
              <c:f>'Parameter Results'!$A$2:$A$7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</c:numCache>
            </c:numRef>
          </c:cat>
          <c:val>
            <c:numRef>
              <c:f>'Parameter Results'!$E$22:$E$27</c:f>
              <c:numCache>
                <c:formatCode>General</c:formatCode>
                <c:ptCount val="6"/>
                <c:pt idx="0">
                  <c:v>3.7050000000000005</c:v>
                </c:pt>
                <c:pt idx="1">
                  <c:v>2.7930000000000001</c:v>
                </c:pt>
                <c:pt idx="2">
                  <c:v>2.101</c:v>
                </c:pt>
                <c:pt idx="3">
                  <c:v>1.2090000000000001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458048"/>
        <c:axId val="137459968"/>
      </c:lineChart>
      <c:catAx>
        <c:axId val="13745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No. of completed washes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7459968"/>
        <c:crosses val="autoZero"/>
        <c:auto val="1"/>
        <c:lblAlgn val="ctr"/>
        <c:lblOffset val="100"/>
        <c:noMultiLvlLbl val="0"/>
      </c:catAx>
      <c:valAx>
        <c:axId val="137459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Max</a:t>
                </a:r>
                <a:r>
                  <a:rPr lang="en-GB" b="0" baseline="0"/>
                  <a:t> Charging</a:t>
                </a:r>
                <a:r>
                  <a:rPr lang="en-GB" b="0"/>
                  <a:t> Voltage (V)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3745804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baseline="0">
                <a:effectLst/>
              </a:rPr>
              <a:t>Touch Rise Time of TRC Curve of Sensory E-Textile Circuits after Washing Cycles</a:t>
            </a:r>
            <a:endParaRPr lang="en-GB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E-Textile 1</c:v>
          </c:tx>
          <c:cat>
            <c:strRef>
              <c:f>'Parameter Results'!$H$2:$H$7</c:f>
              <c:strCache>
                <c:ptCount val="6"/>
                <c:pt idx="0">
                  <c:v>Before washing</c:v>
                </c:pt>
                <c:pt idx="1">
                  <c:v>1st wash</c:v>
                </c:pt>
                <c:pt idx="2">
                  <c:v>5th wash</c:v>
                </c:pt>
                <c:pt idx="3">
                  <c:v>10th wash</c:v>
                </c:pt>
                <c:pt idx="4">
                  <c:v>15th wash </c:v>
                </c:pt>
                <c:pt idx="5">
                  <c:v>20th wash</c:v>
                </c:pt>
              </c:strCache>
            </c:strRef>
          </c:cat>
          <c:val>
            <c:numRef>
              <c:f>'Parameter Results'!$I$22:$I$27</c:f>
              <c:numCache>
                <c:formatCode>General</c:formatCode>
                <c:ptCount val="6"/>
                <c:pt idx="0">
                  <c:v>5.0000000000000008E-7</c:v>
                </c:pt>
                <c:pt idx="1">
                  <c:v>1.9419999999999998E-6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E-Textile 2</c:v>
          </c:tx>
          <c:cat>
            <c:strRef>
              <c:f>'Parameter Results'!$H$2:$H$7</c:f>
              <c:strCache>
                <c:ptCount val="6"/>
                <c:pt idx="0">
                  <c:v>Before washing</c:v>
                </c:pt>
                <c:pt idx="1">
                  <c:v>1st wash</c:v>
                </c:pt>
                <c:pt idx="2">
                  <c:v>5th wash</c:v>
                </c:pt>
                <c:pt idx="3">
                  <c:v>10th wash</c:v>
                </c:pt>
                <c:pt idx="4">
                  <c:v>15th wash </c:v>
                </c:pt>
                <c:pt idx="5">
                  <c:v>20th wash</c:v>
                </c:pt>
              </c:strCache>
            </c:strRef>
          </c:cat>
          <c:val>
            <c:numRef>
              <c:f>'Parameter Results'!$J$22:$J$27</c:f>
              <c:numCache>
                <c:formatCode>General</c:formatCode>
                <c:ptCount val="6"/>
                <c:pt idx="0">
                  <c:v>4.3600000000000004E-7</c:v>
                </c:pt>
                <c:pt idx="1">
                  <c:v>4.3600000000000004E-7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E-Textile 3</c:v>
          </c:tx>
          <c:cat>
            <c:strRef>
              <c:f>'Parameter Results'!$H$2:$H$7</c:f>
              <c:strCache>
                <c:ptCount val="6"/>
                <c:pt idx="0">
                  <c:v>Before washing</c:v>
                </c:pt>
                <c:pt idx="1">
                  <c:v>1st wash</c:v>
                </c:pt>
                <c:pt idx="2">
                  <c:v>5th wash</c:v>
                </c:pt>
                <c:pt idx="3">
                  <c:v>10th wash</c:v>
                </c:pt>
                <c:pt idx="4">
                  <c:v>15th wash </c:v>
                </c:pt>
                <c:pt idx="5">
                  <c:v>20th wash</c:v>
                </c:pt>
              </c:strCache>
            </c:strRef>
          </c:cat>
          <c:val>
            <c:numRef>
              <c:f>'Parameter Results'!$K$22:$K$27</c:f>
              <c:numCache>
                <c:formatCode>General</c:formatCode>
                <c:ptCount val="6"/>
                <c:pt idx="0">
                  <c:v>5.5999999999999993E-7</c:v>
                </c:pt>
                <c:pt idx="1">
                  <c:v>1.0939999999999998E-6</c:v>
                </c:pt>
                <c:pt idx="2">
                  <c:v>1.0939999999999998E-6</c:v>
                </c:pt>
                <c:pt idx="3">
                  <c:v>1.3539999999999999E-6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E-Textile 4</c:v>
          </c:tx>
          <c:cat>
            <c:strRef>
              <c:f>'Parameter Results'!$H$2:$H$7</c:f>
              <c:strCache>
                <c:ptCount val="6"/>
                <c:pt idx="0">
                  <c:v>Before washing</c:v>
                </c:pt>
                <c:pt idx="1">
                  <c:v>1st wash</c:v>
                </c:pt>
                <c:pt idx="2">
                  <c:v>5th wash</c:v>
                </c:pt>
                <c:pt idx="3">
                  <c:v>10th wash</c:v>
                </c:pt>
                <c:pt idx="4">
                  <c:v>15th wash </c:v>
                </c:pt>
                <c:pt idx="5">
                  <c:v>20th wash</c:v>
                </c:pt>
              </c:strCache>
            </c:strRef>
          </c:cat>
          <c:val>
            <c:numRef>
              <c:f>'Parameter Results'!$L$22:$L$27</c:f>
              <c:numCache>
                <c:formatCode>General</c:formatCode>
                <c:ptCount val="6"/>
                <c:pt idx="0">
                  <c:v>6.1800000000000005E-7</c:v>
                </c:pt>
                <c:pt idx="1">
                  <c:v>1.8639999999999999E-6</c:v>
                </c:pt>
                <c:pt idx="2">
                  <c:v>1.5219999999999998E-6</c:v>
                </c:pt>
                <c:pt idx="3">
                  <c:v>2.0393999999999999E-6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483008"/>
        <c:axId val="137484544"/>
      </c:lineChart>
      <c:catAx>
        <c:axId val="137483008"/>
        <c:scaling>
          <c:orientation val="minMax"/>
        </c:scaling>
        <c:delete val="0"/>
        <c:axPos val="b"/>
        <c:majorTickMark val="none"/>
        <c:minorTickMark val="none"/>
        <c:tickLblPos val="nextTo"/>
        <c:crossAx val="137484544"/>
        <c:crosses val="autoZero"/>
        <c:auto val="1"/>
        <c:lblAlgn val="ctr"/>
        <c:lblOffset val="100"/>
        <c:noMultiLvlLbl val="0"/>
      </c:catAx>
      <c:valAx>
        <c:axId val="137484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 baseline="0"/>
                  <a:t>Capacitor Full Charging Time (s)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37483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baseline="0">
                <a:effectLst/>
              </a:rPr>
              <a:t>Touch Fall Time of TRC Curve of Sensory E-Textile Circuits after Washing Cycles</a:t>
            </a:r>
            <a:endParaRPr lang="en-GB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E-Textile 1</c:v>
          </c:tx>
          <c:cat>
            <c:strRef>
              <c:f>'Parameter Results'!$H$2:$H$7</c:f>
              <c:strCache>
                <c:ptCount val="6"/>
                <c:pt idx="0">
                  <c:v>Before washing</c:v>
                </c:pt>
                <c:pt idx="1">
                  <c:v>1st wash</c:v>
                </c:pt>
                <c:pt idx="2">
                  <c:v>5th wash</c:v>
                </c:pt>
                <c:pt idx="3">
                  <c:v>10th wash</c:v>
                </c:pt>
                <c:pt idx="4">
                  <c:v>15th wash </c:v>
                </c:pt>
                <c:pt idx="5">
                  <c:v>20th wash</c:v>
                </c:pt>
              </c:strCache>
            </c:strRef>
          </c:cat>
          <c:val>
            <c:numRef>
              <c:f>'Parameter Results'!$O$22:$O$27</c:f>
              <c:numCache>
                <c:formatCode>General</c:formatCode>
                <c:ptCount val="6"/>
                <c:pt idx="0">
                  <c:v>1.4679999999999998E-6</c:v>
                </c:pt>
                <c:pt idx="1">
                  <c:v>2.2923999999999999E-5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E-Textile 2</c:v>
          </c:tx>
          <c:cat>
            <c:strRef>
              <c:f>'Parameter Results'!$H$2:$H$7</c:f>
              <c:strCache>
                <c:ptCount val="6"/>
                <c:pt idx="0">
                  <c:v>Before washing</c:v>
                </c:pt>
                <c:pt idx="1">
                  <c:v>1st wash</c:v>
                </c:pt>
                <c:pt idx="2">
                  <c:v>5th wash</c:v>
                </c:pt>
                <c:pt idx="3">
                  <c:v>10th wash</c:v>
                </c:pt>
                <c:pt idx="4">
                  <c:v>15th wash </c:v>
                </c:pt>
                <c:pt idx="5">
                  <c:v>20th wash</c:v>
                </c:pt>
              </c:strCache>
            </c:strRef>
          </c:cat>
          <c:val>
            <c:numRef>
              <c:f>'Parameter Results'!$P$22:$P$27</c:f>
              <c:numCache>
                <c:formatCode>General</c:formatCode>
                <c:ptCount val="6"/>
                <c:pt idx="0">
                  <c:v>4.3600000000000004E-7</c:v>
                </c:pt>
                <c:pt idx="1">
                  <c:v>1.5880000000000001E-6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E-Textile 3</c:v>
          </c:tx>
          <c:cat>
            <c:strRef>
              <c:f>'Parameter Results'!$H$2:$H$7</c:f>
              <c:strCache>
                <c:ptCount val="6"/>
                <c:pt idx="0">
                  <c:v>Before washing</c:v>
                </c:pt>
                <c:pt idx="1">
                  <c:v>1st wash</c:v>
                </c:pt>
                <c:pt idx="2">
                  <c:v>5th wash</c:v>
                </c:pt>
                <c:pt idx="3">
                  <c:v>10th wash</c:v>
                </c:pt>
                <c:pt idx="4">
                  <c:v>15th wash </c:v>
                </c:pt>
                <c:pt idx="5">
                  <c:v>20th wash</c:v>
                </c:pt>
              </c:strCache>
            </c:strRef>
          </c:cat>
          <c:val>
            <c:numRef>
              <c:f>'Parameter Results'!$Q$22:$Q$27</c:f>
              <c:numCache>
                <c:formatCode>General</c:formatCode>
                <c:ptCount val="6"/>
                <c:pt idx="0">
                  <c:v>3.3239999999999999E-6</c:v>
                </c:pt>
                <c:pt idx="1">
                  <c:v>1.0627999999999999E-5</c:v>
                </c:pt>
                <c:pt idx="2">
                  <c:v>9.7000000000000003E-6</c:v>
                </c:pt>
                <c:pt idx="3">
                  <c:v>7.9279999999999993E-6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E-Textile 4</c:v>
          </c:tx>
          <c:cat>
            <c:strRef>
              <c:f>'Parameter Results'!$H$2:$H$7</c:f>
              <c:strCache>
                <c:ptCount val="6"/>
                <c:pt idx="0">
                  <c:v>Before washing</c:v>
                </c:pt>
                <c:pt idx="1">
                  <c:v>1st wash</c:v>
                </c:pt>
                <c:pt idx="2">
                  <c:v>5th wash</c:v>
                </c:pt>
                <c:pt idx="3">
                  <c:v>10th wash</c:v>
                </c:pt>
                <c:pt idx="4">
                  <c:v>15th wash </c:v>
                </c:pt>
                <c:pt idx="5">
                  <c:v>20th wash</c:v>
                </c:pt>
              </c:strCache>
            </c:strRef>
          </c:cat>
          <c:val>
            <c:numRef>
              <c:f>'Parameter Results'!$R$22:$R$27</c:f>
              <c:numCache>
                <c:formatCode>General</c:formatCode>
                <c:ptCount val="6"/>
                <c:pt idx="0">
                  <c:v>1.46E-6</c:v>
                </c:pt>
                <c:pt idx="1">
                  <c:v>1.5311999999999998E-5</c:v>
                </c:pt>
                <c:pt idx="2">
                  <c:v>8.1939999999999998E-6</c:v>
                </c:pt>
                <c:pt idx="3">
                  <c:v>1.1452000000000001E-5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12448"/>
        <c:axId val="137513984"/>
      </c:lineChart>
      <c:catAx>
        <c:axId val="1375124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37513984"/>
        <c:crosses val="autoZero"/>
        <c:auto val="1"/>
        <c:lblAlgn val="ctr"/>
        <c:lblOffset val="100"/>
        <c:noMultiLvlLbl val="0"/>
      </c:catAx>
      <c:valAx>
        <c:axId val="137513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 baseline="0"/>
                  <a:t>Capacitor Full Charging Time (s)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375124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212272</xdr:colOff>
      <xdr:row>31</xdr:row>
      <xdr:rowOff>40821</xdr:rowOff>
    </xdr:from>
    <xdr:to>
      <xdr:col>7</xdr:col>
      <xdr:colOff>1020537</xdr:colOff>
      <xdr:row>51</xdr:row>
      <xdr:rowOff>59191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664028</xdr:colOff>
      <xdr:row>51</xdr:row>
      <xdr:rowOff>174172</xdr:rowOff>
    </xdr:from>
    <xdr:to>
      <xdr:col>8</xdr:col>
      <xdr:colOff>21770</xdr:colOff>
      <xdr:row>66</xdr:row>
      <xdr:rowOff>102734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615042</xdr:colOff>
      <xdr:row>67</xdr:row>
      <xdr:rowOff>172811</xdr:rowOff>
    </xdr:from>
    <xdr:to>
      <xdr:col>8</xdr:col>
      <xdr:colOff>39460</xdr:colOff>
      <xdr:row>82</xdr:row>
      <xdr:rowOff>25173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612323</xdr:colOff>
      <xdr:row>31</xdr:row>
      <xdr:rowOff>122464</xdr:rowOff>
    </xdr:from>
    <xdr:to>
      <xdr:col>14</xdr:col>
      <xdr:colOff>639538</xdr:colOff>
      <xdr:row>51</xdr:row>
      <xdr:rowOff>89807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530678</xdr:colOff>
      <xdr:row>52</xdr:row>
      <xdr:rowOff>40822</xdr:rowOff>
    </xdr:from>
    <xdr:to>
      <xdr:col>14</xdr:col>
      <xdr:colOff>636812</xdr:colOff>
      <xdr:row>66</xdr:row>
      <xdr:rowOff>159884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530679</xdr:colOff>
      <xdr:row>67</xdr:row>
      <xdr:rowOff>81643</xdr:rowOff>
    </xdr:from>
    <xdr:to>
      <xdr:col>14</xdr:col>
      <xdr:colOff>636813</xdr:colOff>
      <xdr:row>82</xdr:row>
      <xdr:rowOff>10205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517073</xdr:colOff>
      <xdr:row>32</xdr:row>
      <xdr:rowOff>13607</xdr:rowOff>
    </xdr:from>
    <xdr:to>
      <xdr:col>23</xdr:col>
      <xdr:colOff>318408</xdr:colOff>
      <xdr:row>51</xdr:row>
      <xdr:rowOff>157843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517072</xdr:colOff>
      <xdr:row>52</xdr:row>
      <xdr:rowOff>27215</xdr:rowOff>
    </xdr:from>
    <xdr:to>
      <xdr:col>23</xdr:col>
      <xdr:colOff>106135</xdr:colOff>
      <xdr:row>66</xdr:row>
      <xdr:rowOff>146277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612321</xdr:colOff>
      <xdr:row>67</xdr:row>
      <xdr:rowOff>95251</xdr:rowOff>
    </xdr:from>
    <xdr:to>
      <xdr:col>23</xdr:col>
      <xdr:colOff>201384</xdr:colOff>
      <xdr:row>82</xdr:row>
      <xdr:rowOff>23813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304800</xdr:colOff>
      <xdr:row>15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38100</xdr:rowOff>
    </xdr:from>
    <xdr:to>
      <xdr:col>7</xdr:col>
      <xdr:colOff>304800</xdr:colOff>
      <xdr:row>31</xdr:row>
      <xdr:rowOff>114300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297316</xdr:colOff>
      <xdr:row>0</xdr:row>
      <xdr:rowOff>146956</xdr:rowOff>
    </xdr:from>
    <xdr:to>
      <xdr:col>16</xdr:col>
      <xdr:colOff>435429</xdr:colOff>
      <xdr:row>18</xdr:row>
      <xdr:rowOff>13606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312964</xdr:colOff>
      <xdr:row>20</xdr:row>
      <xdr:rowOff>40821</xdr:rowOff>
    </xdr:from>
    <xdr:to>
      <xdr:col>16</xdr:col>
      <xdr:colOff>217714</xdr:colOff>
      <xdr:row>37</xdr:row>
      <xdr:rowOff>13606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557893</xdr:colOff>
      <xdr:row>0</xdr:row>
      <xdr:rowOff>190499</xdr:rowOff>
    </xdr:from>
    <xdr:to>
      <xdr:col>24</xdr:col>
      <xdr:colOff>333375</xdr:colOff>
      <xdr:row>18</xdr:row>
      <xdr:rowOff>81642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13607</xdr:colOff>
      <xdr:row>20</xdr:row>
      <xdr:rowOff>80281</xdr:rowOff>
    </xdr:from>
    <xdr:to>
      <xdr:col>25</xdr:col>
      <xdr:colOff>68035</xdr:colOff>
      <xdr:row>37</xdr:row>
      <xdr:rowOff>13606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opLeftCell="A25" workbookViewId="0">
      <selection activeCell="A17" sqref="A17"/>
    </sheetView>
  </sheetViews>
  <sheetFormatPr defaultColWidth="8.85546875" defaultRowHeight="15" x14ac:dyDescent="0.25"/>
  <cols>
    <col min="1" max="1" width="22.85546875" customWidth="1"/>
    <col min="3" max="3" width="12.42578125" bestFit="1" customWidth="1"/>
    <col min="4" max="4" width="14.42578125" customWidth="1"/>
    <col min="5" max="5" width="13.7109375" bestFit="1" customWidth="1"/>
    <col min="6" max="6" width="19.42578125" bestFit="1" customWidth="1"/>
    <col min="8" max="9" width="12.42578125" bestFit="1" customWidth="1"/>
    <col min="11" max="11" width="19.42578125" bestFit="1" customWidth="1"/>
    <col min="13" max="13" width="13.7109375" bestFit="1" customWidth="1"/>
    <col min="14" max="14" width="12.42578125" bestFit="1" customWidth="1"/>
    <col min="16" max="16" width="19.42578125" bestFit="1" customWidth="1"/>
  </cols>
  <sheetData>
    <row r="1" spans="1:16" ht="15.75" x14ac:dyDescent="0.25">
      <c r="A1" s="24" t="s">
        <v>0</v>
      </c>
      <c r="B1" s="26" t="s">
        <v>1</v>
      </c>
      <c r="C1" s="27"/>
      <c r="D1" s="27"/>
      <c r="E1" s="27"/>
      <c r="F1" s="28"/>
      <c r="G1" s="29" t="s">
        <v>8</v>
      </c>
      <c r="H1" s="27"/>
      <c r="I1" s="27"/>
      <c r="J1" s="27"/>
      <c r="K1" s="28"/>
      <c r="L1" s="29" t="s">
        <v>9</v>
      </c>
      <c r="M1" s="27"/>
      <c r="N1" s="27"/>
      <c r="O1" s="27"/>
      <c r="P1" s="28"/>
    </row>
    <row r="2" spans="1:16" ht="15.75" x14ac:dyDescent="0.25">
      <c r="A2" s="25"/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2</v>
      </c>
      <c r="H2" s="1" t="s">
        <v>3</v>
      </c>
      <c r="I2" s="1" t="s">
        <v>4</v>
      </c>
      <c r="J2" s="1" t="s">
        <v>5</v>
      </c>
      <c r="K2" s="1" t="s">
        <v>6</v>
      </c>
      <c r="L2" s="1" t="s">
        <v>2</v>
      </c>
      <c r="M2" s="1" t="s">
        <v>3</v>
      </c>
      <c r="N2" s="1" t="s">
        <v>4</v>
      </c>
      <c r="O2" s="1" t="s">
        <v>5</v>
      </c>
      <c r="P2" s="10" t="s">
        <v>6</v>
      </c>
    </row>
    <row r="3" spans="1:16" ht="15.95" x14ac:dyDescent="0.2">
      <c r="A3" s="2">
        <v>1</v>
      </c>
      <c r="B3" s="3">
        <v>4.1609999999999996</v>
      </c>
      <c r="C3" s="3">
        <f>430*10^-9</f>
        <v>4.3000000000000001E-7</v>
      </c>
      <c r="D3" s="3">
        <f>1.62*10^-6</f>
        <v>1.6199999999999999E-6</v>
      </c>
      <c r="E3" s="4">
        <f>(C3/5)/(6.8*10^3)</f>
        <v>1.2647058823529412E-11</v>
      </c>
      <c r="F3" s="5">
        <f>(D3/5)/(6.8*10^3)</f>
        <v>4.7647058823529411E-11</v>
      </c>
      <c r="G3" s="3">
        <v>4.1609999999999996</v>
      </c>
      <c r="H3" s="3">
        <f>440*10^-9</f>
        <v>4.4000000000000002E-7</v>
      </c>
      <c r="I3" s="3">
        <f>1.6*10^-6</f>
        <v>1.5999999999999999E-6</v>
      </c>
      <c r="J3" s="4">
        <f>(H3/5)/(6.8*10^3)</f>
        <v>1.2941176470588236E-11</v>
      </c>
      <c r="K3" s="5">
        <f>(I3/5)/(6.8*10^3)</f>
        <v>4.7058823529411763E-11</v>
      </c>
      <c r="L3" s="3">
        <v>3.7210000000000001</v>
      </c>
      <c r="M3" s="3">
        <f>480*10^-9</f>
        <v>4.8000000000000006E-7</v>
      </c>
      <c r="N3" s="3">
        <f>1.46*10^-6</f>
        <v>1.46E-6</v>
      </c>
      <c r="O3" s="4">
        <f>(M3/5)/(6.8*10^3)</f>
        <v>1.4117647058823532E-11</v>
      </c>
      <c r="P3" s="11">
        <f>(N3/5)/(6.8*10^3)</f>
        <v>4.2941176470588236E-11</v>
      </c>
    </row>
    <row r="4" spans="1:16" ht="15.95" x14ac:dyDescent="0.2">
      <c r="A4" s="2"/>
      <c r="B4" s="3">
        <v>4.1609999999999996</v>
      </c>
      <c r="C4" s="3">
        <f t="shared" ref="C4:C7" si="0">430*10^-9</f>
        <v>4.3000000000000001E-7</v>
      </c>
      <c r="D4" s="3">
        <f>1.64*10^-6</f>
        <v>1.6399999999999998E-6</v>
      </c>
      <c r="E4" s="4">
        <f t="shared" ref="E4:F7" si="1">(C4/5)/(6.8*10^3)</f>
        <v>1.2647058823529412E-11</v>
      </c>
      <c r="F4" s="5">
        <f t="shared" si="1"/>
        <v>4.8235294117647052E-11</v>
      </c>
      <c r="G4" s="3">
        <v>4.1609999999999996</v>
      </c>
      <c r="H4" s="3">
        <f t="shared" ref="H4:H6" si="2">430*10^-9</f>
        <v>4.3000000000000001E-7</v>
      </c>
      <c r="I4" s="3">
        <f>1.62*10^-6</f>
        <v>1.6199999999999999E-6</v>
      </c>
      <c r="J4" s="4">
        <f t="shared" ref="J4:K7" si="3">(H4/5)/(6.8*10^3)</f>
        <v>1.2647058823529412E-11</v>
      </c>
      <c r="K4" s="5">
        <f t="shared" si="3"/>
        <v>4.7647058823529411E-11</v>
      </c>
      <c r="L4" s="3">
        <v>3.7210000000000001</v>
      </c>
      <c r="M4" s="3">
        <f>500*10^-9</f>
        <v>5.0000000000000008E-7</v>
      </c>
      <c r="N4" s="3">
        <f>1.5*10^-6</f>
        <v>1.5E-6</v>
      </c>
      <c r="O4" s="4">
        <f t="shared" ref="O4:P7" si="4">(M4/5)/(6.8*10^3)</f>
        <v>1.4705882352941179E-11</v>
      </c>
      <c r="P4" s="5">
        <f t="shared" si="4"/>
        <v>4.4117647058823525E-11</v>
      </c>
    </row>
    <row r="5" spans="1:16" ht="15.95" x14ac:dyDescent="0.2">
      <c r="A5" s="2"/>
      <c r="B5" s="3">
        <v>4.1609999999999996</v>
      </c>
      <c r="C5" s="3">
        <f t="shared" si="0"/>
        <v>4.3000000000000001E-7</v>
      </c>
      <c r="D5" s="3">
        <f t="shared" ref="D5" si="5">1.62*10^-6</f>
        <v>1.6199999999999999E-6</v>
      </c>
      <c r="E5" s="4">
        <f t="shared" si="1"/>
        <v>1.2647058823529412E-11</v>
      </c>
      <c r="F5" s="5">
        <f t="shared" si="1"/>
        <v>4.7647058823529411E-11</v>
      </c>
      <c r="G5" s="3">
        <v>4.1609999999999996</v>
      </c>
      <c r="H5" s="3">
        <f t="shared" si="2"/>
        <v>4.3000000000000001E-7</v>
      </c>
      <c r="I5" s="3">
        <f>1.66*10^-6</f>
        <v>1.6599999999999998E-6</v>
      </c>
      <c r="J5" s="4">
        <f t="shared" si="3"/>
        <v>1.2647058823529412E-11</v>
      </c>
      <c r="K5" s="5">
        <f t="shared" si="3"/>
        <v>4.88235294117647E-11</v>
      </c>
      <c r="L5" s="3">
        <v>3.681</v>
      </c>
      <c r="M5" s="3">
        <f>490*10^-9</f>
        <v>4.9000000000000007E-7</v>
      </c>
      <c r="N5" s="3">
        <f t="shared" ref="N5:N7" si="6">1.46*10^-6</f>
        <v>1.46E-6</v>
      </c>
      <c r="O5" s="4">
        <f t="shared" si="4"/>
        <v>1.4411764705882355E-11</v>
      </c>
      <c r="P5" s="5">
        <f t="shared" si="4"/>
        <v>4.2941176470588236E-11</v>
      </c>
    </row>
    <row r="6" spans="1:16" ht="15.95" x14ac:dyDescent="0.2">
      <c r="A6" s="2"/>
      <c r="B6" s="3">
        <v>4.1609999999999996</v>
      </c>
      <c r="C6" s="3">
        <f>440*10^-9</f>
        <v>4.4000000000000002E-7</v>
      </c>
      <c r="D6" s="3">
        <f>1.6*10^-6</f>
        <v>1.5999999999999999E-6</v>
      </c>
      <c r="E6" s="4">
        <f t="shared" si="1"/>
        <v>1.2941176470588236E-11</v>
      </c>
      <c r="F6" s="5">
        <f t="shared" si="1"/>
        <v>4.7058823529411763E-11</v>
      </c>
      <c r="G6" s="3">
        <v>4.1609999999999996</v>
      </c>
      <c r="H6" s="3">
        <f t="shared" si="2"/>
        <v>4.3000000000000001E-7</v>
      </c>
      <c r="I6" s="3">
        <f>1.62*10^-6</f>
        <v>1.6199999999999999E-6</v>
      </c>
      <c r="J6" s="4">
        <f t="shared" si="3"/>
        <v>1.2647058823529412E-11</v>
      </c>
      <c r="K6" s="5">
        <f t="shared" si="3"/>
        <v>4.7647058823529411E-11</v>
      </c>
      <c r="L6" s="3">
        <v>3.681</v>
      </c>
      <c r="M6" s="3">
        <f>510*10^-9</f>
        <v>5.0999999999999999E-7</v>
      </c>
      <c r="N6" s="3">
        <f t="shared" si="6"/>
        <v>1.46E-6</v>
      </c>
      <c r="O6" s="4">
        <f t="shared" si="4"/>
        <v>1.5E-11</v>
      </c>
      <c r="P6" s="5">
        <f t="shared" si="4"/>
        <v>4.2941176470588236E-11</v>
      </c>
    </row>
    <row r="7" spans="1:16" ht="15.95" x14ac:dyDescent="0.2">
      <c r="A7" s="2"/>
      <c r="B7" s="3">
        <v>4.1609999999999996</v>
      </c>
      <c r="C7" s="3">
        <f t="shared" si="0"/>
        <v>4.3000000000000001E-7</v>
      </c>
      <c r="D7" s="3">
        <f>1.6*10^-6</f>
        <v>1.5999999999999999E-6</v>
      </c>
      <c r="E7" s="4">
        <f t="shared" si="1"/>
        <v>1.2647058823529412E-11</v>
      </c>
      <c r="F7" s="5">
        <f t="shared" si="1"/>
        <v>4.7058823529411763E-11</v>
      </c>
      <c r="G7" s="3">
        <v>4.1609999999999996</v>
      </c>
      <c r="H7" s="3">
        <f>450*10^-9</f>
        <v>4.5000000000000003E-7</v>
      </c>
      <c r="I7" s="3">
        <f>1.64*10^-6</f>
        <v>1.6399999999999998E-6</v>
      </c>
      <c r="J7" s="4">
        <f t="shared" si="3"/>
        <v>1.323529411764706E-11</v>
      </c>
      <c r="K7" s="5">
        <f t="shared" si="3"/>
        <v>4.8235294117647052E-11</v>
      </c>
      <c r="L7" s="3">
        <v>3.681</v>
      </c>
      <c r="M7" s="3">
        <f>520*10^-9</f>
        <v>5.2E-7</v>
      </c>
      <c r="N7" s="3">
        <f t="shared" si="6"/>
        <v>1.46E-6</v>
      </c>
      <c r="O7" s="4">
        <f t="shared" si="4"/>
        <v>1.5294117647058824E-11</v>
      </c>
      <c r="P7" s="5">
        <f t="shared" si="4"/>
        <v>4.2941176470588236E-11</v>
      </c>
    </row>
    <row r="8" spans="1:16" x14ac:dyDescent="0.2">
      <c r="A8" s="6" t="s">
        <v>7</v>
      </c>
      <c r="B8" s="6">
        <f>AVERAGE(B3:B7)</f>
        <v>4.1609999999999996</v>
      </c>
      <c r="C8" s="6">
        <f t="shared" ref="C8:P8" si="7">AVERAGE(C3:C7)</f>
        <v>4.32E-7</v>
      </c>
      <c r="D8" s="6">
        <f t="shared" si="7"/>
        <v>1.6160000000000001E-6</v>
      </c>
      <c r="E8" s="6">
        <f t="shared" si="7"/>
        <v>1.2705882352941177E-11</v>
      </c>
      <c r="F8" s="6">
        <f t="shared" si="7"/>
        <v>4.7529411764705876E-11</v>
      </c>
      <c r="G8" s="6">
        <f t="shared" si="7"/>
        <v>4.1609999999999996</v>
      </c>
      <c r="H8" s="6">
        <f t="shared" si="7"/>
        <v>4.3599999999999999E-7</v>
      </c>
      <c r="I8" s="6">
        <f t="shared" si="7"/>
        <v>1.6279999999999997E-6</v>
      </c>
      <c r="J8" s="6">
        <f t="shared" si="7"/>
        <v>1.2823529411764708E-11</v>
      </c>
      <c r="K8" s="6">
        <f t="shared" si="7"/>
        <v>4.7882352941176468E-11</v>
      </c>
      <c r="L8" s="6">
        <f t="shared" si="7"/>
        <v>3.6970000000000005</v>
      </c>
      <c r="M8" s="6">
        <f t="shared" si="7"/>
        <v>5.0000000000000008E-7</v>
      </c>
      <c r="N8" s="6">
        <f t="shared" si="7"/>
        <v>1.4679999999999998E-6</v>
      </c>
      <c r="O8" s="6">
        <f t="shared" si="7"/>
        <v>1.4705882352941179E-11</v>
      </c>
      <c r="P8" s="6">
        <f t="shared" si="7"/>
        <v>4.3176470588235293E-11</v>
      </c>
    </row>
    <row r="9" spans="1:16" ht="15.95" x14ac:dyDescent="0.2">
      <c r="A9" s="2">
        <v>2</v>
      </c>
      <c r="B9" s="3">
        <v>3.8410000000000002</v>
      </c>
      <c r="C9" s="3">
        <f>410*10^-9</f>
        <v>4.1000000000000004E-7</v>
      </c>
      <c r="D9" s="3">
        <f>1.5*10^-6</f>
        <v>1.5E-6</v>
      </c>
      <c r="E9" s="4">
        <f>(C9/5)/(6.8*10^3)</f>
        <v>1.2058823529411766E-11</v>
      </c>
      <c r="F9" s="5">
        <f>(D9/5)/(6.8*10^3)</f>
        <v>4.4117647058823525E-11</v>
      </c>
      <c r="G9" s="3">
        <v>3.9209999999999998</v>
      </c>
      <c r="H9" s="3">
        <f>410*10^-9</f>
        <v>4.1000000000000004E-7</v>
      </c>
      <c r="I9" s="3">
        <f>1.52*10^-6</f>
        <v>1.5199999999999998E-6</v>
      </c>
      <c r="J9" s="4">
        <f>(H9/5)/(6.8*10^3)</f>
        <v>1.2058823529411766E-11</v>
      </c>
      <c r="K9" s="5">
        <f>(I9/5)/(6.8*10^3)</f>
        <v>4.4705882352941173E-11</v>
      </c>
      <c r="L9" s="3">
        <v>3.8809999999999998</v>
      </c>
      <c r="M9" s="3">
        <f>450*10^-9</f>
        <v>4.5000000000000003E-7</v>
      </c>
      <c r="N9" s="3">
        <f>1.58*10^-6</f>
        <v>1.5799999999999999E-6</v>
      </c>
      <c r="O9" s="4">
        <f>(M9/5)/(6.8*10^3)</f>
        <v>1.323529411764706E-11</v>
      </c>
      <c r="P9" s="5">
        <f>(N9/5)/(6.8*10^3)</f>
        <v>4.6470588235294116E-11</v>
      </c>
    </row>
    <row r="10" spans="1:16" ht="15.95" x14ac:dyDescent="0.2">
      <c r="A10" s="2"/>
      <c r="B10" s="3">
        <v>3.8809999999999998</v>
      </c>
      <c r="C10" s="3">
        <f>410*10^-9</f>
        <v>4.1000000000000004E-7</v>
      </c>
      <c r="D10" s="3">
        <f>1.54*10^-6</f>
        <v>1.5399999999999999E-6</v>
      </c>
      <c r="E10" s="4">
        <f>(C10/5)/(6.8*10^3)</f>
        <v>1.2058823529411766E-11</v>
      </c>
      <c r="F10" s="5">
        <f t="shared" ref="E10:F13" si="8">(D10/5)/(6.8*10^3)</f>
        <v>4.5294117647058814E-11</v>
      </c>
      <c r="G10" s="3">
        <v>3.8809999999999998</v>
      </c>
      <c r="H10" s="3">
        <f>400*10^-9</f>
        <v>4.0000000000000003E-7</v>
      </c>
      <c r="I10" s="3">
        <f>1.52*10^-6</f>
        <v>1.5199999999999998E-6</v>
      </c>
      <c r="J10" s="4">
        <f t="shared" ref="J10:K13" si="9">(H10/5)/(6.8*10^3)</f>
        <v>1.1764705882352941E-11</v>
      </c>
      <c r="K10" s="5">
        <f t="shared" si="9"/>
        <v>4.4705882352941173E-11</v>
      </c>
      <c r="L10" s="3">
        <v>3.8410000000000002</v>
      </c>
      <c r="M10" s="3">
        <f>430*10^-9</f>
        <v>4.3000000000000001E-7</v>
      </c>
      <c r="N10" s="3">
        <f>1.58*10^-6</f>
        <v>1.5799999999999999E-6</v>
      </c>
      <c r="O10" s="4">
        <f t="shared" ref="O10:P13" si="10">(M10/5)/(6.8*10^3)</f>
        <v>1.2647058823529412E-11</v>
      </c>
      <c r="P10" s="5">
        <f t="shared" si="10"/>
        <v>4.6470588235294116E-11</v>
      </c>
    </row>
    <row r="11" spans="1:16" ht="15.95" x14ac:dyDescent="0.2">
      <c r="A11" s="2"/>
      <c r="B11" s="3">
        <v>3.8809999999999998</v>
      </c>
      <c r="C11" s="3">
        <f>390*10^-9</f>
        <v>3.9000000000000002E-7</v>
      </c>
      <c r="D11" s="3">
        <f t="shared" ref="D11:D13" si="11">1.54*10^-6</f>
        <v>1.5399999999999999E-6</v>
      </c>
      <c r="E11" s="4">
        <f t="shared" si="8"/>
        <v>1.1470588235294119E-11</v>
      </c>
      <c r="F11" s="5">
        <f t="shared" si="8"/>
        <v>4.5294117647058814E-11</v>
      </c>
      <c r="G11" s="3">
        <v>3.8809999999999998</v>
      </c>
      <c r="H11" s="3">
        <f>410*10^-9</f>
        <v>4.1000000000000004E-7</v>
      </c>
      <c r="I11" s="3">
        <f>1.5*10^-6</f>
        <v>1.5E-6</v>
      </c>
      <c r="J11" s="4">
        <f t="shared" si="9"/>
        <v>1.2058823529411766E-11</v>
      </c>
      <c r="K11" s="5">
        <f t="shared" si="9"/>
        <v>4.4117647058823525E-11</v>
      </c>
      <c r="L11" s="3">
        <v>3.8809999999999998</v>
      </c>
      <c r="M11" s="3">
        <f t="shared" ref="M11:M12" si="12">430*10^-9</f>
        <v>4.3000000000000001E-7</v>
      </c>
      <c r="N11" s="3">
        <f>1.6*10^-6</f>
        <v>1.5999999999999999E-6</v>
      </c>
      <c r="O11" s="4">
        <f t="shared" si="10"/>
        <v>1.2647058823529412E-11</v>
      </c>
      <c r="P11" s="5">
        <f t="shared" si="10"/>
        <v>4.7058823529411763E-11</v>
      </c>
    </row>
    <row r="12" spans="1:16" ht="15.95" x14ac:dyDescent="0.2">
      <c r="A12" s="2"/>
      <c r="B12" s="3">
        <v>3.8809999999999998</v>
      </c>
      <c r="C12" s="3">
        <f>410*10^-9</f>
        <v>4.1000000000000004E-7</v>
      </c>
      <c r="D12" s="3">
        <f t="shared" si="11"/>
        <v>1.5399999999999999E-6</v>
      </c>
      <c r="E12" s="4">
        <f t="shared" si="8"/>
        <v>1.2058823529411766E-11</v>
      </c>
      <c r="F12" s="5">
        <f t="shared" si="8"/>
        <v>4.5294117647058814E-11</v>
      </c>
      <c r="G12" s="3">
        <v>3.8809999999999998</v>
      </c>
      <c r="H12" s="3">
        <f t="shared" ref="H12:H13" si="13">410*10^-9</f>
        <v>4.1000000000000004E-7</v>
      </c>
      <c r="I12" s="3">
        <f>1.5*10^-6</f>
        <v>1.5E-6</v>
      </c>
      <c r="J12" s="4">
        <f t="shared" si="9"/>
        <v>1.2058823529411766E-11</v>
      </c>
      <c r="K12" s="5">
        <f t="shared" si="9"/>
        <v>4.4117647058823525E-11</v>
      </c>
      <c r="L12" s="3">
        <v>3.8809999999999998</v>
      </c>
      <c r="M12" s="3">
        <f t="shared" si="12"/>
        <v>4.3000000000000001E-7</v>
      </c>
      <c r="N12" s="3">
        <f>1.6*10^-6</f>
        <v>1.5999999999999999E-6</v>
      </c>
      <c r="O12" s="4">
        <f t="shared" si="10"/>
        <v>1.2647058823529412E-11</v>
      </c>
      <c r="P12" s="5">
        <f t="shared" si="10"/>
        <v>4.7058823529411763E-11</v>
      </c>
    </row>
    <row r="13" spans="1:16" ht="15.95" x14ac:dyDescent="0.2">
      <c r="A13" s="7"/>
      <c r="B13" s="3">
        <v>3.8809999999999998</v>
      </c>
      <c r="C13" s="3">
        <f>400*10^-9</f>
        <v>4.0000000000000003E-7</v>
      </c>
      <c r="D13" s="3">
        <f t="shared" si="11"/>
        <v>1.5399999999999999E-6</v>
      </c>
      <c r="E13" s="4">
        <f t="shared" si="8"/>
        <v>1.1764705882352941E-11</v>
      </c>
      <c r="F13" s="5">
        <f t="shared" si="8"/>
        <v>4.5294117647058814E-11</v>
      </c>
      <c r="G13" s="3">
        <v>3.8809999999999998</v>
      </c>
      <c r="H13" s="3">
        <f t="shared" si="13"/>
        <v>4.1000000000000004E-7</v>
      </c>
      <c r="I13" s="3">
        <f>1.54*10^-6</f>
        <v>1.5399999999999999E-6</v>
      </c>
      <c r="J13" s="4">
        <f t="shared" si="9"/>
        <v>1.2058823529411766E-11</v>
      </c>
      <c r="K13" s="5">
        <f t="shared" si="9"/>
        <v>4.5294117647058814E-11</v>
      </c>
      <c r="L13" s="3">
        <v>3.8809999999999998</v>
      </c>
      <c r="M13" s="3">
        <f>440*10^-9</f>
        <v>4.4000000000000002E-7</v>
      </c>
      <c r="N13" s="3">
        <f>1.58*10^-6</f>
        <v>1.5799999999999999E-6</v>
      </c>
      <c r="O13" s="4">
        <f t="shared" si="10"/>
        <v>1.2941176470588236E-11</v>
      </c>
      <c r="P13" s="5">
        <f t="shared" si="10"/>
        <v>4.6470588235294116E-11</v>
      </c>
    </row>
    <row r="14" spans="1:16" x14ac:dyDescent="0.2">
      <c r="A14" s="8" t="s">
        <v>7</v>
      </c>
      <c r="B14" s="6">
        <f>AVERAGE(B9:B13)</f>
        <v>3.8729999999999998</v>
      </c>
      <c r="C14" s="6">
        <f t="shared" ref="C14:F14" si="14">AVERAGE(C9:C13)</f>
        <v>4.0400000000000002E-7</v>
      </c>
      <c r="D14" s="6">
        <f t="shared" si="14"/>
        <v>1.5319999999999999E-6</v>
      </c>
      <c r="E14" s="6">
        <f t="shared" si="14"/>
        <v>1.1882352941176472E-11</v>
      </c>
      <c r="F14" s="6">
        <f t="shared" si="14"/>
        <v>4.5058823529411751E-11</v>
      </c>
      <c r="G14" s="6">
        <f>AVERAGE(G9:G13)</f>
        <v>3.8890000000000002</v>
      </c>
      <c r="H14" s="6">
        <f t="shared" ref="H14:K14" si="15">AVERAGE(H9:H13)</f>
        <v>4.0800000000000005E-7</v>
      </c>
      <c r="I14" s="6">
        <f t="shared" si="15"/>
        <v>1.516E-6</v>
      </c>
      <c r="J14" s="6">
        <f t="shared" si="15"/>
        <v>1.2000000000000002E-11</v>
      </c>
      <c r="K14" s="6">
        <f t="shared" si="15"/>
        <v>4.4588235294117638E-11</v>
      </c>
      <c r="L14" s="6">
        <f>AVERAGE(L9:L13)</f>
        <v>3.8729999999999998</v>
      </c>
      <c r="M14" s="6">
        <f t="shared" ref="M14:P14" si="16">AVERAGE(M9:M13)</f>
        <v>4.3600000000000004E-7</v>
      </c>
      <c r="N14" s="6">
        <f t="shared" si="16"/>
        <v>1.5880000000000001E-6</v>
      </c>
      <c r="O14" s="6">
        <f t="shared" si="16"/>
        <v>1.2823529411764705E-11</v>
      </c>
      <c r="P14" s="6">
        <f t="shared" si="16"/>
        <v>4.6705882352941172E-11</v>
      </c>
    </row>
    <row r="15" spans="1:16" ht="15.95" x14ac:dyDescent="0.2">
      <c r="A15" s="2">
        <v>3</v>
      </c>
      <c r="B15" s="3">
        <v>4.0010000000000003</v>
      </c>
      <c r="C15" s="3">
        <f>550*10^-9</f>
        <v>5.5000000000000003E-7</v>
      </c>
      <c r="D15" s="3">
        <f>3.36*10^-6</f>
        <v>3.3599999999999996E-6</v>
      </c>
      <c r="E15" s="4">
        <f>(C15/5)/(6.8*10^3)</f>
        <v>1.6176470588235295E-11</v>
      </c>
      <c r="F15" s="5">
        <f>(D15/5)/(6.8*10^3)</f>
        <v>9.8823529411764682E-11</v>
      </c>
      <c r="G15" s="3">
        <v>4.0010000000000003</v>
      </c>
      <c r="H15" s="3">
        <f>510*10^-9</f>
        <v>5.0999999999999999E-7</v>
      </c>
      <c r="I15" s="3">
        <f>3.2*10^-6</f>
        <v>3.1999999999999999E-6</v>
      </c>
      <c r="J15" s="4">
        <f>(H15/5)/(6.8*10^3)</f>
        <v>1.5E-11</v>
      </c>
      <c r="K15" s="5">
        <f>(I15/5)/(6.8*10^3)</f>
        <v>9.4117647058823527E-11</v>
      </c>
      <c r="L15" s="3">
        <v>4.0010000000000003</v>
      </c>
      <c r="M15" s="3">
        <f>550*10^-9</f>
        <v>5.5000000000000003E-7</v>
      </c>
      <c r="N15" s="3">
        <f>3.22*10^-6</f>
        <v>3.2200000000000001E-6</v>
      </c>
      <c r="O15" s="4">
        <f>(M15/5)/(6.8*10^3)</f>
        <v>1.6176470588235295E-11</v>
      </c>
      <c r="P15" s="5">
        <f>(N15/5)/(6.8*10^3)</f>
        <v>9.4705882352941181E-11</v>
      </c>
    </row>
    <row r="16" spans="1:16" ht="15.95" x14ac:dyDescent="0.2">
      <c r="A16" s="2"/>
      <c r="B16" s="3">
        <v>4.0010000000000003</v>
      </c>
      <c r="C16" s="3">
        <f>540*10^-9</f>
        <v>5.4000000000000002E-7</v>
      </c>
      <c r="D16" s="3">
        <f>3.2*10^-6</f>
        <v>3.1999999999999999E-6</v>
      </c>
      <c r="E16" s="4">
        <f t="shared" ref="E16:F19" si="17">(C16/5)/(6.8*10^3)</f>
        <v>1.5882352941176471E-11</v>
      </c>
      <c r="F16" s="5">
        <f t="shared" si="17"/>
        <v>9.4117647058823527E-11</v>
      </c>
      <c r="G16" s="3">
        <v>4.0010000000000003</v>
      </c>
      <c r="H16" s="3">
        <f>520*10^-9</f>
        <v>5.2E-7</v>
      </c>
      <c r="I16" s="3">
        <f>3.18*10^-6</f>
        <v>3.18E-6</v>
      </c>
      <c r="J16" s="4">
        <f t="shared" ref="J16:K19" si="18">(H16/5)/(6.8*10^3)</f>
        <v>1.5294117647058824E-11</v>
      </c>
      <c r="K16" s="5">
        <f t="shared" si="18"/>
        <v>9.3529411764705886E-11</v>
      </c>
      <c r="L16" s="3">
        <v>4.0010000000000003</v>
      </c>
      <c r="M16" s="3">
        <f>560*10^-9</f>
        <v>5.6000000000000004E-7</v>
      </c>
      <c r="N16" s="3">
        <f>3.3*10^-6</f>
        <v>3.2999999999999997E-6</v>
      </c>
      <c r="O16" s="4">
        <f t="shared" ref="O16:P19" si="19">(M16/5)/(6.8*10^3)</f>
        <v>1.6470588235294119E-11</v>
      </c>
      <c r="P16" s="5">
        <f t="shared" si="19"/>
        <v>9.7058823529411759E-11</v>
      </c>
    </row>
    <row r="17" spans="1:16" ht="15.95" x14ac:dyDescent="0.2">
      <c r="A17" s="2"/>
      <c r="B17" s="3">
        <v>4.0010000000000003</v>
      </c>
      <c r="C17" s="3">
        <f>570*10^-9</f>
        <v>5.7000000000000005E-7</v>
      </c>
      <c r="D17" s="3">
        <f>3.28*10^-6</f>
        <v>3.2799999999999995E-6</v>
      </c>
      <c r="E17" s="4">
        <f t="shared" si="17"/>
        <v>1.6764705882352943E-11</v>
      </c>
      <c r="F17" s="5">
        <f t="shared" si="17"/>
        <v>9.6470588235294105E-11</v>
      </c>
      <c r="G17" s="3">
        <v>4.0010000000000003</v>
      </c>
      <c r="H17" s="3">
        <f>500*10^-9</f>
        <v>5.0000000000000008E-7</v>
      </c>
      <c r="I17" s="3">
        <f>3.38*10^-6</f>
        <v>3.3799999999999998E-6</v>
      </c>
      <c r="J17" s="4">
        <f t="shared" si="18"/>
        <v>1.4705882352941179E-11</v>
      </c>
      <c r="K17" s="5">
        <f t="shared" si="18"/>
        <v>9.9411764705882349E-11</v>
      </c>
      <c r="L17" s="3">
        <v>4.0010000000000003</v>
      </c>
      <c r="M17" s="3">
        <f>570*10^-9</f>
        <v>5.7000000000000005E-7</v>
      </c>
      <c r="N17" s="3">
        <f>3.32*10^-6</f>
        <v>3.3199999999999996E-6</v>
      </c>
      <c r="O17" s="4">
        <f t="shared" si="19"/>
        <v>1.6764705882352943E-11</v>
      </c>
      <c r="P17" s="5">
        <f t="shared" si="19"/>
        <v>9.76470588235294E-11</v>
      </c>
    </row>
    <row r="18" spans="1:16" ht="15.95" x14ac:dyDescent="0.2">
      <c r="A18" s="2"/>
      <c r="B18" s="3">
        <v>4.0010000000000003</v>
      </c>
      <c r="C18" s="3">
        <f>570*10^-9</f>
        <v>5.7000000000000005E-7</v>
      </c>
      <c r="D18" s="3">
        <f>3.14*10^-6</f>
        <v>3.14E-6</v>
      </c>
      <c r="E18" s="4">
        <f t="shared" si="17"/>
        <v>1.6764705882352943E-11</v>
      </c>
      <c r="F18" s="5">
        <f t="shared" si="17"/>
        <v>9.2352941176470577E-11</v>
      </c>
      <c r="G18" s="3">
        <v>4.0810000000000004</v>
      </c>
      <c r="H18" s="3">
        <f>470*10^-9</f>
        <v>4.7000000000000005E-7</v>
      </c>
      <c r="I18" s="3">
        <f>3.18*10^-6</f>
        <v>3.18E-6</v>
      </c>
      <c r="J18" s="4">
        <f t="shared" si="18"/>
        <v>1.3823529411764708E-11</v>
      </c>
      <c r="K18" s="5">
        <f t="shared" si="18"/>
        <v>9.3529411764705886E-11</v>
      </c>
      <c r="L18" s="3">
        <v>4.0010000000000003</v>
      </c>
      <c r="M18" s="3">
        <f>550*10^-9</f>
        <v>5.5000000000000003E-7</v>
      </c>
      <c r="N18" s="3">
        <f>3.36*10^-6</f>
        <v>3.3599999999999996E-6</v>
      </c>
      <c r="O18" s="4">
        <f t="shared" si="19"/>
        <v>1.6176470588235295E-11</v>
      </c>
      <c r="P18" s="5">
        <f t="shared" si="19"/>
        <v>9.8823529411764682E-11</v>
      </c>
    </row>
    <row r="19" spans="1:16" ht="15.95" x14ac:dyDescent="0.2">
      <c r="A19" s="7"/>
      <c r="B19" s="3">
        <v>4.0010000000000003</v>
      </c>
      <c r="C19" s="3">
        <f>490*10^-9</f>
        <v>4.9000000000000007E-7</v>
      </c>
      <c r="D19" s="3">
        <f>3.18*10^-6</f>
        <v>3.18E-6</v>
      </c>
      <c r="E19" s="4">
        <f t="shared" si="17"/>
        <v>1.4411764705882355E-11</v>
      </c>
      <c r="F19" s="5">
        <f t="shared" si="17"/>
        <v>9.3529411764705886E-11</v>
      </c>
      <c r="G19" s="3">
        <v>4.0010000000000003</v>
      </c>
      <c r="H19" s="3">
        <f>530*10^-9</f>
        <v>5.3000000000000001E-7</v>
      </c>
      <c r="I19" s="3">
        <f>3.26*10^-6</f>
        <v>3.2599999999999997E-6</v>
      </c>
      <c r="J19" s="4">
        <f t="shared" si="18"/>
        <v>1.5588235294117648E-11</v>
      </c>
      <c r="K19" s="5">
        <f t="shared" si="18"/>
        <v>9.5882352941176463E-11</v>
      </c>
      <c r="L19" s="3">
        <v>4.0810000000000004</v>
      </c>
      <c r="M19" s="3">
        <f>570*10^-9</f>
        <v>5.7000000000000005E-7</v>
      </c>
      <c r="N19" s="3">
        <f>3.42*10^-6</f>
        <v>3.4199999999999999E-6</v>
      </c>
      <c r="O19" s="4">
        <f t="shared" si="19"/>
        <v>1.6764705882352943E-11</v>
      </c>
      <c r="P19" s="5">
        <f t="shared" si="19"/>
        <v>1.0058823529411763E-10</v>
      </c>
    </row>
    <row r="20" spans="1:16" x14ac:dyDescent="0.2">
      <c r="A20" s="8" t="s">
        <v>7</v>
      </c>
      <c r="B20" s="9">
        <f>AVERAGE(B15:B19)</f>
        <v>4.0010000000000003</v>
      </c>
      <c r="C20" s="6">
        <f t="shared" ref="C20:P20" si="20">AVERAGE(C15:C19)</f>
        <v>5.44E-7</v>
      </c>
      <c r="D20" s="6">
        <f t="shared" si="20"/>
        <v>3.2320000000000001E-6</v>
      </c>
      <c r="E20" s="6">
        <f t="shared" si="20"/>
        <v>1.6000000000000003E-11</v>
      </c>
      <c r="F20" s="6">
        <f t="shared" si="20"/>
        <v>9.5058823529411753E-11</v>
      </c>
      <c r="G20" s="6">
        <f t="shared" si="20"/>
        <v>4.0170000000000003</v>
      </c>
      <c r="H20" s="6">
        <f t="shared" si="20"/>
        <v>5.06E-7</v>
      </c>
      <c r="I20" s="9">
        <f t="shared" si="20"/>
        <v>3.2400000000000003E-6</v>
      </c>
      <c r="J20" s="6">
        <f t="shared" si="20"/>
        <v>1.4882352941176475E-11</v>
      </c>
      <c r="K20" s="6">
        <f t="shared" si="20"/>
        <v>9.5294117647058809E-11</v>
      </c>
      <c r="L20" s="9">
        <f t="shared" si="20"/>
        <v>4.0170000000000003</v>
      </c>
      <c r="M20" s="6">
        <f t="shared" si="20"/>
        <v>5.5999999999999993E-7</v>
      </c>
      <c r="N20" s="9">
        <f t="shared" si="20"/>
        <v>3.3239999999999999E-6</v>
      </c>
      <c r="O20" s="6">
        <f t="shared" si="20"/>
        <v>1.6470588235294119E-11</v>
      </c>
      <c r="P20" s="6">
        <f t="shared" si="20"/>
        <v>9.7764705882352928E-11</v>
      </c>
    </row>
    <row r="21" spans="1:16" ht="15.95" x14ac:dyDescent="0.2">
      <c r="A21" s="2">
        <v>4</v>
      </c>
      <c r="B21" s="3">
        <f>196*10^-3</f>
        <v>0.19600000000000001</v>
      </c>
      <c r="C21" s="3">
        <f>5.04*10^-3</f>
        <v>5.0400000000000002E-3</v>
      </c>
      <c r="D21" s="3">
        <f>4.18*10^-3</f>
        <v>4.1799999999999997E-3</v>
      </c>
      <c r="E21" s="4">
        <f>(C21/5)/(6.8*10^3)</f>
        <v>1.4823529411764706E-7</v>
      </c>
      <c r="F21" s="5">
        <f>(D21/5)/(6.8*10^3)</f>
        <v>1.2294117647058823E-7</v>
      </c>
      <c r="G21" s="3">
        <f>180*10^-3</f>
        <v>0.18</v>
      </c>
      <c r="H21" s="3">
        <f>4.6*10^-6</f>
        <v>4.5999999999999992E-6</v>
      </c>
      <c r="I21" s="3">
        <f>3.9*10^-3</f>
        <v>3.8999999999999998E-3</v>
      </c>
      <c r="J21" s="4">
        <f>(H21/5)/(6.8*10^3)</f>
        <v>1.352941176470588E-10</v>
      </c>
      <c r="K21" s="5">
        <f>(I21/5)/(6.8*10^3)</f>
        <v>1.1470588235294118E-7</v>
      </c>
      <c r="L21" s="3">
        <f>328*10^-3</f>
        <v>0.32800000000000001</v>
      </c>
      <c r="M21" s="3">
        <f>5.375*10^-3</f>
        <v>5.3750000000000004E-3</v>
      </c>
      <c r="N21" s="3">
        <f>5.75*10^-6</f>
        <v>5.75E-6</v>
      </c>
      <c r="O21" s="4">
        <f>(M21/5)/(6.8*10^3)</f>
        <v>1.5808823529411764E-7</v>
      </c>
      <c r="P21" s="11">
        <f>(N21/5)/(6.8*10^3)</f>
        <v>1.6911764705882353E-10</v>
      </c>
    </row>
    <row r="22" spans="1:16" ht="15.95" x14ac:dyDescent="0.2">
      <c r="A22" s="2"/>
      <c r="B22" s="3">
        <f t="shared" ref="B22:B24" si="21">196*10^-3</f>
        <v>0.19600000000000001</v>
      </c>
      <c r="C22" s="3">
        <f>3.79*10^-3</f>
        <v>3.79E-3</v>
      </c>
      <c r="D22" s="3">
        <f>3.84*10^-3</f>
        <v>3.8400000000000001E-3</v>
      </c>
      <c r="E22" s="4">
        <f t="shared" ref="E22:E25" si="22">(C22/5)/(6.8*10^3)</f>
        <v>1.1147058823529411E-7</v>
      </c>
      <c r="F22" s="5">
        <f t="shared" ref="F22:F25" si="23">(D22/5)/(6.8*10^3)</f>
        <v>1.1294117647058823E-7</v>
      </c>
      <c r="G22" s="3">
        <f t="shared" ref="G22:G25" si="24">180*10^-3</f>
        <v>0.18</v>
      </c>
      <c r="H22" s="3">
        <f>2.93*10^-6</f>
        <v>2.9299999999999999E-6</v>
      </c>
      <c r="I22" s="3">
        <f>2.86*10^-3</f>
        <v>2.8600000000000001E-3</v>
      </c>
      <c r="J22" s="4">
        <f t="shared" ref="J22:J25" si="25">(H22/5)/(6.8*10^3)</f>
        <v>8.6176470588235286E-11</v>
      </c>
      <c r="K22" s="5">
        <f t="shared" ref="K22:K25" si="26">(I22/5)/(6.8*10^3)</f>
        <v>8.4117647058823529E-8</v>
      </c>
      <c r="L22" s="3">
        <f>322*10^-3</f>
        <v>0.32200000000000001</v>
      </c>
      <c r="M22" s="3">
        <f>6.325*10^-3</f>
        <v>6.3249999999999999E-3</v>
      </c>
      <c r="N22" s="3">
        <f>5.85*10^-6</f>
        <v>5.849999999999999E-6</v>
      </c>
      <c r="O22" s="4">
        <f t="shared" ref="O22:O25" si="27">(M22/5)/(6.8*10^3)</f>
        <v>1.8602941176470588E-7</v>
      </c>
      <c r="P22" s="5">
        <f t="shared" ref="P22:P25" si="28">(N22/5)/(6.8*10^3)</f>
        <v>1.7205882352941175E-10</v>
      </c>
    </row>
    <row r="23" spans="1:16" ht="15.95" x14ac:dyDescent="0.2">
      <c r="A23" s="2"/>
      <c r="B23" s="3">
        <f t="shared" si="21"/>
        <v>0.19600000000000001</v>
      </c>
      <c r="C23" s="3">
        <f>3.82*10^-3</f>
        <v>3.82E-3</v>
      </c>
      <c r="D23" s="3">
        <f>3.78*10^-3</f>
        <v>3.7799999999999999E-3</v>
      </c>
      <c r="E23" s="4">
        <f t="shared" si="22"/>
        <v>1.1235294117647059E-7</v>
      </c>
      <c r="F23" s="5">
        <f t="shared" si="23"/>
        <v>1.1117647058823529E-7</v>
      </c>
      <c r="G23" s="3">
        <f>184*10^-3</f>
        <v>0.184</v>
      </c>
      <c r="H23" s="3">
        <f>3.2*10^-6</f>
        <v>3.1999999999999999E-6</v>
      </c>
      <c r="I23" s="3">
        <f>5.14*10^-3</f>
        <v>5.1399999999999996E-3</v>
      </c>
      <c r="J23" s="4">
        <f t="shared" si="25"/>
        <v>9.4117647058823527E-11</v>
      </c>
      <c r="K23" s="5">
        <f t="shared" si="26"/>
        <v>1.5117647058823528E-7</v>
      </c>
      <c r="L23" s="3">
        <f>332*10^-3</f>
        <v>0.33200000000000002</v>
      </c>
      <c r="M23" s="3">
        <f>3.275*10^-3</f>
        <v>3.2750000000000001E-3</v>
      </c>
      <c r="N23" s="3">
        <f>3.3*10^-6</f>
        <v>3.2999999999999997E-6</v>
      </c>
      <c r="O23" s="4">
        <f t="shared" si="27"/>
        <v>9.6323529411764707E-8</v>
      </c>
      <c r="P23" s="5">
        <f t="shared" si="28"/>
        <v>9.7058823529411759E-11</v>
      </c>
    </row>
    <row r="24" spans="1:16" ht="15.95" x14ac:dyDescent="0.2">
      <c r="A24" s="2"/>
      <c r="B24" s="3">
        <f t="shared" si="21"/>
        <v>0.19600000000000001</v>
      </c>
      <c r="C24" s="3">
        <f>1.93*10^-3</f>
        <v>1.9300000000000001E-3</v>
      </c>
      <c r="D24" s="3">
        <f>2.02*10^-3</f>
        <v>2.0200000000000001E-3</v>
      </c>
      <c r="E24" s="4">
        <f t="shared" si="22"/>
        <v>5.6764705882352945E-8</v>
      </c>
      <c r="F24" s="5">
        <f t="shared" si="23"/>
        <v>5.9411764705882352E-8</v>
      </c>
      <c r="G24" s="3">
        <f t="shared" si="24"/>
        <v>0.18</v>
      </c>
      <c r="H24" s="3">
        <f>3.4*10^-6</f>
        <v>3.3999999999999996E-6</v>
      </c>
      <c r="I24" s="3">
        <f>3.62*10^-3</f>
        <v>3.6200000000000004E-3</v>
      </c>
      <c r="J24" s="4">
        <f t="shared" si="25"/>
        <v>9.9999999999999991E-11</v>
      </c>
      <c r="K24" s="5">
        <f t="shared" si="26"/>
        <v>1.0647058823529412E-7</v>
      </c>
      <c r="L24" s="3">
        <f>332*10^-3</f>
        <v>0.33200000000000002</v>
      </c>
      <c r="M24" s="3">
        <f>4.825*10^-3</f>
        <v>4.8250000000000003E-3</v>
      </c>
      <c r="N24" s="3">
        <f t="shared" ref="N24" si="29">5.75*10^-6</f>
        <v>5.75E-6</v>
      </c>
      <c r="O24" s="4">
        <f t="shared" si="27"/>
        <v>1.4191176470588237E-7</v>
      </c>
      <c r="P24" s="5">
        <f t="shared" si="28"/>
        <v>1.6911764705882353E-10</v>
      </c>
    </row>
    <row r="25" spans="1:16" ht="15.95" x14ac:dyDescent="0.2">
      <c r="A25" s="2"/>
      <c r="B25" s="3">
        <f>200*10^-3</f>
        <v>0.2</v>
      </c>
      <c r="C25" s="3">
        <f>2.96*10^-3</f>
        <v>2.96E-3</v>
      </c>
      <c r="D25" s="3">
        <f>3.02*10^-3</f>
        <v>3.0200000000000001E-3</v>
      </c>
      <c r="E25" s="4">
        <f t="shared" si="22"/>
        <v>8.7058823529411757E-8</v>
      </c>
      <c r="F25" s="5">
        <f t="shared" si="23"/>
        <v>8.8823529411764713E-8</v>
      </c>
      <c r="G25" s="3">
        <f t="shared" si="24"/>
        <v>0.18</v>
      </c>
      <c r="H25" s="3">
        <f>2.98*10^-6</f>
        <v>2.9799999999999998E-6</v>
      </c>
      <c r="I25" s="3">
        <f>2.88*10^-3</f>
        <v>2.8799999999999997E-3</v>
      </c>
      <c r="J25" s="4">
        <f t="shared" si="25"/>
        <v>8.7647058823529409E-11</v>
      </c>
      <c r="K25" s="5">
        <f t="shared" si="26"/>
        <v>8.4705882352941159E-8</v>
      </c>
      <c r="L25" s="3">
        <f>336*10^-3</f>
        <v>0.33600000000000002</v>
      </c>
      <c r="M25" s="3">
        <f>6.4*10^-3</f>
        <v>6.4000000000000003E-3</v>
      </c>
      <c r="N25" s="3">
        <f>5.9*10^-6</f>
        <v>5.9000000000000003E-6</v>
      </c>
      <c r="O25" s="4">
        <f t="shared" si="27"/>
        <v>1.8823529411764708E-7</v>
      </c>
      <c r="P25" s="5">
        <f t="shared" si="28"/>
        <v>1.7352941176470591E-10</v>
      </c>
    </row>
    <row r="26" spans="1:16" x14ac:dyDescent="0.2">
      <c r="A26" s="6" t="s">
        <v>7</v>
      </c>
      <c r="B26" s="6">
        <f>AVERAGE(B21:B25)</f>
        <v>0.1968</v>
      </c>
      <c r="C26" s="6">
        <f t="shared" ref="C26:P26" si="30">AVERAGE(C21:C25)</f>
        <v>3.5079999999999998E-3</v>
      </c>
      <c r="D26" s="6">
        <f t="shared" si="30"/>
        <v>3.3680000000000003E-3</v>
      </c>
      <c r="E26" s="6">
        <f t="shared" si="30"/>
        <v>1.031764705882353E-7</v>
      </c>
      <c r="F26" s="6">
        <f t="shared" si="30"/>
        <v>9.9058823529411772E-8</v>
      </c>
      <c r="G26" s="6">
        <f t="shared" si="30"/>
        <v>0.18079999999999999</v>
      </c>
      <c r="H26" s="6">
        <f t="shared" si="30"/>
        <v>3.4219999999999996E-6</v>
      </c>
      <c r="I26" s="6">
        <f t="shared" si="30"/>
        <v>3.6800000000000001E-3</v>
      </c>
      <c r="J26" s="6">
        <f t="shared" si="30"/>
        <v>1.006470588235294E-10</v>
      </c>
      <c r="K26" s="6">
        <f t="shared" si="30"/>
        <v>1.0823529411764705E-7</v>
      </c>
      <c r="L26" s="6">
        <f t="shared" si="30"/>
        <v>0.33</v>
      </c>
      <c r="M26" s="6">
        <f t="shared" si="30"/>
        <v>5.2399999999999999E-3</v>
      </c>
      <c r="N26" s="6">
        <f t="shared" si="30"/>
        <v>5.31E-6</v>
      </c>
      <c r="O26" s="6">
        <f t="shared" si="30"/>
        <v>1.5411764705882352E-7</v>
      </c>
      <c r="P26" s="6">
        <f t="shared" si="30"/>
        <v>1.5617647058823526E-10</v>
      </c>
    </row>
    <row r="27" spans="1:16" ht="15.95" x14ac:dyDescent="0.2">
      <c r="A27" s="2">
        <v>5</v>
      </c>
      <c r="B27" s="3">
        <v>4.0810000000000004</v>
      </c>
      <c r="C27" s="3">
        <f>430*10^-9</f>
        <v>4.3000000000000001E-7</v>
      </c>
      <c r="D27" s="3">
        <f>1.58*10^-6</f>
        <v>1.5799999999999999E-6</v>
      </c>
      <c r="E27" s="4">
        <f>(C27/5)/(6.8*10^3)</f>
        <v>1.2647058823529412E-11</v>
      </c>
      <c r="F27" s="5">
        <f>(D27/5)/(6.8*10^3)</f>
        <v>4.6470588235294116E-11</v>
      </c>
      <c r="G27" s="3">
        <v>4.0010000000000003</v>
      </c>
      <c r="H27" s="3">
        <f>460*10^-9</f>
        <v>4.6000000000000004E-7</v>
      </c>
      <c r="I27" s="3">
        <f>2.98*10^-6</f>
        <v>2.9799999999999998E-6</v>
      </c>
      <c r="J27" s="4">
        <f>(H27/5)/(6.8*10^3)</f>
        <v>1.3529411764705882E-11</v>
      </c>
      <c r="K27" s="5">
        <f>(I27/5)/(6.8*10^3)</f>
        <v>8.7647058823529409E-11</v>
      </c>
      <c r="L27" s="3">
        <v>4.0010000000000003</v>
      </c>
      <c r="M27" s="3">
        <f>430*10^-9</f>
        <v>4.3000000000000001E-7</v>
      </c>
      <c r="N27" s="3">
        <f>1.6*10^-6</f>
        <v>1.5999999999999999E-6</v>
      </c>
      <c r="O27" s="4">
        <f>(M27/5)/(6.8*10^3)</f>
        <v>1.2647058823529412E-11</v>
      </c>
      <c r="P27" s="5">
        <f>(N27/5)/(6.8*10^3)</f>
        <v>4.7058823529411763E-11</v>
      </c>
    </row>
    <row r="28" spans="1:16" ht="15.95" x14ac:dyDescent="0.2">
      <c r="A28" s="2"/>
      <c r="B28" s="3">
        <v>3.9209999999999998</v>
      </c>
      <c r="C28" s="3">
        <f>420*10^-9</f>
        <v>4.2E-7</v>
      </c>
      <c r="D28" s="3">
        <f>2.74*10^-6</f>
        <v>2.74E-6</v>
      </c>
      <c r="E28" s="4">
        <f t="shared" ref="E28:E31" si="31">(C28/5)/(6.8*10^3)</f>
        <v>1.2352941176470589E-11</v>
      </c>
      <c r="F28" s="5">
        <f t="shared" ref="F28:F31" si="32">(D28/5)/(6.8*10^3)</f>
        <v>8.0588235294117649E-11</v>
      </c>
      <c r="G28" s="3">
        <v>4.0010000000000003</v>
      </c>
      <c r="H28" s="3">
        <f>450*10^-9</f>
        <v>4.5000000000000003E-7</v>
      </c>
      <c r="I28" s="3">
        <f>2.96*10^-6</f>
        <v>2.96E-6</v>
      </c>
      <c r="J28" s="4">
        <f t="shared" ref="J28:J31" si="33">(H28/5)/(6.8*10^3)</f>
        <v>1.323529411764706E-11</v>
      </c>
      <c r="K28" s="5">
        <f t="shared" ref="K28:K31" si="34">(I28/5)/(6.8*10^3)</f>
        <v>8.7058823529411767E-11</v>
      </c>
      <c r="L28" s="3">
        <v>4.0010000000000003</v>
      </c>
      <c r="M28" s="3">
        <f>470*10^-9</f>
        <v>4.7000000000000005E-7</v>
      </c>
      <c r="N28" s="3">
        <f>1.58*10^-6</f>
        <v>1.5799999999999999E-6</v>
      </c>
      <c r="O28" s="4">
        <f t="shared" ref="O28:O31" si="35">(M28/5)/(6.8*10^3)</f>
        <v>1.3823529411764708E-11</v>
      </c>
      <c r="P28" s="5">
        <f t="shared" ref="P28:P31" si="36">(N28/5)/(6.8*10^3)</f>
        <v>4.6470588235294116E-11</v>
      </c>
    </row>
    <row r="29" spans="1:16" ht="15.95" x14ac:dyDescent="0.2">
      <c r="A29" s="2"/>
      <c r="B29" s="3">
        <v>4.0010000000000003</v>
      </c>
      <c r="C29" s="3">
        <f>440*10^-9</f>
        <v>4.4000000000000002E-7</v>
      </c>
      <c r="D29" s="3">
        <f>2.88*10^-6</f>
        <v>2.88E-6</v>
      </c>
      <c r="E29" s="4">
        <f t="shared" si="31"/>
        <v>1.2941176470588236E-11</v>
      </c>
      <c r="F29" s="5">
        <f t="shared" si="32"/>
        <v>8.4705882352941177E-11</v>
      </c>
      <c r="G29" s="3">
        <v>4.0010000000000003</v>
      </c>
      <c r="H29" s="3">
        <f t="shared" ref="H29:H30" si="37">460*10^-9</f>
        <v>4.6000000000000004E-7</v>
      </c>
      <c r="I29" s="3">
        <f>2.84*10^-6</f>
        <v>2.8399999999999999E-6</v>
      </c>
      <c r="J29" s="4">
        <f t="shared" si="33"/>
        <v>1.3529411764705882E-11</v>
      </c>
      <c r="K29" s="5">
        <f t="shared" si="34"/>
        <v>8.3529411764705881E-11</v>
      </c>
      <c r="L29" s="3">
        <v>4.0010000000000003</v>
      </c>
      <c r="M29" s="3">
        <f>490*10^-9</f>
        <v>4.9000000000000007E-7</v>
      </c>
      <c r="N29" s="3">
        <f t="shared" ref="N29:N30" si="38">1.58*10^-6</f>
        <v>1.5799999999999999E-6</v>
      </c>
      <c r="O29" s="4">
        <f t="shared" si="35"/>
        <v>1.4411764705882355E-11</v>
      </c>
      <c r="P29" s="5">
        <f t="shared" si="36"/>
        <v>4.6470588235294116E-11</v>
      </c>
    </row>
    <row r="30" spans="1:16" ht="15.95" x14ac:dyDescent="0.2">
      <c r="A30" s="2"/>
      <c r="B30" s="3">
        <v>4.0010000000000003</v>
      </c>
      <c r="C30" s="3">
        <f>410*10^-9</f>
        <v>4.1000000000000004E-7</v>
      </c>
      <c r="D30" s="3">
        <f>2.88*10^-6</f>
        <v>2.88E-6</v>
      </c>
      <c r="E30" s="4">
        <f t="shared" si="31"/>
        <v>1.2058823529411766E-11</v>
      </c>
      <c r="F30" s="5">
        <f t="shared" si="32"/>
        <v>8.4705882352941177E-11</v>
      </c>
      <c r="G30" s="3">
        <v>4.0810000000000004</v>
      </c>
      <c r="H30" s="3">
        <f t="shared" si="37"/>
        <v>4.6000000000000004E-7</v>
      </c>
      <c r="I30" s="3">
        <f>2.9*10^-6</f>
        <v>2.8999999999999998E-6</v>
      </c>
      <c r="J30" s="4">
        <f t="shared" si="33"/>
        <v>1.3529411764705882E-11</v>
      </c>
      <c r="K30" s="5">
        <f t="shared" si="34"/>
        <v>8.5294117647058818E-11</v>
      </c>
      <c r="L30" s="3">
        <v>4.0010000000000003</v>
      </c>
      <c r="M30" s="3">
        <f>420*10^-9</f>
        <v>4.2E-7</v>
      </c>
      <c r="N30" s="3">
        <f t="shared" si="38"/>
        <v>1.5799999999999999E-6</v>
      </c>
      <c r="O30" s="4">
        <f t="shared" si="35"/>
        <v>1.2352941176470589E-11</v>
      </c>
      <c r="P30" s="5">
        <f t="shared" si="36"/>
        <v>4.6470588235294116E-11</v>
      </c>
    </row>
    <row r="31" spans="1:16" ht="15.95" x14ac:dyDescent="0.2">
      <c r="A31" s="7"/>
      <c r="B31" s="3">
        <v>4.0010000000000003</v>
      </c>
      <c r="C31" s="3">
        <f t="shared" ref="C31" si="39">430*10^-9</f>
        <v>4.3000000000000001E-7</v>
      </c>
      <c r="D31" s="3">
        <f>2.98*10^-6</f>
        <v>2.9799999999999998E-6</v>
      </c>
      <c r="E31" s="4">
        <f t="shared" si="31"/>
        <v>1.2647058823529412E-11</v>
      </c>
      <c r="F31" s="5">
        <f t="shared" si="32"/>
        <v>8.7647058823529409E-11</v>
      </c>
      <c r="G31" s="3">
        <v>4.0010000000000003</v>
      </c>
      <c r="H31" s="3">
        <f>430*10^-9</f>
        <v>4.3000000000000001E-7</v>
      </c>
      <c r="I31" s="3">
        <f>2.76*10^-6</f>
        <v>2.7599999999999998E-6</v>
      </c>
      <c r="J31" s="4">
        <f t="shared" si="33"/>
        <v>1.2647058823529412E-11</v>
      </c>
      <c r="K31" s="5">
        <f t="shared" si="34"/>
        <v>8.1176470588235291E-11</v>
      </c>
      <c r="L31" s="3">
        <v>4.0010000000000003</v>
      </c>
      <c r="M31" s="3">
        <f>430*10^-9</f>
        <v>4.3000000000000001E-7</v>
      </c>
      <c r="N31" s="3">
        <f t="shared" ref="N31" si="40">1.6*10^-6</f>
        <v>1.5999999999999999E-6</v>
      </c>
      <c r="O31" s="4">
        <f t="shared" si="35"/>
        <v>1.2647058823529412E-11</v>
      </c>
      <c r="P31" s="5">
        <f t="shared" si="36"/>
        <v>4.7058823529411763E-11</v>
      </c>
    </row>
    <row r="32" spans="1:16" x14ac:dyDescent="0.2">
      <c r="A32" s="8" t="s">
        <v>7</v>
      </c>
      <c r="B32" s="6">
        <f>AVERAGE(B27:B31)</f>
        <v>4.0010000000000003</v>
      </c>
      <c r="C32" s="6">
        <f t="shared" ref="C32:F32" si="41">AVERAGE(C27:C31)</f>
        <v>4.2599999999999998E-7</v>
      </c>
      <c r="D32" s="6">
        <f t="shared" si="41"/>
        <v>2.6120000000000001E-6</v>
      </c>
      <c r="E32" s="6">
        <f t="shared" si="41"/>
        <v>1.2529411764705884E-11</v>
      </c>
      <c r="F32" s="6">
        <f t="shared" si="41"/>
        <v>7.6823529411764707E-11</v>
      </c>
      <c r="G32" s="6">
        <f>AVERAGE(G27:G31)</f>
        <v>4.0170000000000003</v>
      </c>
      <c r="H32" s="6">
        <f t="shared" ref="H32:K32" si="42">AVERAGE(H27:H31)</f>
        <v>4.5199999999999997E-7</v>
      </c>
      <c r="I32" s="6">
        <f t="shared" si="42"/>
        <v>2.8880000000000001E-6</v>
      </c>
      <c r="J32" s="6">
        <f t="shared" si="42"/>
        <v>1.3294117647058824E-11</v>
      </c>
      <c r="K32" s="6">
        <f t="shared" si="42"/>
        <v>8.494117647058822E-11</v>
      </c>
      <c r="L32" s="6">
        <f>AVERAGE(L27:L31)</f>
        <v>4.0010000000000003</v>
      </c>
      <c r="M32" s="6">
        <f t="shared" ref="M32:P32" si="43">AVERAGE(M27:M31)</f>
        <v>4.4800000000000004E-7</v>
      </c>
      <c r="N32" s="6">
        <f t="shared" si="43"/>
        <v>1.5880000000000001E-6</v>
      </c>
      <c r="O32" s="6">
        <f t="shared" si="43"/>
        <v>1.3176470588235296E-11</v>
      </c>
      <c r="P32" s="6">
        <f t="shared" si="43"/>
        <v>4.6705882352941172E-11</v>
      </c>
    </row>
    <row r="33" spans="1:17" ht="15.95" x14ac:dyDescent="0.2">
      <c r="A33" s="2">
        <v>6</v>
      </c>
      <c r="B33" s="3"/>
      <c r="C33" s="3"/>
      <c r="D33" s="3"/>
      <c r="E33" s="4">
        <f>(C33/5)/(6.8*10^3)</f>
        <v>0</v>
      </c>
      <c r="F33" s="5">
        <f>(D33/5)/(6.8*10^3)</f>
        <v>0</v>
      </c>
      <c r="G33" s="3"/>
      <c r="H33" s="3"/>
      <c r="I33" s="3"/>
      <c r="J33" s="4">
        <f>(H33/5)/(6.8*10^3)</f>
        <v>0</v>
      </c>
      <c r="K33" s="5">
        <f>(I33/5)/(6.8*10^3)</f>
        <v>0</v>
      </c>
      <c r="L33" s="3"/>
      <c r="M33" s="3"/>
      <c r="N33" s="3"/>
      <c r="O33" s="4">
        <f>(M33/5)/(6.8*10^3)</f>
        <v>0</v>
      </c>
      <c r="P33" s="5">
        <f>(N33/5)/(6.8*10^3)</f>
        <v>0</v>
      </c>
    </row>
    <row r="34" spans="1:17" ht="15.95" x14ac:dyDescent="0.2">
      <c r="A34" s="2"/>
      <c r="B34" s="3"/>
      <c r="C34" s="3"/>
      <c r="D34" s="3"/>
      <c r="E34" s="4">
        <f t="shared" ref="E34:E37" si="44">(C34/5)/(6.8*10^3)</f>
        <v>0</v>
      </c>
      <c r="F34" s="5">
        <f t="shared" ref="F34:F37" si="45">(D34/5)/(6.8*10^3)</f>
        <v>0</v>
      </c>
      <c r="G34" s="3"/>
      <c r="H34" s="3"/>
      <c r="I34" s="3"/>
      <c r="J34" s="4">
        <f t="shared" ref="J34:J37" si="46">(H34/5)/(6.8*10^3)</f>
        <v>0</v>
      </c>
      <c r="K34" s="5">
        <f t="shared" ref="K34:K37" si="47">(I34/5)/(6.8*10^3)</f>
        <v>0</v>
      </c>
      <c r="L34" s="3"/>
      <c r="M34" s="3"/>
      <c r="N34" s="3"/>
      <c r="O34" s="4">
        <f t="shared" ref="O34:O37" si="48">(M34/5)/(6.8*10^3)</f>
        <v>0</v>
      </c>
      <c r="P34" s="5">
        <f t="shared" ref="P34:P37" si="49">(N34/5)/(6.8*10^3)</f>
        <v>0</v>
      </c>
    </row>
    <row r="35" spans="1:17" ht="15.95" x14ac:dyDescent="0.2">
      <c r="A35" s="2"/>
      <c r="B35" s="3"/>
      <c r="C35" s="3"/>
      <c r="D35" s="3"/>
      <c r="E35" s="4">
        <f t="shared" si="44"/>
        <v>0</v>
      </c>
      <c r="F35" s="5">
        <f t="shared" si="45"/>
        <v>0</v>
      </c>
      <c r="G35" s="3"/>
      <c r="H35" s="3"/>
      <c r="I35" s="3"/>
      <c r="J35" s="4">
        <f t="shared" si="46"/>
        <v>0</v>
      </c>
      <c r="K35" s="5">
        <f t="shared" si="47"/>
        <v>0</v>
      </c>
      <c r="L35" s="3"/>
      <c r="M35" s="3"/>
      <c r="N35" s="3"/>
      <c r="O35" s="4">
        <f t="shared" si="48"/>
        <v>0</v>
      </c>
      <c r="P35" s="5">
        <f t="shared" si="49"/>
        <v>0</v>
      </c>
    </row>
    <row r="36" spans="1:17" ht="15.95" x14ac:dyDescent="0.2">
      <c r="A36" s="2"/>
      <c r="B36" s="3"/>
      <c r="C36" s="3"/>
      <c r="D36" s="3"/>
      <c r="E36" s="4">
        <f t="shared" si="44"/>
        <v>0</v>
      </c>
      <c r="F36" s="5">
        <f t="shared" si="45"/>
        <v>0</v>
      </c>
      <c r="G36" s="3"/>
      <c r="H36" s="3"/>
      <c r="I36" s="3"/>
      <c r="J36" s="4">
        <f t="shared" si="46"/>
        <v>0</v>
      </c>
      <c r="K36" s="5">
        <f t="shared" si="47"/>
        <v>0</v>
      </c>
      <c r="L36" s="3"/>
      <c r="M36" s="3"/>
      <c r="N36" s="3"/>
      <c r="O36" s="4">
        <f t="shared" si="48"/>
        <v>0</v>
      </c>
      <c r="P36" s="5">
        <f t="shared" si="49"/>
        <v>0</v>
      </c>
    </row>
    <row r="37" spans="1:17" ht="15.95" x14ac:dyDescent="0.2">
      <c r="A37" s="7"/>
      <c r="B37" s="3"/>
      <c r="C37" s="3"/>
      <c r="D37" s="3"/>
      <c r="E37" s="4">
        <f t="shared" si="44"/>
        <v>0</v>
      </c>
      <c r="F37" s="5">
        <f t="shared" si="45"/>
        <v>0</v>
      </c>
      <c r="G37" s="3"/>
      <c r="H37" s="3"/>
      <c r="I37" s="3"/>
      <c r="J37" s="4">
        <f t="shared" si="46"/>
        <v>0</v>
      </c>
      <c r="K37" s="5">
        <f t="shared" si="47"/>
        <v>0</v>
      </c>
      <c r="L37" s="3"/>
      <c r="M37" s="3"/>
      <c r="N37" s="3"/>
      <c r="O37" s="4">
        <f t="shared" si="48"/>
        <v>0</v>
      </c>
      <c r="P37" s="5">
        <f t="shared" si="49"/>
        <v>0</v>
      </c>
    </row>
    <row r="38" spans="1:17" x14ac:dyDescent="0.2">
      <c r="A38" s="8" t="s">
        <v>7</v>
      </c>
      <c r="B38" s="9" t="e">
        <f>AVERAGE(B33:B37)</f>
        <v>#DIV/0!</v>
      </c>
      <c r="C38" s="6" t="e">
        <f t="shared" ref="C38:P38" si="50">AVERAGE(C33:C37)</f>
        <v>#DIV/0!</v>
      </c>
      <c r="D38" s="6" t="e">
        <f t="shared" si="50"/>
        <v>#DIV/0!</v>
      </c>
      <c r="E38" s="6">
        <f t="shared" si="50"/>
        <v>0</v>
      </c>
      <c r="F38" s="6">
        <f t="shared" si="50"/>
        <v>0</v>
      </c>
      <c r="G38" s="6" t="e">
        <f t="shared" si="50"/>
        <v>#DIV/0!</v>
      </c>
      <c r="H38" s="6" t="e">
        <f t="shared" si="50"/>
        <v>#DIV/0!</v>
      </c>
      <c r="I38" s="9" t="e">
        <f t="shared" si="50"/>
        <v>#DIV/0!</v>
      </c>
      <c r="J38" s="6">
        <f t="shared" si="50"/>
        <v>0</v>
      </c>
      <c r="K38" s="6">
        <f t="shared" si="50"/>
        <v>0</v>
      </c>
      <c r="L38" s="9" t="e">
        <f t="shared" si="50"/>
        <v>#DIV/0!</v>
      </c>
      <c r="M38" s="6" t="e">
        <f t="shared" si="50"/>
        <v>#DIV/0!</v>
      </c>
      <c r="N38" s="9" t="e">
        <f t="shared" si="50"/>
        <v>#DIV/0!</v>
      </c>
      <c r="O38" s="6">
        <f t="shared" si="50"/>
        <v>0</v>
      </c>
      <c r="P38" s="6">
        <f t="shared" si="50"/>
        <v>0</v>
      </c>
    </row>
    <row r="39" spans="1:17" ht="15.95" x14ac:dyDescent="0.2">
      <c r="A39" s="2">
        <v>7</v>
      </c>
      <c r="B39" s="3">
        <v>3.681</v>
      </c>
      <c r="C39" s="3">
        <f>540*10^-9</f>
        <v>5.4000000000000002E-7</v>
      </c>
      <c r="D39" s="3">
        <f>1.86*10^-6</f>
        <v>1.86E-6</v>
      </c>
      <c r="E39" s="4">
        <f>(C39/5)/(6.8*10^3)</f>
        <v>1.5882352941176471E-11</v>
      </c>
      <c r="F39" s="5">
        <f>(D39/5)/(6.8*10^3)</f>
        <v>5.4705882352941177E-11</v>
      </c>
      <c r="G39" s="3">
        <v>3.7210000000000001</v>
      </c>
      <c r="H39" s="3">
        <f>580*10^-9</f>
        <v>5.8000000000000006E-7</v>
      </c>
      <c r="I39" s="3">
        <f>1.86*10^-6</f>
        <v>1.86E-6</v>
      </c>
      <c r="J39" s="4">
        <f>(H39/5)/(6.8*10^3)</f>
        <v>1.7058823529411767E-11</v>
      </c>
      <c r="K39" s="5">
        <f>(I39/5)/(6.8*10^3)</f>
        <v>5.4705882352941177E-11</v>
      </c>
      <c r="L39" s="3">
        <v>3.7210000000000001</v>
      </c>
      <c r="M39" s="3">
        <f>630*10^-9</f>
        <v>6.3E-7</v>
      </c>
      <c r="N39" s="3">
        <f>1.94*10^-6</f>
        <v>1.9400000000000001E-6</v>
      </c>
      <c r="O39" s="4">
        <f>(M39/5)/(6.8*10^3)</f>
        <v>1.852941176470588E-11</v>
      </c>
      <c r="P39" s="11">
        <f>(N39/5)/(6.8*10^3)</f>
        <v>5.7058823529411768E-11</v>
      </c>
    </row>
    <row r="40" spans="1:17" ht="15.95" x14ac:dyDescent="0.2">
      <c r="A40" s="2"/>
      <c r="B40" s="3">
        <v>3.7210000000000001</v>
      </c>
      <c r="C40" s="3">
        <f>580*10^-9</f>
        <v>5.8000000000000006E-7</v>
      </c>
      <c r="D40" s="3">
        <f>700*10^-9</f>
        <v>7.0000000000000007E-7</v>
      </c>
      <c r="E40" s="4">
        <f t="shared" ref="E40:E43" si="51">(C40/5)/(6.8*10^3)</f>
        <v>1.7058823529411767E-11</v>
      </c>
      <c r="F40" s="5">
        <f t="shared" ref="F40:F43" si="52">(D40/5)/(6.8*10^3)</f>
        <v>2.058823529411765E-11</v>
      </c>
      <c r="G40" s="3">
        <v>3.681</v>
      </c>
      <c r="H40" s="3">
        <f>570*10^-9</f>
        <v>5.7000000000000005E-7</v>
      </c>
      <c r="I40" s="3">
        <f>700*10^-9</f>
        <v>7.0000000000000007E-7</v>
      </c>
      <c r="J40" s="4">
        <f t="shared" ref="J40:J43" si="53">(H40/5)/(6.8*10^3)</f>
        <v>1.6764705882352943E-11</v>
      </c>
      <c r="K40" s="5">
        <f t="shared" ref="K40:K43" si="54">(I40/5)/(6.8*10^3)</f>
        <v>2.058823529411765E-11</v>
      </c>
      <c r="L40" s="3">
        <v>3.681</v>
      </c>
      <c r="M40" s="3">
        <f>590*10^-9</f>
        <v>5.9000000000000007E-7</v>
      </c>
      <c r="N40" s="3">
        <f>740*10^-9</f>
        <v>7.4000000000000001E-7</v>
      </c>
      <c r="O40" s="4">
        <f t="shared" ref="O40:O43" si="55">(M40/5)/(6.8*10^3)</f>
        <v>1.7352941176470591E-11</v>
      </c>
      <c r="P40" s="5">
        <f t="shared" ref="P40:P43" si="56">(N40/5)/(6.8*10^3)</f>
        <v>2.1764705882352942E-11</v>
      </c>
    </row>
    <row r="41" spans="1:17" ht="15.95" x14ac:dyDescent="0.2">
      <c r="A41" s="2"/>
      <c r="B41" s="3">
        <v>3.7210000000000001</v>
      </c>
      <c r="C41" s="3">
        <f>570*10^-9</f>
        <v>5.7000000000000005E-7</v>
      </c>
      <c r="D41" s="3">
        <f>1.8*10^-6</f>
        <v>1.7999999999999999E-6</v>
      </c>
      <c r="E41" s="4">
        <f t="shared" si="51"/>
        <v>1.6764705882352943E-11</v>
      </c>
      <c r="F41" s="5">
        <f t="shared" si="52"/>
        <v>5.2941176470588234E-11</v>
      </c>
      <c r="G41" s="3">
        <v>3.7210000000000001</v>
      </c>
      <c r="H41" s="3">
        <f>540*10^-9</f>
        <v>5.4000000000000002E-7</v>
      </c>
      <c r="I41" s="3">
        <f>1.88*10^-6</f>
        <v>1.8799999999999998E-6</v>
      </c>
      <c r="J41" s="4">
        <f t="shared" si="53"/>
        <v>1.5882352941176471E-11</v>
      </c>
      <c r="K41" s="5">
        <f t="shared" si="54"/>
        <v>5.5294117647058818E-11</v>
      </c>
      <c r="L41" s="3">
        <v>3.7210000000000001</v>
      </c>
      <c r="M41" s="3">
        <f>630*10^-9</f>
        <v>6.3E-7</v>
      </c>
      <c r="N41" s="3">
        <f>1.92*10^-6</f>
        <v>1.9199999999999998E-6</v>
      </c>
      <c r="O41" s="4">
        <f t="shared" si="55"/>
        <v>1.852941176470588E-11</v>
      </c>
      <c r="P41" s="5">
        <f t="shared" si="56"/>
        <v>5.6470588235294107E-11</v>
      </c>
    </row>
    <row r="42" spans="1:17" ht="15.95" x14ac:dyDescent="0.2">
      <c r="A42" s="2"/>
      <c r="B42" s="3">
        <v>3.7210000000000001</v>
      </c>
      <c r="C42" s="3">
        <f t="shared" ref="C42" si="57">580*10^-9</f>
        <v>5.8000000000000006E-7</v>
      </c>
      <c r="D42" s="3">
        <f>700*10^-9</f>
        <v>7.0000000000000007E-7</v>
      </c>
      <c r="E42" s="4">
        <f t="shared" si="51"/>
        <v>1.7058823529411767E-11</v>
      </c>
      <c r="F42" s="5">
        <f t="shared" si="52"/>
        <v>2.058823529411765E-11</v>
      </c>
      <c r="G42" s="3">
        <v>3.7210000000000001</v>
      </c>
      <c r="H42" s="3">
        <f>510*10^-9</f>
        <v>5.0999999999999999E-7</v>
      </c>
      <c r="I42" s="3">
        <f>1.88*10^-6</f>
        <v>1.8799999999999998E-6</v>
      </c>
      <c r="J42" s="4">
        <f t="shared" si="53"/>
        <v>1.5E-11</v>
      </c>
      <c r="K42" s="5">
        <f t="shared" si="54"/>
        <v>5.5294117647058818E-11</v>
      </c>
      <c r="L42" s="3">
        <v>3.681</v>
      </c>
      <c r="M42" s="3">
        <f>650*10^-9</f>
        <v>6.5000000000000002E-7</v>
      </c>
      <c r="N42" s="3">
        <f>760*10^-9</f>
        <v>7.6000000000000003E-7</v>
      </c>
      <c r="O42" s="4">
        <f t="shared" si="55"/>
        <v>1.911764705882353E-11</v>
      </c>
      <c r="P42" s="5">
        <f t="shared" si="56"/>
        <v>2.235294117647059E-11</v>
      </c>
    </row>
    <row r="43" spans="1:17" ht="15.95" x14ac:dyDescent="0.2">
      <c r="A43" s="2"/>
      <c r="B43" s="3">
        <v>3.681</v>
      </c>
      <c r="C43" s="3">
        <f>540*10^-9</f>
        <v>5.4000000000000002E-7</v>
      </c>
      <c r="D43" s="3">
        <f>1.94*10^-6</f>
        <v>1.9400000000000001E-6</v>
      </c>
      <c r="E43" s="4">
        <f t="shared" si="51"/>
        <v>1.5882352941176471E-11</v>
      </c>
      <c r="F43" s="5">
        <f t="shared" si="52"/>
        <v>5.7058823529411768E-11</v>
      </c>
      <c r="G43" s="3">
        <v>3.7210000000000001</v>
      </c>
      <c r="H43" s="3">
        <f>570*10^-9</f>
        <v>5.7000000000000005E-7</v>
      </c>
      <c r="I43" s="3">
        <f>1.86*10^-6</f>
        <v>1.86E-6</v>
      </c>
      <c r="J43" s="4">
        <f t="shared" si="53"/>
        <v>1.6764705882352943E-11</v>
      </c>
      <c r="K43" s="5">
        <f t="shared" si="54"/>
        <v>5.4705882352941177E-11</v>
      </c>
      <c r="L43" s="3">
        <v>3.7210000000000001</v>
      </c>
      <c r="M43" s="3">
        <f>590*10^-9</f>
        <v>5.9000000000000007E-7</v>
      </c>
      <c r="N43" s="3">
        <f>1.94*10^-6</f>
        <v>1.9400000000000001E-6</v>
      </c>
      <c r="O43" s="4">
        <f t="shared" si="55"/>
        <v>1.7352941176470591E-11</v>
      </c>
      <c r="P43" s="5">
        <f t="shared" si="56"/>
        <v>5.7058823529411768E-11</v>
      </c>
    </row>
    <row r="44" spans="1:17" x14ac:dyDescent="0.2">
      <c r="A44" s="6" t="s">
        <v>7</v>
      </c>
      <c r="B44" s="6">
        <f>AVERAGE(B39:B43)</f>
        <v>3.7050000000000005</v>
      </c>
      <c r="C44" s="6">
        <f t="shared" ref="C44:P44" si="58">AVERAGE(C39:C43)</f>
        <v>5.6200000000000008E-7</v>
      </c>
      <c r="D44" s="6">
        <f t="shared" si="58"/>
        <v>1.3999999999999999E-6</v>
      </c>
      <c r="E44" s="6">
        <f t="shared" si="58"/>
        <v>1.6529411764705883E-11</v>
      </c>
      <c r="F44" s="6">
        <f t="shared" si="58"/>
        <v>4.1176470588235293E-11</v>
      </c>
      <c r="G44" s="6">
        <f t="shared" si="58"/>
        <v>3.7130000000000001</v>
      </c>
      <c r="H44" s="6">
        <f t="shared" si="58"/>
        <v>5.5400000000000001E-7</v>
      </c>
      <c r="I44" s="6">
        <f t="shared" si="58"/>
        <v>1.6359999999999999E-6</v>
      </c>
      <c r="J44" s="6">
        <f t="shared" si="58"/>
        <v>1.6294117647058824E-11</v>
      </c>
      <c r="K44" s="6">
        <f t="shared" si="58"/>
        <v>4.8117647058823531E-11</v>
      </c>
      <c r="L44" s="6">
        <f t="shared" si="58"/>
        <v>3.7050000000000005</v>
      </c>
      <c r="M44" s="6">
        <f t="shared" si="58"/>
        <v>6.1800000000000005E-7</v>
      </c>
      <c r="N44" s="6">
        <f t="shared" si="58"/>
        <v>1.46E-6</v>
      </c>
      <c r="O44" s="6">
        <f t="shared" si="58"/>
        <v>1.8176470588235295E-11</v>
      </c>
      <c r="P44" s="6">
        <f t="shared" si="58"/>
        <v>4.2941176470588236E-11</v>
      </c>
    </row>
    <row r="45" spans="1:17" ht="15.95" x14ac:dyDescent="0.2">
      <c r="A45" s="12"/>
      <c r="B45" s="12"/>
      <c r="C45" s="12"/>
      <c r="D45" s="12"/>
      <c r="E45" s="13"/>
      <c r="F45" s="13"/>
      <c r="G45" s="12"/>
      <c r="H45" s="12"/>
      <c r="I45" s="12"/>
      <c r="J45" s="13"/>
      <c r="K45" s="13"/>
      <c r="L45" s="12"/>
      <c r="M45" s="12"/>
      <c r="N45" s="12"/>
      <c r="O45" s="13"/>
      <c r="P45" s="13"/>
      <c r="Q45" s="14"/>
    </row>
    <row r="46" spans="1:17" ht="15.95" x14ac:dyDescent="0.2">
      <c r="A46" s="12"/>
      <c r="B46" s="12"/>
      <c r="C46" s="12"/>
      <c r="D46" s="12"/>
      <c r="E46" s="13"/>
      <c r="F46" s="13"/>
      <c r="G46" s="12"/>
      <c r="H46" s="12"/>
      <c r="I46" s="12"/>
      <c r="J46" s="13"/>
      <c r="K46" s="13"/>
      <c r="L46" s="12"/>
      <c r="M46" s="12"/>
      <c r="N46" s="12"/>
      <c r="O46" s="13"/>
      <c r="P46" s="13"/>
      <c r="Q46" s="14"/>
    </row>
    <row r="47" spans="1:17" ht="15.95" x14ac:dyDescent="0.2">
      <c r="A47" s="12"/>
      <c r="B47" s="12"/>
      <c r="C47" s="12"/>
      <c r="D47" s="12"/>
      <c r="E47" s="13"/>
      <c r="F47" s="13"/>
      <c r="G47" s="12"/>
      <c r="H47" s="12"/>
      <c r="I47" s="12"/>
      <c r="J47" s="13"/>
      <c r="K47" s="13"/>
      <c r="L47" s="12"/>
      <c r="M47" s="12"/>
      <c r="N47" s="12"/>
      <c r="O47" s="13"/>
      <c r="P47" s="13"/>
      <c r="Q47" s="14"/>
    </row>
    <row r="48" spans="1:17" ht="15.75" x14ac:dyDescent="0.25">
      <c r="A48" s="12"/>
      <c r="B48" s="12"/>
      <c r="C48" s="12"/>
      <c r="D48" s="12"/>
      <c r="E48" s="13"/>
      <c r="F48" s="13"/>
      <c r="G48" s="12"/>
      <c r="H48" s="12"/>
      <c r="I48" s="12"/>
      <c r="J48" s="13"/>
      <c r="K48" s="13"/>
      <c r="L48" s="12"/>
      <c r="M48" s="12"/>
      <c r="N48" s="12"/>
      <c r="O48" s="13"/>
      <c r="P48" s="13"/>
      <c r="Q48" s="14"/>
    </row>
    <row r="49" spans="1:17" ht="15.75" x14ac:dyDescent="0.25">
      <c r="A49" s="12"/>
      <c r="B49" s="12"/>
      <c r="C49" s="12"/>
      <c r="D49" s="12"/>
      <c r="E49" s="13"/>
      <c r="F49" s="13"/>
      <c r="G49" s="12"/>
      <c r="H49" s="12"/>
      <c r="I49" s="12"/>
      <c r="J49" s="13"/>
      <c r="K49" s="13"/>
      <c r="L49" s="12"/>
      <c r="M49" s="12"/>
      <c r="N49" s="12"/>
      <c r="O49" s="13"/>
      <c r="P49" s="13"/>
      <c r="Q49" s="14"/>
    </row>
    <row r="50" spans="1:17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4"/>
    </row>
    <row r="51" spans="1:17" ht="15.75" x14ac:dyDescent="0.25">
      <c r="A51" s="12"/>
      <c r="B51" s="12"/>
      <c r="C51" s="12"/>
      <c r="D51" s="12"/>
      <c r="E51" s="13"/>
      <c r="F51" s="13"/>
      <c r="G51" s="12"/>
      <c r="H51" s="12"/>
      <c r="I51" s="12"/>
      <c r="J51" s="13"/>
      <c r="K51" s="13"/>
      <c r="L51" s="12"/>
      <c r="M51" s="12"/>
      <c r="N51" s="12"/>
      <c r="O51" s="13"/>
      <c r="P51" s="13"/>
      <c r="Q51" s="14"/>
    </row>
    <row r="52" spans="1:17" ht="15.75" x14ac:dyDescent="0.25">
      <c r="A52" s="12"/>
      <c r="B52" s="12"/>
      <c r="C52" s="12"/>
      <c r="D52" s="12"/>
      <c r="E52" s="13"/>
      <c r="F52" s="13"/>
      <c r="G52" s="12"/>
      <c r="H52" s="12"/>
      <c r="I52" s="12"/>
      <c r="J52" s="13"/>
      <c r="K52" s="13"/>
      <c r="L52" s="12"/>
      <c r="M52" s="12"/>
      <c r="N52" s="12"/>
      <c r="O52" s="13"/>
      <c r="P52" s="13"/>
      <c r="Q52" s="14"/>
    </row>
    <row r="53" spans="1:17" ht="15.75" x14ac:dyDescent="0.25">
      <c r="A53" s="12"/>
      <c r="B53" s="12"/>
      <c r="C53" s="12"/>
      <c r="D53" s="12"/>
      <c r="E53" s="13"/>
      <c r="F53" s="13"/>
      <c r="G53" s="12"/>
      <c r="H53" s="12"/>
      <c r="I53" s="12"/>
      <c r="J53" s="13"/>
      <c r="K53" s="13"/>
      <c r="L53" s="12"/>
      <c r="M53" s="12"/>
      <c r="N53" s="12"/>
      <c r="O53" s="13"/>
      <c r="P53" s="13"/>
      <c r="Q53" s="14"/>
    </row>
    <row r="54" spans="1:17" ht="15.75" x14ac:dyDescent="0.25">
      <c r="A54" s="12"/>
      <c r="B54" s="12"/>
      <c r="C54" s="12"/>
      <c r="D54" s="12"/>
      <c r="E54" s="13"/>
      <c r="F54" s="13"/>
      <c r="G54" s="12"/>
      <c r="H54" s="12"/>
      <c r="I54" s="12"/>
      <c r="J54" s="13"/>
      <c r="K54" s="13"/>
      <c r="L54" s="12"/>
      <c r="M54" s="12"/>
      <c r="N54" s="12"/>
      <c r="O54" s="13"/>
      <c r="P54" s="13"/>
      <c r="Q54" s="14"/>
    </row>
    <row r="55" spans="1:17" ht="15.75" x14ac:dyDescent="0.25">
      <c r="A55" s="12"/>
      <c r="B55" s="12"/>
      <c r="C55" s="12"/>
      <c r="D55" s="12"/>
      <c r="E55" s="13"/>
      <c r="F55" s="13"/>
      <c r="G55" s="12"/>
      <c r="H55" s="12"/>
      <c r="I55" s="12"/>
      <c r="J55" s="13"/>
      <c r="K55" s="13"/>
      <c r="L55" s="12"/>
      <c r="M55" s="12"/>
      <c r="N55" s="12"/>
      <c r="O55" s="13"/>
      <c r="P55" s="13"/>
      <c r="Q55" s="14"/>
    </row>
    <row r="56" spans="1:17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4"/>
    </row>
  </sheetData>
  <mergeCells count="4">
    <mergeCell ref="A1:A2"/>
    <mergeCell ref="B1:F1"/>
    <mergeCell ref="G1:K1"/>
    <mergeCell ref="L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topLeftCell="A133" workbookViewId="0">
      <selection activeCell="E6" sqref="E6"/>
    </sheetView>
  </sheetViews>
  <sheetFormatPr defaultColWidth="8.85546875" defaultRowHeight="15" x14ac:dyDescent="0.25"/>
  <cols>
    <col min="1" max="1" width="15.140625" bestFit="1" customWidth="1"/>
    <col min="4" max="5" width="12.42578125" bestFit="1" customWidth="1"/>
    <col min="9" max="9" width="12.42578125" bestFit="1" customWidth="1"/>
    <col min="10" max="10" width="13.7109375" bestFit="1" customWidth="1"/>
    <col min="14" max="15" width="12.42578125" bestFit="1" customWidth="1"/>
  </cols>
  <sheetData>
    <row r="1" spans="1:17" x14ac:dyDescent="0.2">
      <c r="A1" t="s">
        <v>10</v>
      </c>
      <c r="B1" t="s">
        <v>11</v>
      </c>
      <c r="C1" t="s">
        <v>12</v>
      </c>
      <c r="D1" t="s">
        <v>13</v>
      </c>
      <c r="E1" t="s">
        <v>14</v>
      </c>
      <c r="G1" t="s">
        <v>30</v>
      </c>
    </row>
    <row r="2" spans="1:17" x14ac:dyDescent="0.2">
      <c r="A2" t="s">
        <v>15</v>
      </c>
    </row>
    <row r="3" spans="1:17" ht="15.75" x14ac:dyDescent="0.25">
      <c r="B3" s="24" t="s">
        <v>0</v>
      </c>
      <c r="C3" s="26" t="s">
        <v>1</v>
      </c>
      <c r="D3" s="27"/>
      <c r="E3" s="27"/>
      <c r="F3" s="27"/>
      <c r="G3" s="28"/>
      <c r="H3" s="29" t="s">
        <v>8</v>
      </c>
      <c r="I3" s="27"/>
      <c r="J3" s="27"/>
      <c r="K3" s="27"/>
      <c r="L3" s="28"/>
      <c r="M3" s="29" t="s">
        <v>9</v>
      </c>
      <c r="N3" s="27"/>
      <c r="O3" s="27"/>
      <c r="P3" s="27"/>
      <c r="Q3" s="28"/>
    </row>
    <row r="4" spans="1:17" ht="15.75" x14ac:dyDescent="0.25">
      <c r="B4" s="25"/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2</v>
      </c>
      <c r="I4" s="1" t="s">
        <v>3</v>
      </c>
      <c r="J4" s="1" t="s">
        <v>4</v>
      </c>
      <c r="K4" s="1" t="s">
        <v>5</v>
      </c>
      <c r="L4" s="1" t="s">
        <v>6</v>
      </c>
      <c r="M4" s="1" t="s">
        <v>2</v>
      </c>
      <c r="N4" s="1" t="s">
        <v>3</v>
      </c>
      <c r="O4" s="1" t="s">
        <v>4</v>
      </c>
      <c r="P4" s="1" t="s">
        <v>5</v>
      </c>
      <c r="Q4" s="10" t="s">
        <v>6</v>
      </c>
    </row>
    <row r="5" spans="1:17" ht="15.95" x14ac:dyDescent="0.2">
      <c r="B5" s="17">
        <v>1</v>
      </c>
      <c r="C5" s="3">
        <v>3.0409999999999999</v>
      </c>
      <c r="D5" s="3">
        <f>1.22*10^-6</f>
        <v>1.22E-6</v>
      </c>
      <c r="E5" s="3">
        <f>13.38*10^-6</f>
        <v>1.3380000000000001E-5</v>
      </c>
      <c r="F5" s="4">
        <f>(D5/5)/(6.8*10^3)</f>
        <v>3.588235294117647E-11</v>
      </c>
      <c r="G5" s="5">
        <f>(E5/5)/(6.8*10^3)</f>
        <v>3.9352941176470592E-10</v>
      </c>
      <c r="H5" s="3">
        <v>2.9609999999999999</v>
      </c>
      <c r="I5" s="3">
        <f>1.61*10^-6</f>
        <v>1.61E-6</v>
      </c>
      <c r="J5" s="3">
        <f>11.44*10^-6</f>
        <v>1.1439999999999999E-5</v>
      </c>
      <c r="K5" s="4">
        <f>(I5/5)/(6.8*10^3)</f>
        <v>4.735294117647059E-11</v>
      </c>
      <c r="L5" s="5">
        <f>(J5/5)/(6.8*10^3)</f>
        <v>3.3647058823529409E-10</v>
      </c>
      <c r="M5" s="3">
        <v>2.641</v>
      </c>
      <c r="N5" s="3">
        <f>2.14*10^-6</f>
        <v>2.1399999999999998E-6</v>
      </c>
      <c r="O5" s="3">
        <f>21.42*10^-6</f>
        <v>2.1420000000000002E-5</v>
      </c>
      <c r="P5" s="4">
        <f>(N5/5)/(6.8*10^3)</f>
        <v>6.2941176470588232E-11</v>
      </c>
      <c r="Q5" s="11">
        <f>(O5/5)/(6.8*10^3)</f>
        <v>6.3E-10</v>
      </c>
    </row>
    <row r="6" spans="1:17" ht="15.95" x14ac:dyDescent="0.2">
      <c r="B6" s="2"/>
      <c r="C6" s="3">
        <v>3.0409999999999999</v>
      </c>
      <c r="D6" s="3">
        <f>1.23*10^-6</f>
        <v>1.2299999999999999E-6</v>
      </c>
      <c r="E6" s="3">
        <f>14.04*10^-6</f>
        <v>1.4039999999999998E-5</v>
      </c>
      <c r="F6" s="4">
        <f t="shared" ref="F6:G9" si="0">(D6/5)/(6.8*10^3)</f>
        <v>3.6176470588235284E-11</v>
      </c>
      <c r="G6" s="5">
        <f t="shared" si="0"/>
        <v>4.129411764705882E-10</v>
      </c>
      <c r="H6" s="3">
        <v>2.9609999999999999</v>
      </c>
      <c r="I6" s="3">
        <f>1.44*10^-6</f>
        <v>1.44E-6</v>
      </c>
      <c r="J6" s="3">
        <f>10.74*10^-6</f>
        <v>1.0740000000000001E-5</v>
      </c>
      <c r="K6" s="4">
        <f t="shared" ref="K6:L9" si="1">(I6/5)/(6.8*10^3)</f>
        <v>4.2352941176470588E-11</v>
      </c>
      <c r="L6" s="5">
        <f t="shared" si="1"/>
        <v>3.1588235294117645E-10</v>
      </c>
      <c r="M6" s="3">
        <v>2.5609999999999999</v>
      </c>
      <c r="N6" s="3">
        <f>2.14*10^-6</f>
        <v>2.1399999999999998E-6</v>
      </c>
      <c r="O6" s="3">
        <f>18.04*10^-6</f>
        <v>1.8039999999999997E-5</v>
      </c>
      <c r="P6" s="4">
        <f t="shared" ref="P6:Q9" si="2">(N6/5)/(6.8*10^3)</f>
        <v>6.2941176470588232E-11</v>
      </c>
      <c r="Q6" s="5">
        <f t="shared" si="2"/>
        <v>5.3058823529411753E-10</v>
      </c>
    </row>
    <row r="7" spans="1:17" ht="15.95" x14ac:dyDescent="0.2">
      <c r="B7" s="2"/>
      <c r="C7" s="3">
        <v>3.0409999999999999</v>
      </c>
      <c r="D7" s="3">
        <f>1.11*10^-6</f>
        <v>1.11E-6</v>
      </c>
      <c r="E7" s="3">
        <f>10.98*10^-6</f>
        <v>1.098E-5</v>
      </c>
      <c r="F7" s="4">
        <f t="shared" si="0"/>
        <v>3.2647058823529411E-11</v>
      </c>
      <c r="G7" s="5">
        <f t="shared" si="0"/>
        <v>3.229411764705882E-10</v>
      </c>
      <c r="H7" s="3">
        <v>2.9609999999999999</v>
      </c>
      <c r="I7" s="3">
        <f>1.11*10^-6</f>
        <v>1.11E-6</v>
      </c>
      <c r="J7" s="3">
        <f>11.36*10^-6</f>
        <v>1.136E-5</v>
      </c>
      <c r="K7" s="4">
        <f t="shared" si="1"/>
        <v>3.2647058823529411E-11</v>
      </c>
      <c r="L7" s="5">
        <f t="shared" si="1"/>
        <v>3.3411764705882353E-10</v>
      </c>
      <c r="M7" s="3">
        <v>2.641</v>
      </c>
      <c r="N7" s="3">
        <f>2.14*10^-6</f>
        <v>2.1399999999999998E-6</v>
      </c>
      <c r="O7" s="3">
        <f>25.42*10^-6</f>
        <v>2.5420000000000001E-5</v>
      </c>
      <c r="P7" s="4">
        <f t="shared" si="2"/>
        <v>6.2941176470588232E-11</v>
      </c>
      <c r="Q7" s="5">
        <f t="shared" si="2"/>
        <v>7.4764705882352938E-10</v>
      </c>
    </row>
    <row r="8" spans="1:17" ht="15.95" x14ac:dyDescent="0.2">
      <c r="B8" s="2"/>
      <c r="C8" s="3">
        <v>3.0409999999999999</v>
      </c>
      <c r="D8" s="3">
        <f>1.19*10^-6</f>
        <v>1.1899999999999998E-6</v>
      </c>
      <c r="E8" s="3">
        <f>13.88*10^-6</f>
        <v>1.3880000000000001E-5</v>
      </c>
      <c r="F8" s="4">
        <f t="shared" si="0"/>
        <v>3.4999999999999995E-11</v>
      </c>
      <c r="G8" s="5">
        <f t="shared" si="0"/>
        <v>4.0823529411764707E-10</v>
      </c>
      <c r="H8" s="3">
        <v>2.9609999999999999</v>
      </c>
      <c r="I8" s="3">
        <f>1.67*10^-6</f>
        <v>1.6699999999999999E-6</v>
      </c>
      <c r="J8" s="3">
        <f>10.82*10^-6</f>
        <v>1.082E-5</v>
      </c>
      <c r="K8" s="4">
        <f t="shared" si="1"/>
        <v>4.9117647058823527E-11</v>
      </c>
      <c r="L8" s="5">
        <f t="shared" si="1"/>
        <v>3.1823529411764707E-10</v>
      </c>
      <c r="M8" s="3">
        <v>2.5609999999999999</v>
      </c>
      <c r="N8" s="3">
        <f>1.33*10^-6</f>
        <v>1.33E-6</v>
      </c>
      <c r="O8" s="3">
        <f>23.38*10^-6</f>
        <v>2.3379999999999996E-5</v>
      </c>
      <c r="P8" s="4">
        <f t="shared" si="2"/>
        <v>3.9117647058823523E-11</v>
      </c>
      <c r="Q8" s="5">
        <f t="shared" si="2"/>
        <v>6.8764705882352928E-10</v>
      </c>
    </row>
    <row r="9" spans="1:17" ht="15.95" x14ac:dyDescent="0.2">
      <c r="B9" s="2"/>
      <c r="C9" s="3">
        <v>3.0409999999999999</v>
      </c>
      <c r="D9" s="3">
        <f>1.12*10^-6</f>
        <v>1.1200000000000001E-6</v>
      </c>
      <c r="E9" s="3">
        <f>11.9*10^-6</f>
        <v>1.19E-5</v>
      </c>
      <c r="F9" s="4">
        <f t="shared" si="0"/>
        <v>3.2941176470588238E-11</v>
      </c>
      <c r="G9" s="5">
        <f t="shared" si="0"/>
        <v>3.5000000000000003E-10</v>
      </c>
      <c r="H9" s="3">
        <v>2.9609999999999999</v>
      </c>
      <c r="I9" s="3">
        <f>1.43*10^-6</f>
        <v>1.4299999999999999E-6</v>
      </c>
      <c r="J9" s="3">
        <f>10.96*10^-6</f>
        <v>1.096E-5</v>
      </c>
      <c r="K9" s="4">
        <f t="shared" si="1"/>
        <v>4.2058823529411761E-11</v>
      </c>
      <c r="L9" s="5">
        <f t="shared" si="1"/>
        <v>3.223529411764706E-10</v>
      </c>
      <c r="M9" s="3">
        <v>2.5609999999999999</v>
      </c>
      <c r="N9" s="3">
        <f>1.96*10^-6</f>
        <v>1.9599999999999999E-6</v>
      </c>
      <c r="O9" s="3">
        <f>26.36*10^-6</f>
        <v>2.6359999999999998E-5</v>
      </c>
      <c r="P9" s="4">
        <f t="shared" si="2"/>
        <v>5.7647058823529409E-11</v>
      </c>
      <c r="Q9" s="5">
        <f t="shared" si="2"/>
        <v>7.7529411764705876E-10</v>
      </c>
    </row>
    <row r="10" spans="1:17" x14ac:dyDescent="0.2">
      <c r="B10" s="6" t="s">
        <v>7</v>
      </c>
      <c r="C10" s="6">
        <f>AVERAGE(C5:C9)</f>
        <v>3.0409999999999999</v>
      </c>
      <c r="D10" s="6">
        <f t="shared" ref="D10:Q10" si="3">AVERAGE(D5:D9)</f>
        <v>1.1739999999999999E-6</v>
      </c>
      <c r="E10" s="6">
        <f t="shared" si="3"/>
        <v>1.2836E-5</v>
      </c>
      <c r="F10" s="6">
        <f t="shared" si="3"/>
        <v>3.4529411764705882E-11</v>
      </c>
      <c r="G10" s="6">
        <f t="shared" si="3"/>
        <v>3.7752941176470587E-10</v>
      </c>
      <c r="H10" s="6">
        <f t="shared" si="3"/>
        <v>2.9609999999999999</v>
      </c>
      <c r="I10" s="6">
        <f t="shared" si="3"/>
        <v>1.452E-6</v>
      </c>
      <c r="J10" s="6">
        <f t="shared" si="3"/>
        <v>1.1064000000000001E-5</v>
      </c>
      <c r="K10" s="6">
        <f t="shared" si="3"/>
        <v>4.2705882352941173E-11</v>
      </c>
      <c r="L10" s="6">
        <f t="shared" si="3"/>
        <v>3.2541176470588231E-10</v>
      </c>
      <c r="M10" s="6">
        <f t="shared" si="3"/>
        <v>2.593</v>
      </c>
      <c r="N10" s="6">
        <f t="shared" si="3"/>
        <v>1.9419999999999998E-6</v>
      </c>
      <c r="O10" s="6">
        <f t="shared" si="3"/>
        <v>2.2923999999999999E-5</v>
      </c>
      <c r="P10" s="6">
        <f t="shared" si="3"/>
        <v>5.7117647058823532E-11</v>
      </c>
      <c r="Q10" s="6">
        <f t="shared" si="3"/>
        <v>6.7423529411764682E-10</v>
      </c>
    </row>
    <row r="11" spans="1:17" ht="15.95" x14ac:dyDescent="0.2">
      <c r="B11" s="2">
        <v>2</v>
      </c>
      <c r="C11" s="3">
        <v>3.8410000000000002</v>
      </c>
      <c r="D11" s="3">
        <f>410*10^-9</f>
        <v>4.1000000000000004E-7</v>
      </c>
      <c r="E11" s="3">
        <f>1.5*10^-6</f>
        <v>1.5E-6</v>
      </c>
      <c r="F11" s="4">
        <f>(D11/5)/(6.8*10^3)</f>
        <v>1.2058823529411766E-11</v>
      </c>
      <c r="G11" s="5">
        <f>(E11/5)/(6.8*10^3)</f>
        <v>4.4117647058823525E-11</v>
      </c>
      <c r="H11" s="3">
        <v>3.9209999999999998</v>
      </c>
      <c r="I11" s="3">
        <f>410*10^-9</f>
        <v>4.1000000000000004E-7</v>
      </c>
      <c r="J11" s="3">
        <f>1.52*10^-6</f>
        <v>1.5199999999999998E-6</v>
      </c>
      <c r="K11" s="4">
        <f>(I11/5)/(6.8*10^3)</f>
        <v>1.2058823529411766E-11</v>
      </c>
      <c r="L11" s="5">
        <f>(J11/5)/(6.8*10^3)</f>
        <v>4.4705882352941173E-11</v>
      </c>
      <c r="M11" s="3">
        <v>3.8809999999999998</v>
      </c>
      <c r="N11" s="3">
        <f>450*10^-9</f>
        <v>4.5000000000000003E-7</v>
      </c>
      <c r="O11" s="3">
        <f>1.58*10^-6</f>
        <v>1.5799999999999999E-6</v>
      </c>
      <c r="P11" s="4">
        <f>(N11/5)/(6.8*10^3)</f>
        <v>1.323529411764706E-11</v>
      </c>
      <c r="Q11" s="5">
        <f>(O11/5)/(6.8*10^3)</f>
        <v>4.6470588235294116E-11</v>
      </c>
    </row>
    <row r="12" spans="1:17" ht="15.95" x14ac:dyDescent="0.2">
      <c r="B12" s="2"/>
      <c r="C12" s="3">
        <v>3.8809999999999998</v>
      </c>
      <c r="D12" s="3">
        <f>410*10^-9</f>
        <v>4.1000000000000004E-7</v>
      </c>
      <c r="E12" s="3">
        <f>1.54*10^-6</f>
        <v>1.5399999999999999E-6</v>
      </c>
      <c r="F12" s="4">
        <f>(D12/5)/(6.8*10^3)</f>
        <v>1.2058823529411766E-11</v>
      </c>
      <c r="G12" s="5">
        <f t="shared" ref="F12:G15" si="4">(E12/5)/(6.8*10^3)</f>
        <v>4.5294117647058814E-11</v>
      </c>
      <c r="H12" s="3">
        <v>3.8809999999999998</v>
      </c>
      <c r="I12" s="3">
        <f>400*10^-9</f>
        <v>4.0000000000000003E-7</v>
      </c>
      <c r="J12" s="3">
        <f>1.52*10^-6</f>
        <v>1.5199999999999998E-6</v>
      </c>
      <c r="K12" s="4">
        <f t="shared" ref="K12:L15" si="5">(I12/5)/(6.8*10^3)</f>
        <v>1.1764705882352941E-11</v>
      </c>
      <c r="L12" s="5">
        <f t="shared" si="5"/>
        <v>4.4705882352941173E-11</v>
      </c>
      <c r="M12" s="3">
        <v>3.8410000000000002</v>
      </c>
      <c r="N12" s="3">
        <f>430*10^-9</f>
        <v>4.3000000000000001E-7</v>
      </c>
      <c r="O12" s="3">
        <f>1.58*10^-6</f>
        <v>1.5799999999999999E-6</v>
      </c>
      <c r="P12" s="4">
        <f t="shared" ref="P12:Q15" si="6">(N12/5)/(6.8*10^3)</f>
        <v>1.2647058823529412E-11</v>
      </c>
      <c r="Q12" s="5">
        <f t="shared" si="6"/>
        <v>4.6470588235294116E-11</v>
      </c>
    </row>
    <row r="13" spans="1:17" ht="15.95" x14ac:dyDescent="0.2">
      <c r="B13" s="2"/>
      <c r="C13" s="3">
        <v>3.8809999999999998</v>
      </c>
      <c r="D13" s="3">
        <f>390*10^-9</f>
        <v>3.9000000000000002E-7</v>
      </c>
      <c r="E13" s="3">
        <f t="shared" ref="E13:E15" si="7">1.54*10^-6</f>
        <v>1.5399999999999999E-6</v>
      </c>
      <c r="F13" s="4">
        <f t="shared" si="4"/>
        <v>1.1470588235294119E-11</v>
      </c>
      <c r="G13" s="5">
        <f t="shared" si="4"/>
        <v>4.5294117647058814E-11</v>
      </c>
      <c r="H13" s="3">
        <v>3.8809999999999998</v>
      </c>
      <c r="I13" s="3">
        <f>410*10^-9</f>
        <v>4.1000000000000004E-7</v>
      </c>
      <c r="J13" s="3">
        <f>1.5*10^-6</f>
        <v>1.5E-6</v>
      </c>
      <c r="K13" s="4">
        <f t="shared" si="5"/>
        <v>1.2058823529411766E-11</v>
      </c>
      <c r="L13" s="5">
        <f t="shared" si="5"/>
        <v>4.4117647058823525E-11</v>
      </c>
      <c r="M13" s="3">
        <v>3.8809999999999998</v>
      </c>
      <c r="N13" s="3">
        <f t="shared" ref="N13:N14" si="8">430*10^-9</f>
        <v>4.3000000000000001E-7</v>
      </c>
      <c r="O13" s="3">
        <f>1.6*10^-6</f>
        <v>1.5999999999999999E-6</v>
      </c>
      <c r="P13" s="4">
        <f t="shared" si="6"/>
        <v>1.2647058823529412E-11</v>
      </c>
      <c r="Q13" s="5">
        <f t="shared" si="6"/>
        <v>4.7058823529411763E-11</v>
      </c>
    </row>
    <row r="14" spans="1:17" ht="15.95" x14ac:dyDescent="0.2">
      <c r="B14" s="2"/>
      <c r="C14" s="3">
        <v>3.8809999999999998</v>
      </c>
      <c r="D14" s="3">
        <f>410*10^-9</f>
        <v>4.1000000000000004E-7</v>
      </c>
      <c r="E14" s="3">
        <f t="shared" si="7"/>
        <v>1.5399999999999999E-6</v>
      </c>
      <c r="F14" s="4">
        <f t="shared" si="4"/>
        <v>1.2058823529411766E-11</v>
      </c>
      <c r="G14" s="5">
        <f t="shared" si="4"/>
        <v>4.5294117647058814E-11</v>
      </c>
      <c r="H14" s="3">
        <v>3.8809999999999998</v>
      </c>
      <c r="I14" s="3">
        <f t="shared" ref="I14:I15" si="9">410*10^-9</f>
        <v>4.1000000000000004E-7</v>
      </c>
      <c r="J14" s="3">
        <f>1.5*10^-6</f>
        <v>1.5E-6</v>
      </c>
      <c r="K14" s="4">
        <f t="shared" si="5"/>
        <v>1.2058823529411766E-11</v>
      </c>
      <c r="L14" s="5">
        <f t="shared" si="5"/>
        <v>4.4117647058823525E-11</v>
      </c>
      <c r="M14" s="3">
        <v>3.8809999999999998</v>
      </c>
      <c r="N14" s="3">
        <f t="shared" si="8"/>
        <v>4.3000000000000001E-7</v>
      </c>
      <c r="O14" s="3">
        <f>1.6*10^-6</f>
        <v>1.5999999999999999E-6</v>
      </c>
      <c r="P14" s="4">
        <f t="shared" si="6"/>
        <v>1.2647058823529412E-11</v>
      </c>
      <c r="Q14" s="5">
        <f t="shared" si="6"/>
        <v>4.7058823529411763E-11</v>
      </c>
    </row>
    <row r="15" spans="1:17" ht="15.95" x14ac:dyDescent="0.2">
      <c r="B15" s="7"/>
      <c r="C15" s="3">
        <v>3.8809999999999998</v>
      </c>
      <c r="D15" s="3">
        <f>400*10^-9</f>
        <v>4.0000000000000003E-7</v>
      </c>
      <c r="E15" s="3">
        <f t="shared" si="7"/>
        <v>1.5399999999999999E-6</v>
      </c>
      <c r="F15" s="4">
        <f t="shared" si="4"/>
        <v>1.1764705882352941E-11</v>
      </c>
      <c r="G15" s="5">
        <f t="shared" si="4"/>
        <v>4.5294117647058814E-11</v>
      </c>
      <c r="H15" s="3">
        <v>3.8809999999999998</v>
      </c>
      <c r="I15" s="3">
        <f t="shared" si="9"/>
        <v>4.1000000000000004E-7</v>
      </c>
      <c r="J15" s="3">
        <f>1.54*10^-6</f>
        <v>1.5399999999999999E-6</v>
      </c>
      <c r="K15" s="4">
        <f t="shared" si="5"/>
        <v>1.2058823529411766E-11</v>
      </c>
      <c r="L15" s="5">
        <f t="shared" si="5"/>
        <v>4.5294117647058814E-11</v>
      </c>
      <c r="M15" s="3">
        <v>3.8809999999999998</v>
      </c>
      <c r="N15" s="3">
        <f>440*10^-9</f>
        <v>4.4000000000000002E-7</v>
      </c>
      <c r="O15" s="3">
        <f>1.58*10^-6</f>
        <v>1.5799999999999999E-6</v>
      </c>
      <c r="P15" s="4">
        <f t="shared" si="6"/>
        <v>1.2941176470588236E-11</v>
      </c>
      <c r="Q15" s="5">
        <f t="shared" si="6"/>
        <v>4.6470588235294116E-11</v>
      </c>
    </row>
    <row r="16" spans="1:17" x14ac:dyDescent="0.2">
      <c r="B16" s="8" t="s">
        <v>7</v>
      </c>
      <c r="C16" s="6">
        <f>AVERAGE(C11:C15)</f>
        <v>3.8729999999999998</v>
      </c>
      <c r="D16" s="6">
        <f t="shared" ref="D16:G16" si="10">AVERAGE(D11:D15)</f>
        <v>4.0400000000000002E-7</v>
      </c>
      <c r="E16" s="6">
        <f t="shared" si="10"/>
        <v>1.5319999999999999E-6</v>
      </c>
      <c r="F16" s="6">
        <f t="shared" si="10"/>
        <v>1.1882352941176472E-11</v>
      </c>
      <c r="G16" s="6">
        <f t="shared" si="10"/>
        <v>4.5058823529411751E-11</v>
      </c>
      <c r="H16" s="6">
        <f>AVERAGE(H11:H15)</f>
        <v>3.8890000000000002</v>
      </c>
      <c r="I16" s="6">
        <f t="shared" ref="I16:L16" si="11">AVERAGE(I11:I15)</f>
        <v>4.0800000000000005E-7</v>
      </c>
      <c r="J16" s="6">
        <f t="shared" si="11"/>
        <v>1.516E-6</v>
      </c>
      <c r="K16" s="6">
        <f t="shared" si="11"/>
        <v>1.2000000000000002E-11</v>
      </c>
      <c r="L16" s="6">
        <f t="shared" si="11"/>
        <v>4.4588235294117638E-11</v>
      </c>
      <c r="M16" s="6">
        <f>AVERAGE(M11:M15)</f>
        <v>3.8729999999999998</v>
      </c>
      <c r="N16" s="6">
        <f t="shared" ref="N16:Q16" si="12">AVERAGE(N11:N15)</f>
        <v>4.3600000000000004E-7</v>
      </c>
      <c r="O16" s="6">
        <f t="shared" si="12"/>
        <v>1.5880000000000001E-6</v>
      </c>
      <c r="P16" s="6">
        <f t="shared" si="12"/>
        <v>1.2823529411764705E-11</v>
      </c>
      <c r="Q16" s="6">
        <f t="shared" si="12"/>
        <v>4.6705882352941172E-11</v>
      </c>
    </row>
    <row r="17" spans="1:17" ht="15.95" x14ac:dyDescent="0.2">
      <c r="A17" t="s">
        <v>16</v>
      </c>
      <c r="B17" s="17">
        <v>1</v>
      </c>
      <c r="C17" s="3">
        <f>600*10^-3</f>
        <v>0.6</v>
      </c>
      <c r="D17" s="3">
        <f>5.45*10^-3</f>
        <v>5.45E-3</v>
      </c>
      <c r="E17" s="3">
        <f>5.85*10^-3</f>
        <v>5.8500000000000002E-3</v>
      </c>
      <c r="F17" s="4">
        <f>(D17/5)/(6.8*10^3)</f>
        <v>1.6029411764705884E-7</v>
      </c>
      <c r="G17" s="5">
        <f>(E17/5)/(6.8*10^3)</f>
        <v>1.7205882352941178E-7</v>
      </c>
      <c r="H17" s="3">
        <f>760*10^-3</f>
        <v>0.76</v>
      </c>
      <c r="I17" s="3">
        <f>5.8*10^-3</f>
        <v>5.7999999999999996E-3</v>
      </c>
      <c r="J17" s="3">
        <f>5.9*10^-3</f>
        <v>5.9000000000000007E-3</v>
      </c>
      <c r="K17" s="4">
        <f>(I17/5)/(6.8*10^3)</f>
        <v>1.7058823529411766E-7</v>
      </c>
      <c r="L17" s="5">
        <f>(J17/5)/(6.8*10^3)</f>
        <v>1.735294117647059E-7</v>
      </c>
      <c r="M17" s="3">
        <f>820*10^-3</f>
        <v>0.82000000000000006</v>
      </c>
      <c r="N17" s="3">
        <f>5.7*10^-3</f>
        <v>5.7000000000000002E-3</v>
      </c>
      <c r="O17" s="3">
        <f>5.85*10^-3</f>
        <v>5.8500000000000002E-3</v>
      </c>
      <c r="P17" s="4">
        <f>(N17/5)/(6.8*10^3)</f>
        <v>1.6764705882352942E-7</v>
      </c>
      <c r="Q17" s="5">
        <f>(O17/5)/(6.8*10^3)</f>
        <v>1.7205882352941178E-7</v>
      </c>
    </row>
    <row r="18" spans="1:17" ht="15.95" x14ac:dyDescent="0.2">
      <c r="B18" s="2"/>
      <c r="C18" s="3">
        <f>560*10^-3</f>
        <v>0.56000000000000005</v>
      </c>
      <c r="D18" s="3">
        <f>5.85*10^-3</f>
        <v>5.8500000000000002E-3</v>
      </c>
      <c r="E18" s="3">
        <f>5.9*10^-3</f>
        <v>5.9000000000000007E-3</v>
      </c>
      <c r="F18" s="4">
        <f t="shared" ref="F18:G21" si="13">(D18/5)/(6.8*10^3)</f>
        <v>1.7205882352941178E-7</v>
      </c>
      <c r="G18" s="5">
        <f t="shared" si="13"/>
        <v>1.735294117647059E-7</v>
      </c>
      <c r="H18" s="3">
        <f>780*10^-3</f>
        <v>0.78</v>
      </c>
      <c r="I18" s="3">
        <f>5.825*10^-3</f>
        <v>5.8250000000000003E-3</v>
      </c>
      <c r="J18" s="3">
        <f>5.8*10^-3</f>
        <v>5.7999999999999996E-3</v>
      </c>
      <c r="K18" s="4">
        <f t="shared" ref="K18:L21" si="14">(I18/5)/(6.8*10^3)</f>
        <v>1.713235294117647E-7</v>
      </c>
      <c r="L18" s="5">
        <f t="shared" si="14"/>
        <v>1.7058823529411766E-7</v>
      </c>
      <c r="M18" s="3">
        <f>820*10^-3</f>
        <v>0.82000000000000006</v>
      </c>
      <c r="N18" s="3">
        <f>5.825*10^-3</f>
        <v>5.8250000000000003E-3</v>
      </c>
      <c r="O18" s="3">
        <f>5.95*10^-3</f>
        <v>5.9500000000000004E-3</v>
      </c>
      <c r="P18" s="4">
        <f t="shared" ref="P18:Q21" si="15">(N18/5)/(6.8*10^3)</f>
        <v>1.713235294117647E-7</v>
      </c>
      <c r="Q18" s="5">
        <f t="shared" si="15"/>
        <v>1.7500000000000002E-7</v>
      </c>
    </row>
    <row r="19" spans="1:17" ht="15.95" x14ac:dyDescent="0.2">
      <c r="B19" s="2"/>
      <c r="C19" s="3">
        <f>540*10^-3</f>
        <v>0.54</v>
      </c>
      <c r="D19" s="3">
        <f>5.825*10^-3</f>
        <v>5.8250000000000003E-3</v>
      </c>
      <c r="E19" s="3">
        <f>5.95*10^-3</f>
        <v>5.9500000000000004E-3</v>
      </c>
      <c r="F19" s="4">
        <f t="shared" si="13"/>
        <v>1.713235294117647E-7</v>
      </c>
      <c r="G19" s="5">
        <f t="shared" si="13"/>
        <v>1.7500000000000002E-7</v>
      </c>
      <c r="H19" s="3">
        <f>760*10^-3</f>
        <v>0.76</v>
      </c>
      <c r="I19" s="3">
        <f>5.75*10^-3</f>
        <v>5.7499999999999999E-3</v>
      </c>
      <c r="J19" s="3">
        <f>5.75*10^-3</f>
        <v>5.7499999999999999E-3</v>
      </c>
      <c r="K19" s="4">
        <f t="shared" si="14"/>
        <v>1.6911764705882354E-7</v>
      </c>
      <c r="L19" s="5">
        <f t="shared" si="14"/>
        <v>1.6911764705882354E-7</v>
      </c>
      <c r="M19" s="3">
        <f>840*10^-3</f>
        <v>0.84</v>
      </c>
      <c r="N19" s="3">
        <f>5.875*10^-3</f>
        <v>5.875E-3</v>
      </c>
      <c r="O19" s="3">
        <f>5.85*10^-3</f>
        <v>5.8500000000000002E-3</v>
      </c>
      <c r="P19" s="4">
        <f t="shared" si="15"/>
        <v>1.7279411764705882E-7</v>
      </c>
      <c r="Q19" s="5">
        <f t="shared" si="15"/>
        <v>1.7205882352941178E-7</v>
      </c>
    </row>
    <row r="20" spans="1:17" ht="15.95" x14ac:dyDescent="0.2">
      <c r="B20" s="2"/>
      <c r="C20" s="3">
        <f>620*10^-3</f>
        <v>0.62</v>
      </c>
      <c r="D20" s="3">
        <f>5.35*10^-3</f>
        <v>5.3499999999999997E-3</v>
      </c>
      <c r="E20" s="3">
        <f>6.15*10^-3</f>
        <v>6.1500000000000001E-3</v>
      </c>
      <c r="F20" s="4">
        <f t="shared" si="13"/>
        <v>1.573529411764706E-7</v>
      </c>
      <c r="G20" s="5">
        <f t="shared" si="13"/>
        <v>1.8088235294117647E-7</v>
      </c>
      <c r="H20" s="3">
        <f>760*10^-3</f>
        <v>0.76</v>
      </c>
      <c r="I20" s="3">
        <f>5.755*10^-3</f>
        <v>5.7549999999999997E-3</v>
      </c>
      <c r="J20" s="3">
        <f>5.85*10^-3</f>
        <v>5.8500000000000002E-3</v>
      </c>
      <c r="K20" s="4">
        <f t="shared" si="14"/>
        <v>1.6926470588235291E-7</v>
      </c>
      <c r="L20" s="5">
        <f t="shared" si="14"/>
        <v>1.7205882352941178E-7</v>
      </c>
      <c r="M20" s="3">
        <f>860*10^-3</f>
        <v>0.86</v>
      </c>
      <c r="N20" s="3">
        <f>6.8*10^-3</f>
        <v>6.7999999999999996E-3</v>
      </c>
      <c r="O20" s="3">
        <f>5.7*10^-3</f>
        <v>5.7000000000000002E-3</v>
      </c>
      <c r="P20" s="4">
        <f t="shared" si="15"/>
        <v>1.9999999999999999E-7</v>
      </c>
      <c r="Q20" s="5">
        <f t="shared" si="15"/>
        <v>1.6764705882352942E-7</v>
      </c>
    </row>
    <row r="21" spans="1:17" ht="15.95" x14ac:dyDescent="0.2">
      <c r="B21" s="7"/>
      <c r="C21" s="3">
        <f>540*10^-3</f>
        <v>0.54</v>
      </c>
      <c r="D21" s="3">
        <f>5.775*10^-3</f>
        <v>5.7750000000000006E-3</v>
      </c>
      <c r="E21" s="3">
        <f>6.15*10^-3</f>
        <v>6.1500000000000001E-3</v>
      </c>
      <c r="F21" s="4">
        <f t="shared" si="13"/>
        <v>1.6985294117647061E-7</v>
      </c>
      <c r="G21" s="5">
        <f t="shared" si="13"/>
        <v>1.8088235294117647E-7</v>
      </c>
      <c r="H21" s="3">
        <f>760*10^-3</f>
        <v>0.76</v>
      </c>
      <c r="I21" s="3">
        <f>5.9*10^-3</f>
        <v>5.9000000000000007E-3</v>
      </c>
      <c r="J21" s="3">
        <f>5.85*10^-3</f>
        <v>5.8500000000000002E-3</v>
      </c>
      <c r="K21" s="4">
        <f t="shared" si="14"/>
        <v>1.735294117647059E-7</v>
      </c>
      <c r="L21" s="5">
        <f t="shared" si="14"/>
        <v>1.7205882352941178E-7</v>
      </c>
      <c r="M21" s="3">
        <f>860*10^-3</f>
        <v>0.86</v>
      </c>
      <c r="N21" s="3">
        <f>5.75*10^-3</f>
        <v>5.7499999999999999E-3</v>
      </c>
      <c r="O21" s="3">
        <f>5.75*10^-3</f>
        <v>5.7499999999999999E-3</v>
      </c>
      <c r="P21" s="4">
        <f t="shared" si="15"/>
        <v>1.6911764705882354E-7</v>
      </c>
      <c r="Q21" s="5">
        <f t="shared" si="15"/>
        <v>1.6911764705882354E-7</v>
      </c>
    </row>
    <row r="22" spans="1:17" x14ac:dyDescent="0.2">
      <c r="B22" s="8" t="s">
        <v>7</v>
      </c>
      <c r="C22" s="9">
        <f>AVERAGE(C17:C21)</f>
        <v>0.57200000000000006</v>
      </c>
      <c r="D22" s="6">
        <f t="shared" ref="D22:Q22" si="16">AVERAGE(D17:D21)</f>
        <v>5.6500000000000005E-3</v>
      </c>
      <c r="E22" s="6">
        <f t="shared" si="16"/>
        <v>6.0000000000000001E-3</v>
      </c>
      <c r="F22" s="6">
        <f t="shared" si="16"/>
        <v>1.6617647058823529E-7</v>
      </c>
      <c r="G22" s="6">
        <f t="shared" si="16"/>
        <v>1.7647058823529414E-7</v>
      </c>
      <c r="H22" s="6">
        <f t="shared" si="16"/>
        <v>0.7639999999999999</v>
      </c>
      <c r="I22" s="6">
        <f t="shared" si="16"/>
        <v>5.8060000000000004E-3</v>
      </c>
      <c r="J22" s="9">
        <f t="shared" si="16"/>
        <v>5.8300000000000001E-3</v>
      </c>
      <c r="K22" s="6">
        <f t="shared" si="16"/>
        <v>1.7076470588235295E-7</v>
      </c>
      <c r="L22" s="6">
        <f t="shared" si="16"/>
        <v>1.7147058823529411E-7</v>
      </c>
      <c r="M22" s="9">
        <f t="shared" si="16"/>
        <v>0.84000000000000008</v>
      </c>
      <c r="N22" s="6">
        <f t="shared" si="16"/>
        <v>5.9899999999999997E-3</v>
      </c>
      <c r="O22" s="9">
        <f t="shared" si="16"/>
        <v>5.8200000000000005E-3</v>
      </c>
      <c r="P22" s="6">
        <f t="shared" si="16"/>
        <v>1.761764705882353E-7</v>
      </c>
      <c r="Q22" s="6">
        <f t="shared" si="16"/>
        <v>1.711764705882353E-7</v>
      </c>
    </row>
    <row r="23" spans="1:17" ht="15.95" x14ac:dyDescent="0.2">
      <c r="B23" s="2">
        <v>2</v>
      </c>
      <c r="C23" s="3">
        <f>80*10^-3</f>
        <v>0.08</v>
      </c>
      <c r="D23" s="3">
        <f>6*10^-3</f>
        <v>6.0000000000000001E-3</v>
      </c>
      <c r="E23" s="3">
        <f>9.2*10^-3</f>
        <v>9.1999999999999998E-3</v>
      </c>
      <c r="F23" s="4">
        <f>(D23/5)/(6.8*10^3)</f>
        <v>1.7647058823529414E-7</v>
      </c>
      <c r="G23" s="5">
        <f>(E23/5)/(6.8*10^3)</f>
        <v>2.7058823529411768E-7</v>
      </c>
      <c r="H23" s="3">
        <f>84*10^-3</f>
        <v>8.4000000000000005E-2</v>
      </c>
      <c r="I23" s="3">
        <f>29.53*10^-3</f>
        <v>2.9530000000000001E-2</v>
      </c>
      <c r="J23" s="3">
        <f>29.6*10^-3</f>
        <v>2.9600000000000001E-2</v>
      </c>
      <c r="K23" s="4">
        <f>(I23/5)/(6.8*10^3)</f>
        <v>8.6852941176470589E-7</v>
      </c>
      <c r="L23" s="5">
        <f>(J23/5)/(6.8*10^3)</f>
        <v>8.7058823529411765E-7</v>
      </c>
      <c r="M23" s="3">
        <f>172*10^-3</f>
        <v>0.17200000000000001</v>
      </c>
      <c r="N23" s="3">
        <f>6*10^-3</f>
        <v>6.0000000000000001E-3</v>
      </c>
      <c r="O23" s="3">
        <f>8*10^-3</f>
        <v>8.0000000000000002E-3</v>
      </c>
      <c r="P23" s="4">
        <f>(N23/5)/(6.8*10^3)</f>
        <v>1.7647058823529414E-7</v>
      </c>
      <c r="Q23" s="11">
        <f>(O23/5)/(6.8*10^3)</f>
        <v>2.3529411764705883E-7</v>
      </c>
    </row>
    <row r="24" spans="1:17" ht="15.75" x14ac:dyDescent="0.25">
      <c r="B24" s="2"/>
      <c r="C24" s="3">
        <f>88*10^-3</f>
        <v>8.7999999999999995E-2</v>
      </c>
      <c r="D24" s="3">
        <f>26.8*10^-3</f>
        <v>2.6800000000000001E-2</v>
      </c>
      <c r="E24" s="3">
        <f>9*10^-3</f>
        <v>9.0000000000000011E-3</v>
      </c>
      <c r="F24" s="4">
        <f t="shared" ref="F24:G27" si="17">(D24/5)/(6.8*10^3)</f>
        <v>7.882352941176471E-7</v>
      </c>
      <c r="G24" s="5">
        <f t="shared" si="17"/>
        <v>2.647058823529412E-7</v>
      </c>
      <c r="H24" s="3">
        <f>84*10^-3</f>
        <v>8.4000000000000005E-2</v>
      </c>
      <c r="I24" s="3">
        <f>7*10^-3</f>
        <v>7.0000000000000001E-3</v>
      </c>
      <c r="J24" s="3">
        <f>9*10^-3</f>
        <v>9.0000000000000011E-3</v>
      </c>
      <c r="K24" s="4">
        <f t="shared" ref="K24:L27" si="18">(I24/5)/(6.8*10^3)</f>
        <v>2.0588235294117647E-7</v>
      </c>
      <c r="L24" s="5">
        <f t="shared" si="18"/>
        <v>2.647058823529412E-7</v>
      </c>
      <c r="M24" s="3">
        <f>172*10^-3</f>
        <v>0.17200000000000001</v>
      </c>
      <c r="N24" s="3">
        <f>6*10^-3</f>
        <v>6.0000000000000001E-3</v>
      </c>
      <c r="O24" s="3">
        <f>8*10^-3</f>
        <v>8.0000000000000002E-3</v>
      </c>
      <c r="P24" s="4">
        <f t="shared" ref="P24:Q27" si="19">(N24/5)/(6.8*10^3)</f>
        <v>1.7647058823529414E-7</v>
      </c>
      <c r="Q24" s="5">
        <f t="shared" si="19"/>
        <v>2.3529411764705883E-7</v>
      </c>
    </row>
    <row r="25" spans="1:17" ht="15.75" x14ac:dyDescent="0.25">
      <c r="B25" s="2"/>
      <c r="C25" s="3">
        <f>80*10^-3</f>
        <v>0.08</v>
      </c>
      <c r="D25" s="3">
        <f>6.3*10^-3</f>
        <v>6.3E-3</v>
      </c>
      <c r="E25" s="3">
        <f>9*10^-3</f>
        <v>9.0000000000000011E-3</v>
      </c>
      <c r="F25" s="4">
        <f t="shared" si="17"/>
        <v>1.8529411764705884E-7</v>
      </c>
      <c r="G25" s="5">
        <f t="shared" si="17"/>
        <v>2.647058823529412E-7</v>
      </c>
      <c r="H25" s="3">
        <f>104*10^-3</f>
        <v>0.10400000000000001</v>
      </c>
      <c r="I25" s="3">
        <f>17.9*10^-3</f>
        <v>1.7899999999999999E-2</v>
      </c>
      <c r="J25" s="3">
        <f>49.6*10^-3</f>
        <v>4.9600000000000005E-2</v>
      </c>
      <c r="K25" s="4">
        <f t="shared" si="18"/>
        <v>5.264705882352941E-7</v>
      </c>
      <c r="L25" s="5">
        <f t="shared" si="18"/>
        <v>1.458823529411765E-6</v>
      </c>
      <c r="M25" s="3">
        <f>176*10^-3</f>
        <v>0.17599999999999999</v>
      </c>
      <c r="N25" s="3">
        <f>6.6*10^-3</f>
        <v>6.6E-3</v>
      </c>
      <c r="O25" s="3">
        <f>8*10^-3</f>
        <v>8.0000000000000002E-3</v>
      </c>
      <c r="P25" s="4">
        <f t="shared" si="19"/>
        <v>1.9411764705882353E-7</v>
      </c>
      <c r="Q25" s="5">
        <f t="shared" si="19"/>
        <v>2.3529411764705883E-7</v>
      </c>
    </row>
    <row r="26" spans="1:17" ht="15.75" x14ac:dyDescent="0.25">
      <c r="B26" s="2"/>
      <c r="C26" s="3">
        <f>80*10^-3</f>
        <v>0.08</v>
      </c>
      <c r="D26" s="3">
        <f>6.3*10^-3</f>
        <v>6.3E-3</v>
      </c>
      <c r="E26" s="3">
        <f>9*10^-3</f>
        <v>9.0000000000000011E-3</v>
      </c>
      <c r="F26" s="4">
        <f t="shared" si="17"/>
        <v>1.8529411764705884E-7</v>
      </c>
      <c r="G26" s="5">
        <f t="shared" si="17"/>
        <v>2.647058823529412E-7</v>
      </c>
      <c r="H26" s="3">
        <f>104*10^-3</f>
        <v>0.10400000000000001</v>
      </c>
      <c r="I26" s="3">
        <f>17.9*10^-3</f>
        <v>1.7899999999999999E-2</v>
      </c>
      <c r="J26" s="3">
        <f>49.6*10^-3</f>
        <v>4.9600000000000005E-2</v>
      </c>
      <c r="K26" s="4">
        <f t="shared" si="18"/>
        <v>5.264705882352941E-7</v>
      </c>
      <c r="L26" s="5">
        <f t="shared" si="18"/>
        <v>1.458823529411765E-6</v>
      </c>
      <c r="M26" s="3">
        <f>172*10^-3</f>
        <v>0.17200000000000001</v>
      </c>
      <c r="N26" s="3">
        <f>6.2*10^-3</f>
        <v>6.2000000000000006E-3</v>
      </c>
      <c r="O26" s="3">
        <f>8*10^-3</f>
        <v>8.0000000000000002E-3</v>
      </c>
      <c r="P26" s="4">
        <f t="shared" si="19"/>
        <v>1.8235294117647062E-7</v>
      </c>
      <c r="Q26" s="5">
        <f t="shared" si="19"/>
        <v>2.3529411764705883E-7</v>
      </c>
    </row>
    <row r="27" spans="1:17" ht="15.75" x14ac:dyDescent="0.25">
      <c r="B27" s="2"/>
      <c r="C27" s="3">
        <f>92*10^-3</f>
        <v>9.1999999999999998E-2</v>
      </c>
      <c r="D27" s="3">
        <f>17.4*10^-3</f>
        <v>1.7399999999999999E-2</v>
      </c>
      <c r="E27" s="3">
        <f>11.6*10^-3</f>
        <v>1.1599999999999999E-2</v>
      </c>
      <c r="F27" s="4">
        <f t="shared" si="17"/>
        <v>5.1176470588235284E-7</v>
      </c>
      <c r="G27" s="5">
        <f t="shared" si="17"/>
        <v>3.4117647058823531E-7</v>
      </c>
      <c r="H27" s="3">
        <f>84*10^-3</f>
        <v>8.4000000000000005E-2</v>
      </c>
      <c r="I27" s="3">
        <f>16.3*10^-3</f>
        <v>1.6300000000000002E-2</v>
      </c>
      <c r="J27" s="3">
        <f>9*10^-3</f>
        <v>9.0000000000000011E-3</v>
      </c>
      <c r="K27" s="4">
        <f t="shared" si="18"/>
        <v>4.7941176470588245E-7</v>
      </c>
      <c r="L27" s="5">
        <f t="shared" si="18"/>
        <v>2.647058823529412E-7</v>
      </c>
      <c r="M27" s="3">
        <f>172*10^-3</f>
        <v>0.17200000000000001</v>
      </c>
      <c r="N27" s="3">
        <f>6.2*10^-3</f>
        <v>6.2000000000000006E-3</v>
      </c>
      <c r="O27" s="3">
        <f>8*10^-3</f>
        <v>8.0000000000000002E-3</v>
      </c>
      <c r="P27" s="4">
        <f t="shared" si="19"/>
        <v>1.8235294117647062E-7</v>
      </c>
      <c r="Q27" s="5">
        <f t="shared" si="19"/>
        <v>2.3529411764705883E-7</v>
      </c>
    </row>
    <row r="28" spans="1:17" x14ac:dyDescent="0.25">
      <c r="B28" s="6" t="s">
        <v>7</v>
      </c>
      <c r="C28" s="6">
        <f>AVERAGE(C23:C27)</f>
        <v>8.4000000000000005E-2</v>
      </c>
      <c r="D28" s="6">
        <f t="shared" ref="D28:Q28" si="20">AVERAGE(D23:D27)</f>
        <v>1.2559999999999998E-2</v>
      </c>
      <c r="E28" s="6">
        <f t="shared" si="20"/>
        <v>9.5600000000000008E-3</v>
      </c>
      <c r="F28" s="6">
        <f t="shared" si="20"/>
        <v>3.6941176470588233E-7</v>
      </c>
      <c r="G28" s="6">
        <f t="shared" si="20"/>
        <v>2.8117647058823536E-7</v>
      </c>
      <c r="H28" s="6">
        <f t="shared" si="20"/>
        <v>9.1999999999999998E-2</v>
      </c>
      <c r="I28" s="6">
        <f t="shared" si="20"/>
        <v>1.7726000000000002E-2</v>
      </c>
      <c r="J28" s="6">
        <f t="shared" si="20"/>
        <v>2.9360000000000004E-2</v>
      </c>
      <c r="K28" s="6">
        <f t="shared" si="20"/>
        <v>5.213529411764706E-7</v>
      </c>
      <c r="L28" s="6">
        <f t="shared" si="20"/>
        <v>8.6352941176470594E-7</v>
      </c>
      <c r="M28" s="6">
        <f t="shared" si="20"/>
        <v>0.17280000000000001</v>
      </c>
      <c r="N28" s="6">
        <f t="shared" si="20"/>
        <v>6.1999999999999998E-3</v>
      </c>
      <c r="O28" s="6">
        <f t="shared" si="20"/>
        <v>8.0000000000000002E-3</v>
      </c>
      <c r="P28" s="6">
        <f t="shared" si="20"/>
        <v>1.8235294117647062E-7</v>
      </c>
      <c r="Q28" s="6">
        <f t="shared" si="20"/>
        <v>2.3529411764705883E-7</v>
      </c>
    </row>
    <row r="29" spans="1:17" ht="15.75" x14ac:dyDescent="0.25">
      <c r="A29" t="s">
        <v>17</v>
      </c>
      <c r="B29" s="17">
        <v>1</v>
      </c>
      <c r="C29" s="3">
        <f>200*10^-3</f>
        <v>0.2</v>
      </c>
      <c r="D29" s="3">
        <f>5.35*10^-3</f>
        <v>5.3499999999999997E-3</v>
      </c>
      <c r="E29" s="3">
        <f>5.6*10^-3</f>
        <v>5.5999999999999999E-3</v>
      </c>
      <c r="F29" s="4">
        <f>(D29/5)/(6.8*10^3)</f>
        <v>1.573529411764706E-7</v>
      </c>
      <c r="G29" s="5">
        <f>(E29/5)/(6.8*10^3)</f>
        <v>1.6470588235294117E-7</v>
      </c>
      <c r="H29" s="3">
        <f>184*10^-3</f>
        <v>0.184</v>
      </c>
      <c r="I29" s="3">
        <f>4.8*10^-3</f>
        <v>4.7999999999999996E-3</v>
      </c>
      <c r="J29" s="3">
        <f>5.7*10^-3</f>
        <v>5.7000000000000002E-3</v>
      </c>
      <c r="K29" s="4">
        <f>(I29/5)/(6.8*10^3)</f>
        <v>1.4117647058823527E-7</v>
      </c>
      <c r="L29" s="5">
        <f>(J29/5)/(6.8*10^3)</f>
        <v>1.6764705882352942E-7</v>
      </c>
      <c r="M29" s="3">
        <f>464*10^-3</f>
        <v>0.46400000000000002</v>
      </c>
      <c r="N29" s="3">
        <f>6.3*10^-3</f>
        <v>6.3E-3</v>
      </c>
      <c r="O29" s="3">
        <f>6.5*10^-3</f>
        <v>6.5000000000000006E-3</v>
      </c>
      <c r="P29" s="4">
        <f>(N29/5)/(6.8*10^3)</f>
        <v>1.8529411764705884E-7</v>
      </c>
      <c r="Q29" s="5">
        <f>(O29/5)/(6.8*10^3)</f>
        <v>1.9117647058823532E-7</v>
      </c>
    </row>
    <row r="30" spans="1:17" ht="15.75" x14ac:dyDescent="0.25">
      <c r="B30" s="2"/>
      <c r="C30" s="3">
        <f>192*10^-3</f>
        <v>0.192</v>
      </c>
      <c r="D30" s="3">
        <f>5.4*10^-3</f>
        <v>5.4000000000000003E-3</v>
      </c>
      <c r="E30" s="3">
        <f>5.3*10^-3</f>
        <v>5.3E-3</v>
      </c>
      <c r="F30" s="4">
        <f t="shared" ref="F30:G33" si="21">(D30/5)/(6.8*10^3)</f>
        <v>1.5882352941176472E-7</v>
      </c>
      <c r="G30" s="5">
        <f t="shared" si="21"/>
        <v>1.5588235294117648E-7</v>
      </c>
      <c r="H30" s="3">
        <f>184*10^-3</f>
        <v>0.184</v>
      </c>
      <c r="I30" s="3">
        <f>4.65*10^-3</f>
        <v>4.6500000000000005E-3</v>
      </c>
      <c r="J30" s="3">
        <f>5.2*10^-3</f>
        <v>5.2000000000000006E-3</v>
      </c>
      <c r="K30" s="4">
        <f t="shared" ref="K30:L33" si="22">(I30/5)/(6.8*10^3)</f>
        <v>1.3676470588235296E-7</v>
      </c>
      <c r="L30" s="5">
        <f t="shared" si="22"/>
        <v>1.5294117647058826E-7</v>
      </c>
      <c r="M30" s="3">
        <f t="shared" ref="M30:M33" si="23">464*10^-3</f>
        <v>0.46400000000000002</v>
      </c>
      <c r="N30" s="3">
        <f>6.3*10^-3</f>
        <v>6.3E-3</v>
      </c>
      <c r="O30" s="3">
        <f>6.6*10^-3</f>
        <v>6.6E-3</v>
      </c>
      <c r="P30" s="4">
        <f t="shared" ref="P30:Q33" si="24">(N30/5)/(6.8*10^3)</f>
        <v>1.8529411764705884E-7</v>
      </c>
      <c r="Q30" s="5">
        <f t="shared" si="24"/>
        <v>1.9411764705882353E-7</v>
      </c>
    </row>
    <row r="31" spans="1:17" ht="15.75" x14ac:dyDescent="0.25">
      <c r="B31" s="2"/>
      <c r="C31" s="3">
        <f>192*10^-3</f>
        <v>0.192</v>
      </c>
      <c r="D31" s="3">
        <f>7.75*10^-3</f>
        <v>7.7499999999999999E-3</v>
      </c>
      <c r="E31" s="3">
        <f>5.6*10^-3</f>
        <v>5.5999999999999999E-3</v>
      </c>
      <c r="F31" s="4">
        <f t="shared" si="21"/>
        <v>2.2794117647058823E-7</v>
      </c>
      <c r="G31" s="5">
        <f t="shared" si="21"/>
        <v>1.6470588235294117E-7</v>
      </c>
      <c r="H31" s="3">
        <f>184*10^-3</f>
        <v>0.184</v>
      </c>
      <c r="I31" s="3">
        <f>5.25*10^-3</f>
        <v>5.2500000000000003E-3</v>
      </c>
      <c r="J31" s="3">
        <f>5.3*10^-3</f>
        <v>5.3E-3</v>
      </c>
      <c r="K31" s="4">
        <f t="shared" si="22"/>
        <v>1.5441176470588238E-7</v>
      </c>
      <c r="L31" s="5">
        <f t="shared" si="22"/>
        <v>1.5588235294117648E-7</v>
      </c>
      <c r="M31" s="3">
        <f t="shared" si="23"/>
        <v>0.46400000000000002</v>
      </c>
      <c r="N31" s="3">
        <f>6.3*10^-3</f>
        <v>6.3E-3</v>
      </c>
      <c r="O31" s="3">
        <f>6.6*10^-3</f>
        <v>6.6E-3</v>
      </c>
      <c r="P31" s="4">
        <f t="shared" si="24"/>
        <v>1.8529411764705884E-7</v>
      </c>
      <c r="Q31" s="5">
        <f t="shared" si="24"/>
        <v>1.9411764705882353E-7</v>
      </c>
    </row>
    <row r="32" spans="1:17" ht="15.75" x14ac:dyDescent="0.25">
      <c r="B32" s="2"/>
      <c r="C32" s="3">
        <f>200*10^-3</f>
        <v>0.2</v>
      </c>
      <c r="D32" s="3">
        <f>5.4*10^-3</f>
        <v>5.4000000000000003E-3</v>
      </c>
      <c r="E32" s="3">
        <f>5.6*10^-3</f>
        <v>5.5999999999999999E-3</v>
      </c>
      <c r="F32" s="4">
        <f t="shared" si="21"/>
        <v>1.5882352941176472E-7</v>
      </c>
      <c r="G32" s="5">
        <f t="shared" si="21"/>
        <v>1.6470588235294117E-7</v>
      </c>
      <c r="H32" s="3">
        <f>176*10^-3</f>
        <v>0.17599999999999999</v>
      </c>
      <c r="I32" s="3">
        <f>5.4*10^-3</f>
        <v>5.4000000000000003E-3</v>
      </c>
      <c r="J32" s="3">
        <f>5.5*10^-3</f>
        <v>5.4999999999999997E-3</v>
      </c>
      <c r="K32" s="4">
        <f t="shared" si="22"/>
        <v>1.5882352941176472E-7</v>
      </c>
      <c r="L32" s="5">
        <f t="shared" si="22"/>
        <v>1.6176470588235291E-7</v>
      </c>
      <c r="M32" s="3">
        <f t="shared" si="23"/>
        <v>0.46400000000000002</v>
      </c>
      <c r="N32" s="3">
        <f>6.4*10^-3</f>
        <v>6.4000000000000003E-3</v>
      </c>
      <c r="O32" s="3">
        <f>6.7*10^-3</f>
        <v>6.7000000000000002E-3</v>
      </c>
      <c r="P32" s="4">
        <f t="shared" si="24"/>
        <v>1.8823529411764708E-7</v>
      </c>
      <c r="Q32" s="5">
        <f t="shared" si="24"/>
        <v>1.9705882352941178E-7</v>
      </c>
    </row>
    <row r="33" spans="1:17" ht="15.75" x14ac:dyDescent="0.25">
      <c r="B33" s="7"/>
      <c r="C33" s="3">
        <f>200*10^-3</f>
        <v>0.2</v>
      </c>
      <c r="D33" s="3">
        <f>5.35*10^-3</f>
        <v>5.3499999999999997E-3</v>
      </c>
      <c r="E33" s="3">
        <f>5.5*10^-3</f>
        <v>5.4999999999999997E-3</v>
      </c>
      <c r="F33" s="4">
        <f t="shared" si="21"/>
        <v>1.573529411764706E-7</v>
      </c>
      <c r="G33" s="5">
        <f t="shared" si="21"/>
        <v>1.6176470588235291E-7</v>
      </c>
      <c r="H33" s="3">
        <f>176*10^-3</f>
        <v>0.17599999999999999</v>
      </c>
      <c r="I33" s="3">
        <f>5.35*10^-3</f>
        <v>5.3499999999999997E-3</v>
      </c>
      <c r="J33" s="3">
        <f>5.4*10^-3</f>
        <v>5.4000000000000003E-3</v>
      </c>
      <c r="K33" s="4">
        <f t="shared" si="22"/>
        <v>1.573529411764706E-7</v>
      </c>
      <c r="L33" s="5">
        <f t="shared" si="22"/>
        <v>1.5882352941176472E-7</v>
      </c>
      <c r="M33" s="3">
        <f t="shared" si="23"/>
        <v>0.46400000000000002</v>
      </c>
      <c r="N33" s="3">
        <f>6.35*10^-3</f>
        <v>6.3499999999999997E-3</v>
      </c>
      <c r="O33" s="3">
        <f>6.4*10^-3</f>
        <v>6.4000000000000003E-3</v>
      </c>
      <c r="P33" s="4">
        <f t="shared" si="24"/>
        <v>1.8676470588235293E-7</v>
      </c>
      <c r="Q33" s="5">
        <f t="shared" si="24"/>
        <v>1.8823529411764708E-7</v>
      </c>
    </row>
    <row r="34" spans="1:17" x14ac:dyDescent="0.25">
      <c r="B34" s="8" t="s">
        <v>7</v>
      </c>
      <c r="C34" s="6">
        <f>AVERAGE(C29:C33)</f>
        <v>0.1968</v>
      </c>
      <c r="D34" s="6">
        <f t="shared" ref="D34:G34" si="25">AVERAGE(D29:D33)</f>
        <v>5.8499999999999993E-3</v>
      </c>
      <c r="E34" s="6">
        <f t="shared" si="25"/>
        <v>5.5199999999999997E-3</v>
      </c>
      <c r="F34" s="6">
        <f t="shared" si="25"/>
        <v>1.7205882352941178E-7</v>
      </c>
      <c r="G34" s="6">
        <f t="shared" si="25"/>
        <v>1.6235294117647058E-7</v>
      </c>
      <c r="H34" s="6">
        <f>AVERAGE(H29:H33)</f>
        <v>0.18079999999999999</v>
      </c>
      <c r="I34" s="6">
        <f t="shared" ref="I34:L34" si="26">AVERAGE(I29:I33)</f>
        <v>5.0899999999999999E-3</v>
      </c>
      <c r="J34" s="6">
        <f t="shared" si="26"/>
        <v>5.4199999999999995E-3</v>
      </c>
      <c r="K34" s="6">
        <f t="shared" si="26"/>
        <v>1.4970588235294118E-7</v>
      </c>
      <c r="L34" s="6">
        <f t="shared" si="26"/>
        <v>1.5941176470588236E-7</v>
      </c>
      <c r="M34" s="6">
        <f>AVERAGE(M29:M33)</f>
        <v>0.46400000000000008</v>
      </c>
      <c r="N34" s="6">
        <f t="shared" ref="N34:Q34" si="27">AVERAGE(N29:N33)</f>
        <v>6.3299999999999997E-3</v>
      </c>
      <c r="O34" s="6">
        <f t="shared" si="27"/>
        <v>6.5600000000000007E-3</v>
      </c>
      <c r="P34" s="6">
        <f t="shared" si="27"/>
        <v>1.8617647058823531E-7</v>
      </c>
      <c r="Q34" s="6">
        <f t="shared" si="27"/>
        <v>1.9294117647058825E-7</v>
      </c>
    </row>
    <row r="35" spans="1:17" ht="15.75" x14ac:dyDescent="0.25">
      <c r="B35" s="2">
        <v>2</v>
      </c>
      <c r="C35" s="3">
        <f>128*10^-3</f>
        <v>0.128</v>
      </c>
      <c r="D35" s="3">
        <f>8.85*10^-3</f>
        <v>8.8500000000000002E-3</v>
      </c>
      <c r="E35" s="3">
        <f>9.7*10^-3</f>
        <v>9.7000000000000003E-3</v>
      </c>
      <c r="F35" s="4">
        <f>(D35/5)/(6.8*10^3)</f>
        <v>2.6029411764705886E-7</v>
      </c>
      <c r="G35" s="5">
        <f>(E35/5)/(6.8*10^3)</f>
        <v>2.8529411764705883E-7</v>
      </c>
      <c r="H35" s="3">
        <f>120*10^-3</f>
        <v>0.12</v>
      </c>
      <c r="I35" s="3">
        <f>8.05*10^-3</f>
        <v>8.0500000000000016E-3</v>
      </c>
      <c r="J35" s="3">
        <f>9.6*10^-3</f>
        <v>9.5999999999999992E-3</v>
      </c>
      <c r="K35" s="4">
        <f>(I35/5)/(6.8*10^3)</f>
        <v>2.3676470588235298E-7</v>
      </c>
      <c r="L35" s="5">
        <f>(J35/5)/(6.8*10^3)</f>
        <v>2.8235294117647054E-7</v>
      </c>
      <c r="M35" s="3">
        <f>252*10^-3</f>
        <v>0.252</v>
      </c>
      <c r="N35" s="3">
        <f>6.15*10^-3</f>
        <v>6.1500000000000001E-3</v>
      </c>
      <c r="O35" s="3">
        <f>5.7*10^-3</f>
        <v>5.7000000000000002E-3</v>
      </c>
      <c r="P35" s="4">
        <f>(N35/5)/(6.8*10^3)</f>
        <v>1.8088235294117647E-7</v>
      </c>
      <c r="Q35" s="5">
        <f>(O35/5)/(6.8*10^3)</f>
        <v>1.6764705882352942E-7</v>
      </c>
    </row>
    <row r="36" spans="1:17" ht="15.75" x14ac:dyDescent="0.25">
      <c r="B36" s="2"/>
      <c r="C36" s="3">
        <f>136*10^-3</f>
        <v>0.13600000000000001</v>
      </c>
      <c r="D36" s="3">
        <f>8.25*10^-3</f>
        <v>8.2500000000000004E-3</v>
      </c>
      <c r="E36" s="3">
        <f>9.9*10^-3</f>
        <v>9.9000000000000008E-3</v>
      </c>
      <c r="F36" s="4">
        <f t="shared" ref="F36:G39" si="28">(D36/5)/(6.8*10^3)</f>
        <v>2.4264705882352941E-7</v>
      </c>
      <c r="G36" s="5">
        <f t="shared" si="28"/>
        <v>2.9117647058823532E-7</v>
      </c>
      <c r="H36" s="3">
        <f t="shared" ref="H36:H39" si="29">120*10^-3</f>
        <v>0.12</v>
      </c>
      <c r="I36" s="3">
        <f>153.3*10^-3</f>
        <v>0.15330000000000002</v>
      </c>
      <c r="J36" s="3">
        <f>30*10^-3</f>
        <v>0.03</v>
      </c>
      <c r="K36" s="4">
        <f t="shared" ref="K36:L39" si="30">(I36/5)/(6.8*10^3)</f>
        <v>4.5088235294117648E-6</v>
      </c>
      <c r="L36" s="5">
        <f t="shared" si="30"/>
        <v>8.8235294117647062E-7</v>
      </c>
      <c r="M36" s="3">
        <f>256*10^-3</f>
        <v>0.25600000000000001</v>
      </c>
      <c r="N36" s="3">
        <f>6.6*10^-3</f>
        <v>6.6E-3</v>
      </c>
      <c r="O36" s="3">
        <f>6.9*10^-3</f>
        <v>6.9000000000000008E-3</v>
      </c>
      <c r="P36" s="4">
        <f t="shared" ref="P36:Q39" si="31">(N36/5)/(6.8*10^3)</f>
        <v>1.9411764705882353E-7</v>
      </c>
      <c r="Q36" s="5">
        <f t="shared" si="31"/>
        <v>2.0294117647058826E-7</v>
      </c>
    </row>
    <row r="37" spans="1:17" ht="15.75" x14ac:dyDescent="0.25">
      <c r="B37" s="2"/>
      <c r="C37" s="3">
        <f>128*10^-3</f>
        <v>0.128</v>
      </c>
      <c r="D37" s="3">
        <f>8.2*10^-3</f>
        <v>8.199999999999999E-3</v>
      </c>
      <c r="E37" s="3">
        <f>7.8*10^-3</f>
        <v>7.7999999999999996E-3</v>
      </c>
      <c r="F37" s="4">
        <f t="shared" si="28"/>
        <v>2.4117647058823526E-7</v>
      </c>
      <c r="G37" s="5">
        <f t="shared" si="28"/>
        <v>2.2941176470588235E-7</v>
      </c>
      <c r="H37" s="3">
        <f t="shared" si="29"/>
        <v>0.12</v>
      </c>
      <c r="I37" s="3">
        <f>6.25*10^-3</f>
        <v>6.2500000000000003E-3</v>
      </c>
      <c r="J37" s="3">
        <f>6.6*10^-3</f>
        <v>6.6E-3</v>
      </c>
      <c r="K37" s="4">
        <f t="shared" si="30"/>
        <v>1.8382352941176472E-7</v>
      </c>
      <c r="L37" s="5">
        <f t="shared" si="30"/>
        <v>1.9411764705882353E-7</v>
      </c>
      <c r="M37" s="3">
        <f t="shared" ref="M37:M38" si="32">252*10^-3</f>
        <v>0.252</v>
      </c>
      <c r="N37" s="3">
        <f>6.1*10^-3</f>
        <v>6.0999999999999995E-3</v>
      </c>
      <c r="O37" s="3">
        <f>6.6*10^-3</f>
        <v>6.6E-3</v>
      </c>
      <c r="P37" s="4">
        <f t="shared" si="31"/>
        <v>1.7941176470588235E-7</v>
      </c>
      <c r="Q37" s="5">
        <f t="shared" si="31"/>
        <v>1.9411764705882353E-7</v>
      </c>
    </row>
    <row r="38" spans="1:17" ht="15.75" x14ac:dyDescent="0.25">
      <c r="B38" s="2"/>
      <c r="C38" s="3">
        <f>128*10^-3</f>
        <v>0.128</v>
      </c>
      <c r="D38" s="3">
        <f>8.25*10^-3</f>
        <v>8.2500000000000004E-3</v>
      </c>
      <c r="E38" s="3">
        <f>7.9*10^-3</f>
        <v>7.9000000000000008E-3</v>
      </c>
      <c r="F38" s="4">
        <f t="shared" si="28"/>
        <v>2.4264705882352941E-7</v>
      </c>
      <c r="G38" s="5">
        <f t="shared" si="28"/>
        <v>2.3235294117647062E-7</v>
      </c>
      <c r="H38" s="3">
        <f t="shared" si="29"/>
        <v>0.12</v>
      </c>
      <c r="I38" s="3">
        <f>6.15*10^-3</f>
        <v>6.1500000000000001E-3</v>
      </c>
      <c r="J38" s="3">
        <f>6.4*10^-3</f>
        <v>6.4000000000000003E-3</v>
      </c>
      <c r="K38" s="4">
        <f t="shared" si="30"/>
        <v>1.8088235294117647E-7</v>
      </c>
      <c r="L38" s="5">
        <f t="shared" si="30"/>
        <v>1.8823529411764708E-7</v>
      </c>
      <c r="M38" s="3">
        <f t="shared" si="32"/>
        <v>0.252</v>
      </c>
      <c r="N38" s="3">
        <f>6.2*10^-3</f>
        <v>6.2000000000000006E-3</v>
      </c>
      <c r="O38" s="3">
        <f>5.8*10^-3</f>
        <v>5.7999999999999996E-3</v>
      </c>
      <c r="P38" s="4">
        <f t="shared" si="31"/>
        <v>1.8235294117647062E-7</v>
      </c>
      <c r="Q38" s="5">
        <f t="shared" si="31"/>
        <v>1.7058823529411766E-7</v>
      </c>
    </row>
    <row r="39" spans="1:17" ht="15.75" x14ac:dyDescent="0.25">
      <c r="B39" s="7"/>
      <c r="C39" s="3">
        <f>124*10^-3</f>
        <v>0.124</v>
      </c>
      <c r="D39" s="3">
        <f>8.25*10^-3</f>
        <v>8.2500000000000004E-3</v>
      </c>
      <c r="E39" s="3">
        <f>7.7*10^-3</f>
        <v>7.7000000000000002E-3</v>
      </c>
      <c r="F39" s="4">
        <f t="shared" si="28"/>
        <v>2.4264705882352941E-7</v>
      </c>
      <c r="G39" s="5">
        <f t="shared" si="28"/>
        <v>2.2647058823529414E-7</v>
      </c>
      <c r="H39" s="3">
        <f t="shared" si="29"/>
        <v>0.12</v>
      </c>
      <c r="I39" s="3">
        <f>6.15*10^-3</f>
        <v>6.1500000000000001E-3</v>
      </c>
      <c r="J39" s="3">
        <f>6*10^-3</f>
        <v>6.0000000000000001E-3</v>
      </c>
      <c r="K39" s="4">
        <f t="shared" si="30"/>
        <v>1.8088235294117647E-7</v>
      </c>
      <c r="L39" s="5">
        <f t="shared" si="30"/>
        <v>1.7647058823529414E-7</v>
      </c>
      <c r="M39" s="3">
        <f>256*10^-3</f>
        <v>0.25600000000000001</v>
      </c>
      <c r="N39" s="3">
        <f>6.15*10^-3</f>
        <v>6.1500000000000001E-3</v>
      </c>
      <c r="O39" s="3">
        <f>5.7*10^-3</f>
        <v>5.7000000000000002E-3</v>
      </c>
      <c r="P39" s="4">
        <f t="shared" si="31"/>
        <v>1.8088235294117647E-7</v>
      </c>
      <c r="Q39" s="5">
        <f t="shared" si="31"/>
        <v>1.6764705882352942E-7</v>
      </c>
    </row>
    <row r="40" spans="1:17" x14ac:dyDescent="0.25">
      <c r="B40" s="8" t="s">
        <v>7</v>
      </c>
      <c r="C40" s="9">
        <f>AVERAGE(C35:C39)</f>
        <v>0.1288</v>
      </c>
      <c r="D40" s="6">
        <f t="shared" ref="D40:Q40" si="33">AVERAGE(D35:D39)</f>
        <v>8.3599999999999994E-3</v>
      </c>
      <c r="E40" s="6">
        <f t="shared" si="33"/>
        <v>8.6E-3</v>
      </c>
      <c r="F40" s="6">
        <f t="shared" si="33"/>
        <v>2.4588235294117651E-7</v>
      </c>
      <c r="G40" s="6">
        <f t="shared" si="33"/>
        <v>2.5294117647058828E-7</v>
      </c>
      <c r="H40" s="6">
        <f t="shared" si="33"/>
        <v>0.12</v>
      </c>
      <c r="I40" s="6">
        <f t="shared" si="33"/>
        <v>3.5979999999999998E-2</v>
      </c>
      <c r="J40" s="9">
        <f t="shared" si="33"/>
        <v>1.172E-2</v>
      </c>
      <c r="K40" s="6">
        <f t="shared" si="33"/>
        <v>1.058235294117647E-6</v>
      </c>
      <c r="L40" s="6">
        <f t="shared" si="33"/>
        <v>3.4470588235294117E-7</v>
      </c>
      <c r="M40" s="9">
        <f t="shared" si="33"/>
        <v>0.25359999999999999</v>
      </c>
      <c r="N40" s="6">
        <f t="shared" si="33"/>
        <v>6.2399999999999999E-3</v>
      </c>
      <c r="O40" s="9">
        <f t="shared" si="33"/>
        <v>6.1400000000000005E-3</v>
      </c>
      <c r="P40" s="6">
        <f t="shared" si="33"/>
        <v>1.8352941176470591E-7</v>
      </c>
      <c r="Q40" s="6">
        <f t="shared" si="33"/>
        <v>1.8058823529411764E-7</v>
      </c>
    </row>
    <row r="41" spans="1:17" ht="15.75" x14ac:dyDescent="0.25">
      <c r="A41" t="s">
        <v>18</v>
      </c>
      <c r="B41" s="17">
        <v>1</v>
      </c>
      <c r="C41" s="3"/>
      <c r="D41" s="3"/>
      <c r="E41" s="3"/>
      <c r="F41" s="4">
        <f>(D41/5)/(6.8*10^3)</f>
        <v>0</v>
      </c>
      <c r="G41" s="5">
        <f>(E41/5)/(6.8*10^3)</f>
        <v>0</v>
      </c>
      <c r="H41" s="3"/>
      <c r="I41" s="3"/>
      <c r="J41" s="3"/>
      <c r="K41" s="4">
        <f>(I41/5)/(6.8*10^3)</f>
        <v>0</v>
      </c>
      <c r="L41" s="5">
        <f>(J41/5)/(6.8*10^3)</f>
        <v>0</v>
      </c>
      <c r="M41" s="3"/>
      <c r="N41" s="3"/>
      <c r="O41" s="3"/>
      <c r="P41" s="4">
        <f>(N41/5)/(6.8*10^3)</f>
        <v>0</v>
      </c>
      <c r="Q41" s="11">
        <f>(O41/5)/(6.8*10^3)</f>
        <v>0</v>
      </c>
    </row>
    <row r="42" spans="1:17" ht="15.75" x14ac:dyDescent="0.25">
      <c r="B42" s="2"/>
      <c r="C42" s="3"/>
      <c r="D42" s="3"/>
      <c r="E42" s="3"/>
      <c r="F42" s="4">
        <f t="shared" ref="F42:G45" si="34">(D42/5)/(6.8*10^3)</f>
        <v>0</v>
      </c>
      <c r="G42" s="5">
        <f t="shared" si="34"/>
        <v>0</v>
      </c>
      <c r="H42" s="3"/>
      <c r="I42" s="3"/>
      <c r="J42" s="3"/>
      <c r="K42" s="4">
        <f t="shared" ref="K42:L45" si="35">(I42/5)/(6.8*10^3)</f>
        <v>0</v>
      </c>
      <c r="L42" s="5">
        <f t="shared" si="35"/>
        <v>0</v>
      </c>
      <c r="M42" s="3"/>
      <c r="N42" s="3"/>
      <c r="O42" s="3"/>
      <c r="P42" s="4">
        <f t="shared" ref="P42:Q45" si="36">(N42/5)/(6.8*10^3)</f>
        <v>0</v>
      </c>
      <c r="Q42" s="5">
        <f t="shared" si="36"/>
        <v>0</v>
      </c>
    </row>
    <row r="43" spans="1:17" ht="15.75" x14ac:dyDescent="0.25">
      <c r="B43" s="2"/>
      <c r="C43" s="3"/>
      <c r="D43" s="3"/>
      <c r="E43" s="3"/>
      <c r="F43" s="4">
        <f t="shared" si="34"/>
        <v>0</v>
      </c>
      <c r="G43" s="5">
        <f t="shared" si="34"/>
        <v>0</v>
      </c>
      <c r="H43" s="3"/>
      <c r="I43" s="3"/>
      <c r="J43" s="3"/>
      <c r="K43" s="4">
        <f t="shared" si="35"/>
        <v>0</v>
      </c>
      <c r="L43" s="5">
        <f t="shared" si="35"/>
        <v>0</v>
      </c>
      <c r="M43" s="3"/>
      <c r="N43" s="3"/>
      <c r="O43" s="3"/>
      <c r="P43" s="4">
        <f t="shared" si="36"/>
        <v>0</v>
      </c>
      <c r="Q43" s="5">
        <f t="shared" si="36"/>
        <v>0</v>
      </c>
    </row>
    <row r="44" spans="1:17" ht="15.75" x14ac:dyDescent="0.25">
      <c r="B44" s="2"/>
      <c r="C44" s="3"/>
      <c r="D44" s="3"/>
      <c r="E44" s="3"/>
      <c r="F44" s="4">
        <f t="shared" si="34"/>
        <v>0</v>
      </c>
      <c r="G44" s="5">
        <f t="shared" si="34"/>
        <v>0</v>
      </c>
      <c r="H44" s="3"/>
      <c r="I44" s="3"/>
      <c r="J44" s="3"/>
      <c r="K44" s="4">
        <f t="shared" si="35"/>
        <v>0</v>
      </c>
      <c r="L44" s="5">
        <f t="shared" si="35"/>
        <v>0</v>
      </c>
      <c r="M44" s="3"/>
      <c r="N44" s="3"/>
      <c r="O44" s="3"/>
      <c r="P44" s="4">
        <f t="shared" si="36"/>
        <v>0</v>
      </c>
      <c r="Q44" s="5">
        <f t="shared" si="36"/>
        <v>0</v>
      </c>
    </row>
    <row r="45" spans="1:17" ht="15.75" x14ac:dyDescent="0.25">
      <c r="B45" s="2"/>
      <c r="C45" s="3"/>
      <c r="D45" s="3"/>
      <c r="E45" s="3"/>
      <c r="F45" s="4">
        <f t="shared" si="34"/>
        <v>0</v>
      </c>
      <c r="G45" s="5">
        <f t="shared" si="34"/>
        <v>0</v>
      </c>
      <c r="H45" s="3"/>
      <c r="I45" s="3"/>
      <c r="J45" s="3"/>
      <c r="K45" s="4">
        <f t="shared" si="35"/>
        <v>0</v>
      </c>
      <c r="L45" s="5">
        <f t="shared" si="35"/>
        <v>0</v>
      </c>
      <c r="M45" s="3"/>
      <c r="N45" s="3"/>
      <c r="O45" s="3"/>
      <c r="P45" s="4">
        <f t="shared" si="36"/>
        <v>0</v>
      </c>
      <c r="Q45" s="5">
        <f t="shared" si="36"/>
        <v>0</v>
      </c>
    </row>
    <row r="46" spans="1:17" x14ac:dyDescent="0.25">
      <c r="B46" s="6" t="s">
        <v>7</v>
      </c>
      <c r="C46" s="6" t="e">
        <f>AVERAGE(C41:C45)</f>
        <v>#DIV/0!</v>
      </c>
      <c r="D46" s="6" t="e">
        <f t="shared" ref="D46:Q46" si="37">AVERAGE(D41:D45)</f>
        <v>#DIV/0!</v>
      </c>
      <c r="E46" s="6" t="e">
        <f t="shared" si="37"/>
        <v>#DIV/0!</v>
      </c>
      <c r="F46" s="6">
        <f t="shared" si="37"/>
        <v>0</v>
      </c>
      <c r="G46" s="6">
        <f t="shared" si="37"/>
        <v>0</v>
      </c>
      <c r="H46" s="6" t="e">
        <f t="shared" si="37"/>
        <v>#DIV/0!</v>
      </c>
      <c r="I46" s="6" t="e">
        <f t="shared" si="37"/>
        <v>#DIV/0!</v>
      </c>
      <c r="J46" s="6" t="e">
        <f t="shared" si="37"/>
        <v>#DIV/0!</v>
      </c>
      <c r="K46" s="6">
        <f t="shared" si="37"/>
        <v>0</v>
      </c>
      <c r="L46" s="6">
        <f t="shared" si="37"/>
        <v>0</v>
      </c>
      <c r="M46" s="6" t="e">
        <f t="shared" si="37"/>
        <v>#DIV/0!</v>
      </c>
      <c r="N46" s="6" t="e">
        <f t="shared" si="37"/>
        <v>#DIV/0!</v>
      </c>
      <c r="O46" s="6" t="e">
        <f t="shared" si="37"/>
        <v>#DIV/0!</v>
      </c>
      <c r="P46" s="6">
        <f t="shared" si="37"/>
        <v>0</v>
      </c>
      <c r="Q46" s="6">
        <f t="shared" si="37"/>
        <v>0</v>
      </c>
    </row>
    <row r="47" spans="1:17" ht="15.75" x14ac:dyDescent="0.25">
      <c r="B47" s="16">
        <v>2</v>
      </c>
      <c r="C47" s="3">
        <f>200*10^-3</f>
        <v>0.2</v>
      </c>
      <c r="D47" s="3">
        <f>5.8*10^-3</f>
        <v>5.7999999999999996E-3</v>
      </c>
      <c r="E47" s="3">
        <f>6*10^-3</f>
        <v>6.0000000000000001E-3</v>
      </c>
      <c r="F47" s="4">
        <f>(D47/5)/(6.8*10^3)</f>
        <v>1.7058823529411766E-7</v>
      </c>
      <c r="G47" s="5">
        <f>(E47/5)/(6.8*10^3)</f>
        <v>1.7647058823529414E-7</v>
      </c>
      <c r="H47" s="3">
        <f>216*10^-3</f>
        <v>0.216</v>
      </c>
      <c r="I47" s="3">
        <f>6.6*10^-3</f>
        <v>6.6E-3</v>
      </c>
      <c r="J47" s="3">
        <f>7.4*10^-3</f>
        <v>7.4000000000000003E-3</v>
      </c>
      <c r="K47" s="4">
        <f>(I47/5)/(6.8*10^3)</f>
        <v>1.9411764705882353E-7</v>
      </c>
      <c r="L47" s="5">
        <f>(J47/5)/(6.8*10^3)</f>
        <v>2.1764705882352941E-7</v>
      </c>
      <c r="M47" s="3">
        <f>400*10^-3</f>
        <v>0.4</v>
      </c>
      <c r="N47" s="3">
        <f>6*10^-3</f>
        <v>6.0000000000000001E-3</v>
      </c>
      <c r="O47" s="3">
        <f>5.8*10^-3</f>
        <v>5.7999999999999996E-3</v>
      </c>
      <c r="P47" s="4">
        <f>(N47/5)/(6.8*10^3)</f>
        <v>1.7647058823529414E-7</v>
      </c>
      <c r="Q47" s="11">
        <f>(O47/5)/(6.8*10^3)</f>
        <v>1.7058823529411766E-7</v>
      </c>
    </row>
    <row r="48" spans="1:17" ht="15.75" x14ac:dyDescent="0.25">
      <c r="B48" s="16"/>
      <c r="C48" s="3">
        <f>204*10^-3</f>
        <v>0.20400000000000001</v>
      </c>
      <c r="D48" s="3">
        <f>6*10^-3</f>
        <v>6.0000000000000001E-3</v>
      </c>
      <c r="E48" s="3">
        <f t="shared" ref="E48:E49" si="38">6*10^-3</f>
        <v>6.0000000000000001E-3</v>
      </c>
      <c r="F48" s="4">
        <f t="shared" ref="F48:F51" si="39">(D48/5)/(6.8*10^3)</f>
        <v>1.7647058823529414E-7</v>
      </c>
      <c r="G48" s="5">
        <f t="shared" ref="G48:G51" si="40">(E48/5)/(6.8*10^3)</f>
        <v>1.7647058823529414E-7</v>
      </c>
      <c r="H48" s="3">
        <f>204*10^-3</f>
        <v>0.20400000000000001</v>
      </c>
      <c r="I48" s="3">
        <f>5.7*10^-3</f>
        <v>5.7000000000000002E-3</v>
      </c>
      <c r="J48" s="3">
        <f>6*10^-3</f>
        <v>6.0000000000000001E-3</v>
      </c>
      <c r="K48" s="4">
        <f t="shared" ref="K48:K51" si="41">(I48/5)/(6.8*10^3)</f>
        <v>1.6764705882352942E-7</v>
      </c>
      <c r="L48" s="5">
        <f t="shared" ref="L48:L51" si="42">(J48/5)/(6.8*10^3)</f>
        <v>1.7647058823529414E-7</v>
      </c>
      <c r="M48" s="3">
        <f>416*10^-3</f>
        <v>0.41600000000000004</v>
      </c>
      <c r="N48" s="3">
        <f>6.05*10^-3</f>
        <v>6.0499999999999998E-3</v>
      </c>
      <c r="O48" s="3">
        <f>6.4*10^-3</f>
        <v>6.4000000000000003E-3</v>
      </c>
      <c r="P48" s="4">
        <f t="shared" ref="P48:P51" si="43">(N48/5)/(6.8*10^3)</f>
        <v>1.7794117647058823E-7</v>
      </c>
      <c r="Q48" s="5">
        <f t="shared" ref="Q48:Q51" si="44">(O48/5)/(6.8*10^3)</f>
        <v>1.8823529411764708E-7</v>
      </c>
    </row>
    <row r="49" spans="1:17" ht="15.75" x14ac:dyDescent="0.25">
      <c r="B49" s="16"/>
      <c r="C49" s="3">
        <f>204*10^-3</f>
        <v>0.20400000000000001</v>
      </c>
      <c r="D49" s="3">
        <f>6*10^-3</f>
        <v>6.0000000000000001E-3</v>
      </c>
      <c r="E49" s="3">
        <f t="shared" si="38"/>
        <v>6.0000000000000001E-3</v>
      </c>
      <c r="F49" s="4">
        <f t="shared" si="39"/>
        <v>1.7647058823529414E-7</v>
      </c>
      <c r="G49" s="5">
        <f t="shared" si="40"/>
        <v>1.7647058823529414E-7</v>
      </c>
      <c r="H49" s="3">
        <f>208*10^-3</f>
        <v>0.20800000000000002</v>
      </c>
      <c r="I49" s="3">
        <f>6.7*10^-3</f>
        <v>6.7000000000000002E-3</v>
      </c>
      <c r="J49" s="3">
        <f>6*10^-3</f>
        <v>6.0000000000000001E-3</v>
      </c>
      <c r="K49" s="4">
        <f t="shared" si="41"/>
        <v>1.9705882352941178E-7</v>
      </c>
      <c r="L49" s="5">
        <f t="shared" si="42"/>
        <v>1.7647058823529414E-7</v>
      </c>
      <c r="M49" s="3">
        <f>416*10^-3</f>
        <v>0.41600000000000004</v>
      </c>
      <c r="N49" s="3">
        <f>6.3*10^-3</f>
        <v>6.3E-3</v>
      </c>
      <c r="O49" s="3">
        <f>6.4*10^-3</f>
        <v>6.4000000000000003E-3</v>
      </c>
      <c r="P49" s="4">
        <f t="shared" si="43"/>
        <v>1.8529411764705884E-7</v>
      </c>
      <c r="Q49" s="5">
        <f t="shared" si="44"/>
        <v>1.8823529411764708E-7</v>
      </c>
    </row>
    <row r="50" spans="1:17" ht="15.75" x14ac:dyDescent="0.25">
      <c r="B50" s="16"/>
      <c r="C50" s="3">
        <f t="shared" ref="C50:C51" si="45">200*10^-3</f>
        <v>0.2</v>
      </c>
      <c r="D50" s="3">
        <f t="shared" ref="D50" si="46">5.8*10^-3</f>
        <v>5.7999999999999996E-3</v>
      </c>
      <c r="E50" s="3">
        <f>6.2*10^-3</f>
        <v>6.2000000000000006E-3</v>
      </c>
      <c r="F50" s="4">
        <f t="shared" si="39"/>
        <v>1.7058823529411766E-7</v>
      </c>
      <c r="G50" s="5">
        <f t="shared" si="40"/>
        <v>1.8235294117647062E-7</v>
      </c>
      <c r="H50" s="3">
        <f t="shared" ref="H50:H51" si="47">200*10^-3</f>
        <v>0.2</v>
      </c>
      <c r="I50" s="3">
        <f t="shared" ref="I50:I51" si="48">6.7*10^-3</f>
        <v>6.7000000000000002E-3</v>
      </c>
      <c r="J50" s="3">
        <f>7*10^-3</f>
        <v>7.0000000000000001E-3</v>
      </c>
      <c r="K50" s="4">
        <f t="shared" si="41"/>
        <v>1.9705882352941178E-7</v>
      </c>
      <c r="L50" s="5">
        <f t="shared" si="42"/>
        <v>2.0588235294117647E-7</v>
      </c>
      <c r="M50" s="3">
        <f>408*10^-3</f>
        <v>0.40800000000000003</v>
      </c>
      <c r="N50" s="3">
        <f>6*10^-3</f>
        <v>6.0000000000000001E-3</v>
      </c>
      <c r="O50" s="3">
        <f>6.4*10^-3</f>
        <v>6.4000000000000003E-3</v>
      </c>
      <c r="P50" s="4">
        <f t="shared" si="43"/>
        <v>1.7647058823529414E-7</v>
      </c>
      <c r="Q50" s="5">
        <f t="shared" si="44"/>
        <v>1.8823529411764708E-7</v>
      </c>
    </row>
    <row r="51" spans="1:17" ht="15.75" x14ac:dyDescent="0.25">
      <c r="B51" s="16"/>
      <c r="C51" s="3">
        <f t="shared" si="45"/>
        <v>0.2</v>
      </c>
      <c r="D51" s="3">
        <f>5.7*10^-3</f>
        <v>5.7000000000000002E-3</v>
      </c>
      <c r="E51" s="3">
        <f>6.2*10^-3</f>
        <v>6.2000000000000006E-3</v>
      </c>
      <c r="F51" s="4">
        <f t="shared" si="39"/>
        <v>1.6764705882352942E-7</v>
      </c>
      <c r="G51" s="5">
        <f t="shared" si="40"/>
        <v>1.8235294117647062E-7</v>
      </c>
      <c r="H51" s="3">
        <f t="shared" si="47"/>
        <v>0.2</v>
      </c>
      <c r="I51" s="3">
        <f t="shared" si="48"/>
        <v>6.7000000000000002E-3</v>
      </c>
      <c r="J51" s="3">
        <f>7.8*10^-3</f>
        <v>7.7999999999999996E-3</v>
      </c>
      <c r="K51" s="4">
        <f t="shared" si="41"/>
        <v>1.9705882352941178E-7</v>
      </c>
      <c r="L51" s="5">
        <f t="shared" si="42"/>
        <v>2.2941176470588235E-7</v>
      </c>
      <c r="M51" s="3">
        <f>408*10^-3</f>
        <v>0.40800000000000003</v>
      </c>
      <c r="N51" s="3">
        <f>6*10^-3</f>
        <v>6.0000000000000001E-3</v>
      </c>
      <c r="O51" s="3">
        <f>6.3*10^-3</f>
        <v>6.3E-3</v>
      </c>
      <c r="P51" s="4">
        <f t="shared" si="43"/>
        <v>1.7647058823529414E-7</v>
      </c>
      <c r="Q51" s="5">
        <f t="shared" si="44"/>
        <v>1.8529411764705884E-7</v>
      </c>
    </row>
    <row r="52" spans="1:17" x14ac:dyDescent="0.25">
      <c r="B52" s="6" t="s">
        <v>7</v>
      </c>
      <c r="C52" s="6">
        <f>AVERAGE(C47:C51)</f>
        <v>0.2016</v>
      </c>
      <c r="D52" s="6">
        <f t="shared" ref="D52:Q52" si="49">AVERAGE(D47:D51)</f>
        <v>5.8599999999999998E-3</v>
      </c>
      <c r="E52" s="6">
        <f t="shared" si="49"/>
        <v>6.0800000000000003E-3</v>
      </c>
      <c r="F52" s="6">
        <f t="shared" si="49"/>
        <v>1.7235294117647059E-7</v>
      </c>
      <c r="G52" s="6">
        <f t="shared" si="49"/>
        <v>1.7882352941176474E-7</v>
      </c>
      <c r="H52" s="6">
        <f t="shared" si="49"/>
        <v>0.2056</v>
      </c>
      <c r="I52" s="6">
        <f t="shared" si="49"/>
        <v>6.4799999999999996E-3</v>
      </c>
      <c r="J52" s="6">
        <f t="shared" si="49"/>
        <v>6.8400000000000006E-3</v>
      </c>
      <c r="K52" s="6">
        <f t="shared" si="49"/>
        <v>1.9058823529411765E-7</v>
      </c>
      <c r="L52" s="6">
        <f t="shared" si="49"/>
        <v>2.011764705882353E-7</v>
      </c>
      <c r="M52" s="6">
        <f t="shared" si="49"/>
        <v>0.40960000000000002</v>
      </c>
      <c r="N52" s="6">
        <f t="shared" si="49"/>
        <v>6.069999999999999E-3</v>
      </c>
      <c r="O52" s="6">
        <f t="shared" si="49"/>
        <v>6.2599999999999991E-3</v>
      </c>
      <c r="P52" s="6">
        <f t="shared" si="49"/>
        <v>1.785294117647059E-7</v>
      </c>
      <c r="Q52" s="6">
        <f t="shared" si="49"/>
        <v>1.8411764705882352E-7</v>
      </c>
    </row>
    <row r="53" spans="1:17" ht="15.75" x14ac:dyDescent="0.25">
      <c r="A53" t="s">
        <v>19</v>
      </c>
      <c r="B53" s="17">
        <v>1</v>
      </c>
      <c r="C53" s="3"/>
      <c r="D53" s="3"/>
      <c r="E53" s="3"/>
      <c r="F53" s="4">
        <f>(D53/5)/(6.8*10^3)</f>
        <v>0</v>
      </c>
      <c r="G53" s="5">
        <f>(E53/5)/(6.8*10^3)</f>
        <v>0</v>
      </c>
      <c r="H53" s="3"/>
      <c r="I53" s="3"/>
      <c r="J53" s="3"/>
      <c r="K53" s="4">
        <f>(I53/5)/(6.8*10^3)</f>
        <v>0</v>
      </c>
      <c r="L53" s="5">
        <f>(J53/5)/(6.8*10^3)</f>
        <v>0</v>
      </c>
      <c r="M53" s="3"/>
      <c r="N53" s="3"/>
      <c r="O53" s="3"/>
      <c r="P53" s="4">
        <f>(N53/5)/(6.8*10^3)</f>
        <v>0</v>
      </c>
      <c r="Q53" s="11">
        <f>(O53/5)/(6.8*10^3)</f>
        <v>0</v>
      </c>
    </row>
    <row r="54" spans="1:17" ht="15.75" x14ac:dyDescent="0.25">
      <c r="B54" s="2"/>
      <c r="C54" s="3"/>
      <c r="D54" s="3"/>
      <c r="E54" s="3"/>
      <c r="F54" s="4">
        <f t="shared" ref="F54:F57" si="50">(D54/5)/(6.8*10^3)</f>
        <v>0</v>
      </c>
      <c r="G54" s="5">
        <f t="shared" ref="G54:G57" si="51">(E54/5)/(6.8*10^3)</f>
        <v>0</v>
      </c>
      <c r="H54" s="3"/>
      <c r="I54" s="3"/>
      <c r="J54" s="3"/>
      <c r="K54" s="4">
        <f t="shared" ref="K54:K57" si="52">(I54/5)/(6.8*10^3)</f>
        <v>0</v>
      </c>
      <c r="L54" s="5">
        <f t="shared" ref="L54:L57" si="53">(J54/5)/(6.8*10^3)</f>
        <v>0</v>
      </c>
      <c r="M54" s="3"/>
      <c r="N54" s="3"/>
      <c r="O54" s="3"/>
      <c r="P54" s="4">
        <f t="shared" ref="P54:P57" si="54">(N54/5)/(6.8*10^3)</f>
        <v>0</v>
      </c>
      <c r="Q54" s="5">
        <f t="shared" ref="Q54:Q57" si="55">(O54/5)/(6.8*10^3)</f>
        <v>0</v>
      </c>
    </row>
    <row r="55" spans="1:17" ht="15.75" x14ac:dyDescent="0.25">
      <c r="B55" s="2"/>
      <c r="C55" s="3"/>
      <c r="D55" s="3"/>
      <c r="E55" s="3"/>
      <c r="F55" s="4">
        <f t="shared" si="50"/>
        <v>0</v>
      </c>
      <c r="G55" s="5">
        <f t="shared" si="51"/>
        <v>0</v>
      </c>
      <c r="H55" s="3"/>
      <c r="I55" s="3"/>
      <c r="J55" s="3"/>
      <c r="K55" s="4">
        <f t="shared" si="52"/>
        <v>0</v>
      </c>
      <c r="L55" s="5">
        <f t="shared" si="53"/>
        <v>0</v>
      </c>
      <c r="M55" s="3"/>
      <c r="N55" s="3"/>
      <c r="O55" s="3"/>
      <c r="P55" s="4">
        <f t="shared" si="54"/>
        <v>0</v>
      </c>
      <c r="Q55" s="5">
        <f t="shared" si="55"/>
        <v>0</v>
      </c>
    </row>
    <row r="56" spans="1:17" ht="15.75" x14ac:dyDescent="0.25">
      <c r="B56" s="2"/>
      <c r="C56" s="3"/>
      <c r="D56" s="3"/>
      <c r="E56" s="3"/>
      <c r="F56" s="4">
        <f t="shared" si="50"/>
        <v>0</v>
      </c>
      <c r="G56" s="5">
        <f t="shared" si="51"/>
        <v>0</v>
      </c>
      <c r="H56" s="3"/>
      <c r="I56" s="3"/>
      <c r="J56" s="3"/>
      <c r="K56" s="4">
        <f t="shared" si="52"/>
        <v>0</v>
      </c>
      <c r="L56" s="5">
        <f t="shared" si="53"/>
        <v>0</v>
      </c>
      <c r="M56" s="3"/>
      <c r="N56" s="3"/>
      <c r="O56" s="3"/>
      <c r="P56" s="4">
        <f t="shared" si="54"/>
        <v>0</v>
      </c>
      <c r="Q56" s="5">
        <f t="shared" si="55"/>
        <v>0</v>
      </c>
    </row>
    <row r="57" spans="1:17" ht="15.75" x14ac:dyDescent="0.25">
      <c r="B57" s="2"/>
      <c r="C57" s="3"/>
      <c r="D57" s="3"/>
      <c r="E57" s="3"/>
      <c r="F57" s="4">
        <f t="shared" si="50"/>
        <v>0</v>
      </c>
      <c r="G57" s="5">
        <f t="shared" si="51"/>
        <v>0</v>
      </c>
      <c r="H57" s="3"/>
      <c r="I57" s="3"/>
      <c r="J57" s="3"/>
      <c r="K57" s="4">
        <f t="shared" si="52"/>
        <v>0</v>
      </c>
      <c r="L57" s="5">
        <f t="shared" si="53"/>
        <v>0</v>
      </c>
      <c r="M57" s="3"/>
      <c r="N57" s="3"/>
      <c r="O57" s="3"/>
      <c r="P57" s="4">
        <f t="shared" si="54"/>
        <v>0</v>
      </c>
      <c r="Q57" s="5">
        <f t="shared" si="55"/>
        <v>0</v>
      </c>
    </row>
    <row r="58" spans="1:17" x14ac:dyDescent="0.25">
      <c r="B58" s="6" t="s">
        <v>7</v>
      </c>
      <c r="C58" s="6" t="e">
        <f>AVERAGE(C53:C57)</f>
        <v>#DIV/0!</v>
      </c>
      <c r="D58" s="6" t="e">
        <f t="shared" ref="D58:Q58" si="56">AVERAGE(D53:D57)</f>
        <v>#DIV/0!</v>
      </c>
      <c r="E58" s="6" t="e">
        <f t="shared" si="56"/>
        <v>#DIV/0!</v>
      </c>
      <c r="F58" s="6">
        <f t="shared" si="56"/>
        <v>0</v>
      </c>
      <c r="G58" s="6">
        <f t="shared" si="56"/>
        <v>0</v>
      </c>
      <c r="H58" s="6" t="e">
        <f t="shared" si="56"/>
        <v>#DIV/0!</v>
      </c>
      <c r="I58" s="6" t="e">
        <f t="shared" si="56"/>
        <v>#DIV/0!</v>
      </c>
      <c r="J58" s="6" t="e">
        <f t="shared" si="56"/>
        <v>#DIV/0!</v>
      </c>
      <c r="K58" s="6">
        <f t="shared" si="56"/>
        <v>0</v>
      </c>
      <c r="L58" s="6">
        <f t="shared" si="56"/>
        <v>0</v>
      </c>
      <c r="M58" s="6" t="e">
        <f t="shared" si="56"/>
        <v>#DIV/0!</v>
      </c>
      <c r="N58" s="6" t="e">
        <f t="shared" si="56"/>
        <v>#DIV/0!</v>
      </c>
      <c r="O58" s="6" t="e">
        <f t="shared" si="56"/>
        <v>#DIV/0!</v>
      </c>
      <c r="P58" s="6">
        <f t="shared" si="56"/>
        <v>0</v>
      </c>
      <c r="Q58" s="6">
        <f t="shared" si="56"/>
        <v>0</v>
      </c>
    </row>
    <row r="59" spans="1:17" ht="15.75" x14ac:dyDescent="0.25">
      <c r="B59" s="2">
        <v>2</v>
      </c>
      <c r="C59" s="3">
        <v>3.8410000000000002</v>
      </c>
      <c r="D59" s="3">
        <f>410*10^-9</f>
        <v>4.1000000000000004E-7</v>
      </c>
      <c r="E59" s="3">
        <f>1.5*10^-6</f>
        <v>1.5E-6</v>
      </c>
      <c r="F59" s="4">
        <f>(D59/5)/(6.8*10^3)</f>
        <v>1.2058823529411766E-11</v>
      </c>
      <c r="G59" s="5">
        <f>(E59/5)/(6.8*10^3)</f>
        <v>4.4117647058823525E-11</v>
      </c>
      <c r="H59" s="3">
        <v>3.9209999999999998</v>
      </c>
      <c r="I59" s="3">
        <f>410*10^-9</f>
        <v>4.1000000000000004E-7</v>
      </c>
      <c r="J59" s="3">
        <f>1.52*10^-6</f>
        <v>1.5199999999999998E-6</v>
      </c>
      <c r="K59" s="4">
        <f>(I59/5)/(6.8*10^3)</f>
        <v>1.2058823529411766E-11</v>
      </c>
      <c r="L59" s="5">
        <f>(J59/5)/(6.8*10^3)</f>
        <v>4.4705882352941173E-11</v>
      </c>
      <c r="M59" s="3">
        <v>3.8809999999999998</v>
      </c>
      <c r="N59" s="3">
        <f>450*10^-9</f>
        <v>4.5000000000000003E-7</v>
      </c>
      <c r="O59" s="3">
        <f>1.58*10^-6</f>
        <v>1.5799999999999999E-6</v>
      </c>
      <c r="P59" s="4">
        <f>(N59/5)/(6.8*10^3)</f>
        <v>1.323529411764706E-11</v>
      </c>
      <c r="Q59" s="5">
        <f>(O59/5)/(6.8*10^3)</f>
        <v>4.6470588235294116E-11</v>
      </c>
    </row>
    <row r="60" spans="1:17" ht="15.75" x14ac:dyDescent="0.25">
      <c r="B60" s="2"/>
      <c r="C60" s="3">
        <v>3.8809999999999998</v>
      </c>
      <c r="D60" s="3">
        <f>410*10^-9</f>
        <v>4.1000000000000004E-7</v>
      </c>
      <c r="E60" s="3">
        <f>1.54*10^-6</f>
        <v>1.5399999999999999E-6</v>
      </c>
      <c r="F60" s="4">
        <f>(D60/5)/(6.8*10^3)</f>
        <v>1.2058823529411766E-11</v>
      </c>
      <c r="G60" s="5">
        <f t="shared" ref="G60:G63" si="57">(E60/5)/(6.8*10^3)</f>
        <v>4.5294117647058814E-11</v>
      </c>
      <c r="H60" s="3">
        <v>3.8809999999999998</v>
      </c>
      <c r="I60" s="3">
        <f>400*10^-9</f>
        <v>4.0000000000000003E-7</v>
      </c>
      <c r="J60" s="3">
        <f>1.52*10^-6</f>
        <v>1.5199999999999998E-6</v>
      </c>
      <c r="K60" s="4">
        <f t="shared" ref="K60:K63" si="58">(I60/5)/(6.8*10^3)</f>
        <v>1.1764705882352941E-11</v>
      </c>
      <c r="L60" s="5">
        <f t="shared" ref="L60:L63" si="59">(J60/5)/(6.8*10^3)</f>
        <v>4.4705882352941173E-11</v>
      </c>
      <c r="M60" s="3">
        <v>3.8410000000000002</v>
      </c>
      <c r="N60" s="3">
        <f>430*10^-9</f>
        <v>4.3000000000000001E-7</v>
      </c>
      <c r="O60" s="3">
        <f>1.58*10^-6</f>
        <v>1.5799999999999999E-6</v>
      </c>
      <c r="P60" s="4">
        <f t="shared" ref="P60:P63" si="60">(N60/5)/(6.8*10^3)</f>
        <v>1.2647058823529412E-11</v>
      </c>
      <c r="Q60" s="5">
        <f t="shared" ref="Q60:Q63" si="61">(O60/5)/(6.8*10^3)</f>
        <v>4.6470588235294116E-11</v>
      </c>
    </row>
    <row r="61" spans="1:17" ht="15.75" x14ac:dyDescent="0.25">
      <c r="B61" s="2"/>
      <c r="C61" s="3">
        <v>3.8809999999999998</v>
      </c>
      <c r="D61" s="3">
        <f>390*10^-9</f>
        <v>3.9000000000000002E-7</v>
      </c>
      <c r="E61" s="3">
        <f t="shared" ref="E61:E63" si="62">1.54*10^-6</f>
        <v>1.5399999999999999E-6</v>
      </c>
      <c r="F61" s="4">
        <f t="shared" ref="F61:F63" si="63">(D61/5)/(6.8*10^3)</f>
        <v>1.1470588235294119E-11</v>
      </c>
      <c r="G61" s="5">
        <f t="shared" si="57"/>
        <v>4.5294117647058814E-11</v>
      </c>
      <c r="H61" s="3">
        <v>3.8809999999999998</v>
      </c>
      <c r="I61" s="3">
        <f>410*10^-9</f>
        <v>4.1000000000000004E-7</v>
      </c>
      <c r="J61" s="3">
        <f>1.5*10^-6</f>
        <v>1.5E-6</v>
      </c>
      <c r="K61" s="4">
        <f t="shared" si="58"/>
        <v>1.2058823529411766E-11</v>
      </c>
      <c r="L61" s="5">
        <f t="shared" si="59"/>
        <v>4.4117647058823525E-11</v>
      </c>
      <c r="M61" s="3">
        <v>3.8809999999999998</v>
      </c>
      <c r="N61" s="3">
        <f t="shared" ref="N61:N62" si="64">430*10^-9</f>
        <v>4.3000000000000001E-7</v>
      </c>
      <c r="O61" s="3">
        <f>1.6*10^-6</f>
        <v>1.5999999999999999E-6</v>
      </c>
      <c r="P61" s="4">
        <f t="shared" si="60"/>
        <v>1.2647058823529412E-11</v>
      </c>
      <c r="Q61" s="5">
        <f t="shared" si="61"/>
        <v>4.7058823529411763E-11</v>
      </c>
    </row>
    <row r="62" spans="1:17" ht="15.75" x14ac:dyDescent="0.25">
      <c r="B62" s="2"/>
      <c r="C62" s="3">
        <v>3.8809999999999998</v>
      </c>
      <c r="D62" s="3">
        <f>410*10^-9</f>
        <v>4.1000000000000004E-7</v>
      </c>
      <c r="E62" s="3">
        <f t="shared" si="62"/>
        <v>1.5399999999999999E-6</v>
      </c>
      <c r="F62" s="4">
        <f t="shared" si="63"/>
        <v>1.2058823529411766E-11</v>
      </c>
      <c r="G62" s="5">
        <f t="shared" si="57"/>
        <v>4.5294117647058814E-11</v>
      </c>
      <c r="H62" s="3">
        <v>3.8809999999999998</v>
      </c>
      <c r="I62" s="3">
        <f t="shared" ref="I62:I63" si="65">410*10^-9</f>
        <v>4.1000000000000004E-7</v>
      </c>
      <c r="J62" s="3">
        <f>1.5*10^-6</f>
        <v>1.5E-6</v>
      </c>
      <c r="K62" s="4">
        <f t="shared" si="58"/>
        <v>1.2058823529411766E-11</v>
      </c>
      <c r="L62" s="5">
        <f t="shared" si="59"/>
        <v>4.4117647058823525E-11</v>
      </c>
      <c r="M62" s="3">
        <v>3.8809999999999998</v>
      </c>
      <c r="N62" s="3">
        <f t="shared" si="64"/>
        <v>4.3000000000000001E-7</v>
      </c>
      <c r="O62" s="3">
        <f>1.6*10^-6</f>
        <v>1.5999999999999999E-6</v>
      </c>
      <c r="P62" s="4">
        <f t="shared" si="60"/>
        <v>1.2647058823529412E-11</v>
      </c>
      <c r="Q62" s="5">
        <f t="shared" si="61"/>
        <v>4.7058823529411763E-11</v>
      </c>
    </row>
    <row r="63" spans="1:17" ht="15.75" x14ac:dyDescent="0.25">
      <c r="B63" s="7"/>
      <c r="C63" s="3">
        <v>3.8809999999999998</v>
      </c>
      <c r="D63" s="3">
        <f>400*10^-9</f>
        <v>4.0000000000000003E-7</v>
      </c>
      <c r="E63" s="3">
        <f t="shared" si="62"/>
        <v>1.5399999999999999E-6</v>
      </c>
      <c r="F63" s="4">
        <f t="shared" si="63"/>
        <v>1.1764705882352941E-11</v>
      </c>
      <c r="G63" s="5">
        <f t="shared" si="57"/>
        <v>4.5294117647058814E-11</v>
      </c>
      <c r="H63" s="3">
        <v>3.8809999999999998</v>
      </c>
      <c r="I63" s="3">
        <f t="shared" si="65"/>
        <v>4.1000000000000004E-7</v>
      </c>
      <c r="J63" s="3">
        <f>1.54*10^-6</f>
        <v>1.5399999999999999E-6</v>
      </c>
      <c r="K63" s="4">
        <f t="shared" si="58"/>
        <v>1.2058823529411766E-11</v>
      </c>
      <c r="L63" s="5">
        <f t="shared" si="59"/>
        <v>4.5294117647058814E-11</v>
      </c>
      <c r="M63" s="3">
        <v>3.8809999999999998</v>
      </c>
      <c r="N63" s="3">
        <f>440*10^-9</f>
        <v>4.4000000000000002E-7</v>
      </c>
      <c r="O63" s="3">
        <f>1.58*10^-6</f>
        <v>1.5799999999999999E-6</v>
      </c>
      <c r="P63" s="4">
        <f t="shared" si="60"/>
        <v>1.2941176470588236E-11</v>
      </c>
      <c r="Q63" s="5">
        <f t="shared" si="61"/>
        <v>4.6470588235294116E-11</v>
      </c>
    </row>
    <row r="64" spans="1:17" x14ac:dyDescent="0.25">
      <c r="B64" s="8" t="s">
        <v>7</v>
      </c>
      <c r="C64" s="6">
        <f>AVERAGE(C59:C63)</f>
        <v>3.8729999999999998</v>
      </c>
      <c r="D64" s="6">
        <f t="shared" ref="D64:G64" si="66">AVERAGE(D59:D63)</f>
        <v>4.0400000000000002E-7</v>
      </c>
      <c r="E64" s="6">
        <f t="shared" si="66"/>
        <v>1.5319999999999999E-6</v>
      </c>
      <c r="F64" s="6">
        <f t="shared" si="66"/>
        <v>1.1882352941176472E-11</v>
      </c>
      <c r="G64" s="6">
        <f t="shared" si="66"/>
        <v>4.5058823529411751E-11</v>
      </c>
      <c r="H64" s="6">
        <f>AVERAGE(H59:H63)</f>
        <v>3.8890000000000002</v>
      </c>
      <c r="I64" s="6">
        <f t="shared" ref="I64:L64" si="67">AVERAGE(I59:I63)</f>
        <v>4.0800000000000005E-7</v>
      </c>
      <c r="J64" s="6">
        <f t="shared" si="67"/>
        <v>1.516E-6</v>
      </c>
      <c r="K64" s="6">
        <f t="shared" si="67"/>
        <v>1.2000000000000002E-11</v>
      </c>
      <c r="L64" s="6">
        <f t="shared" si="67"/>
        <v>4.4588235294117638E-11</v>
      </c>
      <c r="M64" s="6">
        <f>AVERAGE(M59:M63)</f>
        <v>3.8729999999999998</v>
      </c>
      <c r="N64" s="6">
        <f t="shared" ref="N64:Q64" si="68">AVERAGE(N59:N63)</f>
        <v>4.3600000000000004E-7</v>
      </c>
      <c r="O64" s="6">
        <f t="shared" si="68"/>
        <v>1.5880000000000001E-6</v>
      </c>
      <c r="P64" s="6">
        <f t="shared" si="68"/>
        <v>1.2823529411764705E-11</v>
      </c>
      <c r="Q64" s="6">
        <f t="shared" si="68"/>
        <v>4.6705882352941172E-11</v>
      </c>
    </row>
    <row r="65" spans="1:17" ht="15.75" x14ac:dyDescent="0.25">
      <c r="A65" t="s">
        <v>20</v>
      </c>
      <c r="B65" s="17">
        <v>1</v>
      </c>
      <c r="C65" s="3"/>
      <c r="D65" s="3"/>
      <c r="E65" s="3"/>
      <c r="F65" s="4">
        <f>(D65/5)/(6.8*10^3)</f>
        <v>0</v>
      </c>
      <c r="G65" s="5">
        <f>(E65/5)/(6.8*10^3)</f>
        <v>0</v>
      </c>
      <c r="H65" s="3"/>
      <c r="I65" s="3"/>
      <c r="J65" s="3"/>
      <c r="K65" s="4">
        <f>(I65/5)/(6.8*10^3)</f>
        <v>0</v>
      </c>
      <c r="L65" s="5">
        <f>(J65/5)/(6.8*10^3)</f>
        <v>0</v>
      </c>
      <c r="M65" s="3"/>
      <c r="N65" s="3"/>
      <c r="O65" s="3"/>
      <c r="P65" s="4">
        <f>(N65/5)/(6.8*10^3)</f>
        <v>0</v>
      </c>
      <c r="Q65" s="5">
        <f>(O65/5)/(6.8*10^3)</f>
        <v>0</v>
      </c>
    </row>
    <row r="66" spans="1:17" ht="15.75" x14ac:dyDescent="0.25">
      <c r="B66" s="2"/>
      <c r="C66" s="3"/>
      <c r="D66" s="3"/>
      <c r="E66" s="3"/>
      <c r="F66" s="4">
        <f t="shared" ref="F66:F69" si="69">(D66/5)/(6.8*10^3)</f>
        <v>0</v>
      </c>
      <c r="G66" s="5">
        <f t="shared" ref="G66:G69" si="70">(E66/5)/(6.8*10^3)</f>
        <v>0</v>
      </c>
      <c r="H66" s="3"/>
      <c r="I66" s="3"/>
      <c r="J66" s="3"/>
      <c r="K66" s="4">
        <f t="shared" ref="K66:K69" si="71">(I66/5)/(6.8*10^3)</f>
        <v>0</v>
      </c>
      <c r="L66" s="5">
        <f t="shared" ref="L66:L69" si="72">(J66/5)/(6.8*10^3)</f>
        <v>0</v>
      </c>
      <c r="M66" s="3"/>
      <c r="N66" s="3"/>
      <c r="O66" s="3"/>
      <c r="P66" s="4">
        <f t="shared" ref="P66:P69" si="73">(N66/5)/(6.8*10^3)</f>
        <v>0</v>
      </c>
      <c r="Q66" s="5">
        <f t="shared" ref="Q66:Q69" si="74">(O66/5)/(6.8*10^3)</f>
        <v>0</v>
      </c>
    </row>
    <row r="67" spans="1:17" ht="15.75" x14ac:dyDescent="0.25">
      <c r="B67" s="2"/>
      <c r="C67" s="3"/>
      <c r="D67" s="3"/>
      <c r="E67" s="3"/>
      <c r="F67" s="4">
        <f t="shared" si="69"/>
        <v>0</v>
      </c>
      <c r="G67" s="5">
        <f t="shared" si="70"/>
        <v>0</v>
      </c>
      <c r="H67" s="3"/>
      <c r="I67" s="3"/>
      <c r="J67" s="3"/>
      <c r="K67" s="4">
        <f t="shared" si="71"/>
        <v>0</v>
      </c>
      <c r="L67" s="5">
        <f t="shared" si="72"/>
        <v>0</v>
      </c>
      <c r="M67" s="3"/>
      <c r="N67" s="3"/>
      <c r="O67" s="3"/>
      <c r="P67" s="4">
        <f t="shared" si="73"/>
        <v>0</v>
      </c>
      <c r="Q67" s="5">
        <f t="shared" si="74"/>
        <v>0</v>
      </c>
    </row>
    <row r="68" spans="1:17" ht="15.75" x14ac:dyDescent="0.25">
      <c r="B68" s="2"/>
      <c r="C68" s="3"/>
      <c r="D68" s="3"/>
      <c r="E68" s="3"/>
      <c r="F68" s="4">
        <f t="shared" si="69"/>
        <v>0</v>
      </c>
      <c r="G68" s="5">
        <f t="shared" si="70"/>
        <v>0</v>
      </c>
      <c r="H68" s="3"/>
      <c r="I68" s="3"/>
      <c r="J68" s="3"/>
      <c r="K68" s="4">
        <f t="shared" si="71"/>
        <v>0</v>
      </c>
      <c r="L68" s="5">
        <f t="shared" si="72"/>
        <v>0</v>
      </c>
      <c r="M68" s="3"/>
      <c r="N68" s="3"/>
      <c r="O68" s="3"/>
      <c r="P68" s="4">
        <f t="shared" si="73"/>
        <v>0</v>
      </c>
      <c r="Q68" s="5">
        <f t="shared" si="74"/>
        <v>0</v>
      </c>
    </row>
    <row r="69" spans="1:17" ht="15.75" x14ac:dyDescent="0.25">
      <c r="B69" s="7"/>
      <c r="C69" s="3"/>
      <c r="D69" s="3"/>
      <c r="E69" s="3"/>
      <c r="F69" s="4">
        <f t="shared" si="69"/>
        <v>0</v>
      </c>
      <c r="G69" s="5">
        <f t="shared" si="70"/>
        <v>0</v>
      </c>
      <c r="H69" s="3"/>
      <c r="I69" s="3"/>
      <c r="J69" s="3"/>
      <c r="K69" s="4">
        <f t="shared" si="71"/>
        <v>0</v>
      </c>
      <c r="L69" s="5">
        <f t="shared" si="72"/>
        <v>0</v>
      </c>
      <c r="M69" s="3"/>
      <c r="N69" s="3"/>
      <c r="O69" s="3"/>
      <c r="P69" s="4">
        <f t="shared" si="73"/>
        <v>0</v>
      </c>
      <c r="Q69" s="5">
        <f t="shared" si="74"/>
        <v>0</v>
      </c>
    </row>
    <row r="70" spans="1:17" x14ac:dyDescent="0.25">
      <c r="B70" s="8" t="s">
        <v>7</v>
      </c>
      <c r="C70" s="9" t="e">
        <f>AVERAGE(C65:C69)</f>
        <v>#DIV/0!</v>
      </c>
      <c r="D70" s="6" t="e">
        <f t="shared" ref="D70:Q70" si="75">AVERAGE(D65:D69)</f>
        <v>#DIV/0!</v>
      </c>
      <c r="E70" s="6" t="e">
        <f t="shared" si="75"/>
        <v>#DIV/0!</v>
      </c>
      <c r="F70" s="6">
        <f t="shared" si="75"/>
        <v>0</v>
      </c>
      <c r="G70" s="6">
        <f t="shared" si="75"/>
        <v>0</v>
      </c>
      <c r="H70" s="6" t="e">
        <f t="shared" si="75"/>
        <v>#DIV/0!</v>
      </c>
      <c r="I70" s="6" t="e">
        <f t="shared" si="75"/>
        <v>#DIV/0!</v>
      </c>
      <c r="J70" s="9" t="e">
        <f t="shared" si="75"/>
        <v>#DIV/0!</v>
      </c>
      <c r="K70" s="6">
        <f t="shared" si="75"/>
        <v>0</v>
      </c>
      <c r="L70" s="6">
        <f t="shared" si="75"/>
        <v>0</v>
      </c>
      <c r="M70" s="9" t="e">
        <f t="shared" si="75"/>
        <v>#DIV/0!</v>
      </c>
      <c r="N70" s="6" t="e">
        <f t="shared" si="75"/>
        <v>#DIV/0!</v>
      </c>
      <c r="O70" s="9" t="e">
        <f t="shared" si="75"/>
        <v>#DIV/0!</v>
      </c>
      <c r="P70" s="6">
        <f t="shared" si="75"/>
        <v>0</v>
      </c>
      <c r="Q70" s="6">
        <f t="shared" si="75"/>
        <v>0</v>
      </c>
    </row>
    <row r="71" spans="1:17" ht="15.75" x14ac:dyDescent="0.25">
      <c r="B71" s="2">
        <v>2</v>
      </c>
      <c r="C71" s="3">
        <f>196*10^-3</f>
        <v>0.19600000000000001</v>
      </c>
      <c r="D71" s="3">
        <f>5.04*10^-3</f>
        <v>5.0400000000000002E-3</v>
      </c>
      <c r="E71" s="3">
        <f>4.18*10^-3</f>
        <v>4.1799999999999997E-3</v>
      </c>
      <c r="F71" s="4">
        <f>(D71/5)/(6.8*10^3)</f>
        <v>1.4823529411764706E-7</v>
      </c>
      <c r="G71" s="5">
        <f>(E71/5)/(6.8*10^3)</f>
        <v>1.2294117647058823E-7</v>
      </c>
      <c r="H71" s="3">
        <f>180*10^-3</f>
        <v>0.18</v>
      </c>
      <c r="I71" s="3">
        <f>4.6*10^-6</f>
        <v>4.5999999999999992E-6</v>
      </c>
      <c r="J71" s="3">
        <f>3.9*10^-3</f>
        <v>3.8999999999999998E-3</v>
      </c>
      <c r="K71" s="4">
        <f>(I71/5)/(6.8*10^3)</f>
        <v>1.352941176470588E-10</v>
      </c>
      <c r="L71" s="5">
        <f>(J71/5)/(6.8*10^3)</f>
        <v>1.1470588235294118E-7</v>
      </c>
      <c r="M71" s="3">
        <f>328*10^-3</f>
        <v>0.32800000000000001</v>
      </c>
      <c r="N71" s="3">
        <f>5.375*10^-3</f>
        <v>5.3750000000000004E-3</v>
      </c>
      <c r="O71" s="3">
        <f>5.75*10^-6</f>
        <v>5.75E-6</v>
      </c>
      <c r="P71" s="4">
        <f>(N71/5)/(6.8*10^3)</f>
        <v>1.5808823529411764E-7</v>
      </c>
      <c r="Q71" s="11">
        <f>(O71/5)/(6.8*10^3)</f>
        <v>1.6911764705882353E-10</v>
      </c>
    </row>
    <row r="72" spans="1:17" ht="15.75" x14ac:dyDescent="0.25">
      <c r="B72" s="2"/>
      <c r="C72" s="3">
        <f t="shared" ref="C72:C74" si="76">196*10^-3</f>
        <v>0.19600000000000001</v>
      </c>
      <c r="D72" s="3">
        <f>3.79*10^-3</f>
        <v>3.79E-3</v>
      </c>
      <c r="E72" s="3">
        <f>3.84*10^-3</f>
        <v>3.8400000000000001E-3</v>
      </c>
      <c r="F72" s="4">
        <f t="shared" ref="F72:F75" si="77">(D72/5)/(6.8*10^3)</f>
        <v>1.1147058823529411E-7</v>
      </c>
      <c r="G72" s="5">
        <f t="shared" ref="G72:G75" si="78">(E72/5)/(6.8*10^3)</f>
        <v>1.1294117647058823E-7</v>
      </c>
      <c r="H72" s="3">
        <f t="shared" ref="H72:H75" si="79">180*10^-3</f>
        <v>0.18</v>
      </c>
      <c r="I72" s="3">
        <f>2.93*10^-6</f>
        <v>2.9299999999999999E-6</v>
      </c>
      <c r="J72" s="3">
        <f>2.86*10^-3</f>
        <v>2.8600000000000001E-3</v>
      </c>
      <c r="K72" s="4">
        <f t="shared" ref="K72:K75" si="80">(I72/5)/(6.8*10^3)</f>
        <v>8.6176470588235286E-11</v>
      </c>
      <c r="L72" s="5">
        <f t="shared" ref="L72:L75" si="81">(J72/5)/(6.8*10^3)</f>
        <v>8.4117647058823529E-8</v>
      </c>
      <c r="M72" s="3">
        <f>322*10^-3</f>
        <v>0.32200000000000001</v>
      </c>
      <c r="N72" s="3">
        <f>6.325*10^-3</f>
        <v>6.3249999999999999E-3</v>
      </c>
      <c r="O72" s="3">
        <f>5.85*10^-6</f>
        <v>5.849999999999999E-6</v>
      </c>
      <c r="P72" s="4">
        <f t="shared" ref="P72:P75" si="82">(N72/5)/(6.8*10^3)</f>
        <v>1.8602941176470588E-7</v>
      </c>
      <c r="Q72" s="5">
        <f t="shared" ref="Q72:Q75" si="83">(O72/5)/(6.8*10^3)</f>
        <v>1.7205882352941175E-10</v>
      </c>
    </row>
    <row r="73" spans="1:17" ht="15.75" x14ac:dyDescent="0.25">
      <c r="B73" s="2"/>
      <c r="C73" s="3">
        <f t="shared" si="76"/>
        <v>0.19600000000000001</v>
      </c>
      <c r="D73" s="3">
        <f>3.82*10^-3</f>
        <v>3.82E-3</v>
      </c>
      <c r="E73" s="3">
        <f>3.78*10^-3</f>
        <v>3.7799999999999999E-3</v>
      </c>
      <c r="F73" s="4">
        <f t="shared" si="77"/>
        <v>1.1235294117647059E-7</v>
      </c>
      <c r="G73" s="5">
        <f t="shared" si="78"/>
        <v>1.1117647058823529E-7</v>
      </c>
      <c r="H73" s="3">
        <f>184*10^-3</f>
        <v>0.184</v>
      </c>
      <c r="I73" s="3">
        <f>3.2*10^-6</f>
        <v>3.1999999999999999E-6</v>
      </c>
      <c r="J73" s="3">
        <f>5.14*10^-3</f>
        <v>5.1399999999999996E-3</v>
      </c>
      <c r="K73" s="4">
        <f t="shared" si="80"/>
        <v>9.4117647058823527E-11</v>
      </c>
      <c r="L73" s="5">
        <f t="shared" si="81"/>
        <v>1.5117647058823528E-7</v>
      </c>
      <c r="M73" s="3">
        <f>332*10^-3</f>
        <v>0.33200000000000002</v>
      </c>
      <c r="N73" s="3">
        <f>3.275*10^-3</f>
        <v>3.2750000000000001E-3</v>
      </c>
      <c r="O73" s="3">
        <f>3.3*10^-6</f>
        <v>3.2999999999999997E-6</v>
      </c>
      <c r="P73" s="4">
        <f t="shared" si="82"/>
        <v>9.6323529411764707E-8</v>
      </c>
      <c r="Q73" s="5">
        <f t="shared" si="83"/>
        <v>9.7058823529411759E-11</v>
      </c>
    </row>
    <row r="74" spans="1:17" ht="15.75" x14ac:dyDescent="0.25">
      <c r="B74" s="2"/>
      <c r="C74" s="3">
        <f t="shared" si="76"/>
        <v>0.19600000000000001</v>
      </c>
      <c r="D74" s="3">
        <f>1.93*10^-3</f>
        <v>1.9300000000000001E-3</v>
      </c>
      <c r="E74" s="3">
        <f>2.02*10^-3</f>
        <v>2.0200000000000001E-3</v>
      </c>
      <c r="F74" s="4">
        <f t="shared" si="77"/>
        <v>5.6764705882352945E-8</v>
      </c>
      <c r="G74" s="5">
        <f t="shared" si="78"/>
        <v>5.9411764705882352E-8</v>
      </c>
      <c r="H74" s="3">
        <f t="shared" si="79"/>
        <v>0.18</v>
      </c>
      <c r="I74" s="3">
        <f>3.4*10^-6</f>
        <v>3.3999999999999996E-6</v>
      </c>
      <c r="J74" s="3">
        <f>3.62*10^-3</f>
        <v>3.6200000000000004E-3</v>
      </c>
      <c r="K74" s="4">
        <f t="shared" si="80"/>
        <v>9.9999999999999991E-11</v>
      </c>
      <c r="L74" s="5">
        <f t="shared" si="81"/>
        <v>1.0647058823529412E-7</v>
      </c>
      <c r="M74" s="3">
        <f>332*10^-3</f>
        <v>0.33200000000000002</v>
      </c>
      <c r="N74" s="3">
        <f>4.825*10^-3</f>
        <v>4.8250000000000003E-3</v>
      </c>
      <c r="O74" s="3">
        <f t="shared" ref="O74" si="84">5.75*10^-6</f>
        <v>5.75E-6</v>
      </c>
      <c r="P74" s="4">
        <f t="shared" si="82"/>
        <v>1.4191176470588237E-7</v>
      </c>
      <c r="Q74" s="5">
        <f t="shared" si="83"/>
        <v>1.6911764705882353E-10</v>
      </c>
    </row>
    <row r="75" spans="1:17" ht="15.75" x14ac:dyDescent="0.25">
      <c r="B75" s="2"/>
      <c r="C75" s="3">
        <f>200*10^-3</f>
        <v>0.2</v>
      </c>
      <c r="D75" s="3">
        <f>2.96*10^-3</f>
        <v>2.96E-3</v>
      </c>
      <c r="E75" s="3">
        <f>3.02*10^-3</f>
        <v>3.0200000000000001E-3</v>
      </c>
      <c r="F75" s="4">
        <f t="shared" si="77"/>
        <v>8.7058823529411757E-8</v>
      </c>
      <c r="G75" s="5">
        <f t="shared" si="78"/>
        <v>8.8823529411764713E-8</v>
      </c>
      <c r="H75" s="3">
        <f t="shared" si="79"/>
        <v>0.18</v>
      </c>
      <c r="I75" s="3">
        <f>2.98*10^-6</f>
        <v>2.9799999999999998E-6</v>
      </c>
      <c r="J75" s="3">
        <f>2.88*10^-3</f>
        <v>2.8799999999999997E-3</v>
      </c>
      <c r="K75" s="4">
        <f t="shared" si="80"/>
        <v>8.7647058823529409E-11</v>
      </c>
      <c r="L75" s="5">
        <f t="shared" si="81"/>
        <v>8.4705882352941159E-8</v>
      </c>
      <c r="M75" s="3">
        <f>336*10^-3</f>
        <v>0.33600000000000002</v>
      </c>
      <c r="N75" s="3">
        <f>6.4*10^-3</f>
        <v>6.4000000000000003E-3</v>
      </c>
      <c r="O75" s="3">
        <f>5.9*10^-6</f>
        <v>5.9000000000000003E-6</v>
      </c>
      <c r="P75" s="4">
        <f t="shared" si="82"/>
        <v>1.8823529411764708E-7</v>
      </c>
      <c r="Q75" s="5">
        <f t="shared" si="83"/>
        <v>1.7352941176470591E-10</v>
      </c>
    </row>
    <row r="76" spans="1:17" x14ac:dyDescent="0.25">
      <c r="B76" s="6" t="s">
        <v>7</v>
      </c>
      <c r="C76" s="6">
        <f>AVERAGE(C71:C75)</f>
        <v>0.1968</v>
      </c>
      <c r="D76" s="6">
        <f t="shared" ref="D76:Q76" si="85">AVERAGE(D71:D75)</f>
        <v>3.5079999999999998E-3</v>
      </c>
      <c r="E76" s="6">
        <f t="shared" si="85"/>
        <v>3.3680000000000003E-3</v>
      </c>
      <c r="F76" s="6">
        <f t="shared" si="85"/>
        <v>1.031764705882353E-7</v>
      </c>
      <c r="G76" s="6">
        <f t="shared" si="85"/>
        <v>9.9058823529411772E-8</v>
      </c>
      <c r="H76" s="6">
        <f t="shared" si="85"/>
        <v>0.18079999999999999</v>
      </c>
      <c r="I76" s="6">
        <f t="shared" si="85"/>
        <v>3.4219999999999996E-6</v>
      </c>
      <c r="J76" s="6">
        <f t="shared" si="85"/>
        <v>3.6800000000000001E-3</v>
      </c>
      <c r="K76" s="6">
        <f t="shared" si="85"/>
        <v>1.006470588235294E-10</v>
      </c>
      <c r="L76" s="6">
        <f t="shared" si="85"/>
        <v>1.0823529411764705E-7</v>
      </c>
      <c r="M76" s="6">
        <f t="shared" si="85"/>
        <v>0.33</v>
      </c>
      <c r="N76" s="6">
        <f t="shared" si="85"/>
        <v>5.2399999999999999E-3</v>
      </c>
      <c r="O76" s="6">
        <f t="shared" si="85"/>
        <v>5.31E-6</v>
      </c>
      <c r="P76" s="6">
        <f t="shared" si="85"/>
        <v>1.5411764705882352E-7</v>
      </c>
      <c r="Q76" s="6">
        <f t="shared" si="85"/>
        <v>1.5617647058823526E-10</v>
      </c>
    </row>
    <row r="77" spans="1:17" ht="15.75" x14ac:dyDescent="0.25">
      <c r="A77" t="s">
        <v>21</v>
      </c>
      <c r="B77" s="17">
        <v>1</v>
      </c>
      <c r="C77" s="3"/>
      <c r="D77" s="3"/>
      <c r="E77" s="3"/>
      <c r="F77" s="4">
        <f>(D77/5)/(6.8*10^3)</f>
        <v>0</v>
      </c>
      <c r="G77" s="5">
        <f>(E77/5)/(6.8*10^3)</f>
        <v>0</v>
      </c>
      <c r="H77" s="3"/>
      <c r="I77" s="3"/>
      <c r="J77" s="3"/>
      <c r="K77" s="4">
        <f>(I77/5)/(6.8*10^3)</f>
        <v>0</v>
      </c>
      <c r="L77" s="5">
        <f>(J77/5)/(6.8*10^3)</f>
        <v>0</v>
      </c>
      <c r="M77" s="3"/>
      <c r="N77" s="3"/>
      <c r="O77" s="3"/>
      <c r="P77" s="4">
        <f>(N77/5)/(6.8*10^3)</f>
        <v>0</v>
      </c>
      <c r="Q77" s="5">
        <f>(O77/5)/(6.8*10^3)</f>
        <v>0</v>
      </c>
    </row>
    <row r="78" spans="1:17" ht="15.75" x14ac:dyDescent="0.25">
      <c r="B78" s="2"/>
      <c r="C78" s="3"/>
      <c r="D78" s="3"/>
      <c r="E78" s="3"/>
      <c r="F78" s="4">
        <f t="shared" ref="F78:F81" si="86">(D78/5)/(6.8*10^3)</f>
        <v>0</v>
      </c>
      <c r="G78" s="5">
        <f t="shared" ref="G78:G81" si="87">(E78/5)/(6.8*10^3)</f>
        <v>0</v>
      </c>
      <c r="H78" s="3"/>
      <c r="I78" s="3"/>
      <c r="J78" s="3"/>
      <c r="K78" s="4">
        <f t="shared" ref="K78:K81" si="88">(I78/5)/(6.8*10^3)</f>
        <v>0</v>
      </c>
      <c r="L78" s="5">
        <f t="shared" ref="L78:L81" si="89">(J78/5)/(6.8*10^3)</f>
        <v>0</v>
      </c>
      <c r="M78" s="3"/>
      <c r="N78" s="3"/>
      <c r="O78" s="3"/>
      <c r="P78" s="4">
        <f t="shared" ref="P78:P81" si="90">(N78/5)/(6.8*10^3)</f>
        <v>0</v>
      </c>
      <c r="Q78" s="5">
        <f t="shared" ref="Q78:Q81" si="91">(O78/5)/(6.8*10^3)</f>
        <v>0</v>
      </c>
    </row>
    <row r="79" spans="1:17" ht="15.75" x14ac:dyDescent="0.25">
      <c r="B79" s="2"/>
      <c r="C79" s="3"/>
      <c r="D79" s="3"/>
      <c r="E79" s="3"/>
      <c r="F79" s="4">
        <f t="shared" si="86"/>
        <v>0</v>
      </c>
      <c r="G79" s="5">
        <f t="shared" si="87"/>
        <v>0</v>
      </c>
      <c r="H79" s="3"/>
      <c r="I79" s="3"/>
      <c r="J79" s="3"/>
      <c r="K79" s="4">
        <f t="shared" si="88"/>
        <v>0</v>
      </c>
      <c r="L79" s="5">
        <f t="shared" si="89"/>
        <v>0</v>
      </c>
      <c r="M79" s="3"/>
      <c r="N79" s="3"/>
      <c r="O79" s="3"/>
      <c r="P79" s="4">
        <f t="shared" si="90"/>
        <v>0</v>
      </c>
      <c r="Q79" s="5">
        <f t="shared" si="91"/>
        <v>0</v>
      </c>
    </row>
    <row r="80" spans="1:17" ht="15.75" x14ac:dyDescent="0.25">
      <c r="B80" s="2"/>
      <c r="C80" s="3"/>
      <c r="D80" s="3"/>
      <c r="E80" s="3"/>
      <c r="F80" s="4">
        <f t="shared" si="86"/>
        <v>0</v>
      </c>
      <c r="G80" s="5">
        <f t="shared" si="87"/>
        <v>0</v>
      </c>
      <c r="H80" s="3"/>
      <c r="I80" s="3"/>
      <c r="J80" s="3"/>
      <c r="K80" s="4">
        <f t="shared" si="88"/>
        <v>0</v>
      </c>
      <c r="L80" s="5">
        <f t="shared" si="89"/>
        <v>0</v>
      </c>
      <c r="M80" s="3"/>
      <c r="N80" s="3"/>
      <c r="O80" s="3"/>
      <c r="P80" s="4">
        <f t="shared" si="90"/>
        <v>0</v>
      </c>
      <c r="Q80" s="5">
        <f t="shared" si="91"/>
        <v>0</v>
      </c>
    </row>
    <row r="81" spans="1:17" ht="15.75" x14ac:dyDescent="0.25">
      <c r="B81" s="7"/>
      <c r="C81" s="3"/>
      <c r="D81" s="3"/>
      <c r="E81" s="3"/>
      <c r="F81" s="4">
        <f t="shared" si="86"/>
        <v>0</v>
      </c>
      <c r="G81" s="5">
        <f t="shared" si="87"/>
        <v>0</v>
      </c>
      <c r="H81" s="3"/>
      <c r="I81" s="3"/>
      <c r="J81" s="3"/>
      <c r="K81" s="4">
        <f t="shared" si="88"/>
        <v>0</v>
      </c>
      <c r="L81" s="5">
        <f t="shared" si="89"/>
        <v>0</v>
      </c>
      <c r="M81" s="3"/>
      <c r="N81" s="3"/>
      <c r="O81" s="3"/>
      <c r="P81" s="4">
        <f t="shared" si="90"/>
        <v>0</v>
      </c>
      <c r="Q81" s="5">
        <f t="shared" si="91"/>
        <v>0</v>
      </c>
    </row>
    <row r="82" spans="1:17" x14ac:dyDescent="0.25">
      <c r="B82" s="8" t="s">
        <v>7</v>
      </c>
      <c r="C82" s="6" t="e">
        <f>AVERAGE(C77:C81)</f>
        <v>#DIV/0!</v>
      </c>
      <c r="D82" s="6" t="e">
        <f t="shared" ref="D82:G82" si="92">AVERAGE(D77:D81)</f>
        <v>#DIV/0!</v>
      </c>
      <c r="E82" s="6" t="e">
        <f t="shared" si="92"/>
        <v>#DIV/0!</v>
      </c>
      <c r="F82" s="6">
        <f t="shared" si="92"/>
        <v>0</v>
      </c>
      <c r="G82" s="6">
        <f t="shared" si="92"/>
        <v>0</v>
      </c>
      <c r="H82" s="6" t="e">
        <f>AVERAGE(H77:H81)</f>
        <v>#DIV/0!</v>
      </c>
      <c r="I82" s="6" t="e">
        <f t="shared" ref="I82:L82" si="93">AVERAGE(I77:I81)</f>
        <v>#DIV/0!</v>
      </c>
      <c r="J82" s="6" t="e">
        <f t="shared" si="93"/>
        <v>#DIV/0!</v>
      </c>
      <c r="K82" s="6">
        <f t="shared" si="93"/>
        <v>0</v>
      </c>
      <c r="L82" s="6">
        <f t="shared" si="93"/>
        <v>0</v>
      </c>
      <c r="M82" s="6" t="e">
        <f>AVERAGE(M77:M81)</f>
        <v>#DIV/0!</v>
      </c>
      <c r="N82" s="6" t="e">
        <f t="shared" ref="N82:Q82" si="94">AVERAGE(N77:N81)</f>
        <v>#DIV/0!</v>
      </c>
      <c r="O82" s="6" t="e">
        <f t="shared" si="94"/>
        <v>#DIV/0!</v>
      </c>
      <c r="P82" s="6">
        <f t="shared" si="94"/>
        <v>0</v>
      </c>
      <c r="Q82" s="6">
        <f t="shared" si="94"/>
        <v>0</v>
      </c>
    </row>
    <row r="83" spans="1:17" ht="15.75" x14ac:dyDescent="0.25">
      <c r="B83" s="2">
        <v>2</v>
      </c>
      <c r="C83" s="3"/>
      <c r="D83" s="3"/>
      <c r="E83" s="3"/>
      <c r="F83" s="4">
        <f>(D83/5)/(6.8*10^3)</f>
        <v>0</v>
      </c>
      <c r="G83" s="5">
        <f>(E83/5)/(6.8*10^3)</f>
        <v>0</v>
      </c>
      <c r="H83" s="3"/>
      <c r="I83" s="3"/>
      <c r="J83" s="3"/>
      <c r="K83" s="4">
        <f>(I83/5)/(6.8*10^3)</f>
        <v>0</v>
      </c>
      <c r="L83" s="5">
        <f>(J83/5)/(6.8*10^3)</f>
        <v>0</v>
      </c>
      <c r="M83" s="3"/>
      <c r="N83" s="3"/>
      <c r="O83" s="3"/>
      <c r="P83" s="4">
        <f>(N83/5)/(6.8*10^3)</f>
        <v>0</v>
      </c>
      <c r="Q83" s="5">
        <f>(O83/5)/(6.8*10^3)</f>
        <v>0</v>
      </c>
    </row>
    <row r="84" spans="1:17" ht="15.75" x14ac:dyDescent="0.25">
      <c r="B84" s="2"/>
      <c r="C84" s="3"/>
      <c r="D84" s="3"/>
      <c r="E84" s="3"/>
      <c r="F84" s="4">
        <f t="shared" ref="F84:F87" si="95">(D84/5)/(6.8*10^3)</f>
        <v>0</v>
      </c>
      <c r="G84" s="5">
        <f t="shared" ref="G84:G87" si="96">(E84/5)/(6.8*10^3)</f>
        <v>0</v>
      </c>
      <c r="H84" s="3"/>
      <c r="I84" s="3"/>
      <c r="J84" s="3"/>
      <c r="K84" s="4">
        <f t="shared" ref="K84:K87" si="97">(I84/5)/(6.8*10^3)</f>
        <v>0</v>
      </c>
      <c r="L84" s="5">
        <f t="shared" ref="L84:L87" si="98">(J84/5)/(6.8*10^3)</f>
        <v>0</v>
      </c>
      <c r="M84" s="3"/>
      <c r="N84" s="3"/>
      <c r="O84" s="3"/>
      <c r="P84" s="4">
        <f t="shared" ref="P84:P87" si="99">(N84/5)/(6.8*10^3)</f>
        <v>0</v>
      </c>
      <c r="Q84" s="5">
        <f t="shared" ref="Q84:Q87" si="100">(O84/5)/(6.8*10^3)</f>
        <v>0</v>
      </c>
    </row>
    <row r="85" spans="1:17" ht="15.75" x14ac:dyDescent="0.25">
      <c r="B85" s="2"/>
      <c r="C85" s="3"/>
      <c r="D85" s="3"/>
      <c r="E85" s="3"/>
      <c r="F85" s="4">
        <f t="shared" si="95"/>
        <v>0</v>
      </c>
      <c r="G85" s="5">
        <f t="shared" si="96"/>
        <v>0</v>
      </c>
      <c r="H85" s="3"/>
      <c r="I85" s="3"/>
      <c r="J85" s="3"/>
      <c r="K85" s="4">
        <f t="shared" si="97"/>
        <v>0</v>
      </c>
      <c r="L85" s="5">
        <f t="shared" si="98"/>
        <v>0</v>
      </c>
      <c r="M85" s="3"/>
      <c r="N85" s="3"/>
      <c r="O85" s="3"/>
      <c r="P85" s="4">
        <f t="shared" si="99"/>
        <v>0</v>
      </c>
      <c r="Q85" s="5">
        <f t="shared" si="100"/>
        <v>0</v>
      </c>
    </row>
    <row r="86" spans="1:17" ht="15.75" x14ac:dyDescent="0.25">
      <c r="B86" s="2"/>
      <c r="C86" s="3"/>
      <c r="D86" s="3"/>
      <c r="E86" s="3"/>
      <c r="F86" s="4">
        <f t="shared" si="95"/>
        <v>0</v>
      </c>
      <c r="G86" s="5">
        <f t="shared" si="96"/>
        <v>0</v>
      </c>
      <c r="H86" s="3"/>
      <c r="I86" s="3"/>
      <c r="J86" s="3"/>
      <c r="K86" s="4">
        <f t="shared" si="97"/>
        <v>0</v>
      </c>
      <c r="L86" s="5">
        <f t="shared" si="98"/>
        <v>0</v>
      </c>
      <c r="M86" s="3"/>
      <c r="N86" s="3"/>
      <c r="O86" s="3"/>
      <c r="P86" s="4">
        <f t="shared" si="99"/>
        <v>0</v>
      </c>
      <c r="Q86" s="5">
        <f t="shared" si="100"/>
        <v>0</v>
      </c>
    </row>
    <row r="87" spans="1:17" ht="15.75" x14ac:dyDescent="0.25">
      <c r="B87" s="7"/>
      <c r="C87" s="3"/>
      <c r="D87" s="3"/>
      <c r="E87" s="3"/>
      <c r="F87" s="4">
        <f t="shared" si="95"/>
        <v>0</v>
      </c>
      <c r="G87" s="5">
        <f t="shared" si="96"/>
        <v>0</v>
      </c>
      <c r="H87" s="3"/>
      <c r="I87" s="3"/>
      <c r="J87" s="3"/>
      <c r="K87" s="4">
        <f t="shared" si="97"/>
        <v>0</v>
      </c>
      <c r="L87" s="5">
        <f t="shared" si="98"/>
        <v>0</v>
      </c>
      <c r="M87" s="3"/>
      <c r="N87" s="3"/>
      <c r="O87" s="3"/>
      <c r="P87" s="4">
        <f t="shared" si="99"/>
        <v>0</v>
      </c>
      <c r="Q87" s="5">
        <f t="shared" si="100"/>
        <v>0</v>
      </c>
    </row>
    <row r="88" spans="1:17" x14ac:dyDescent="0.25">
      <c r="B88" s="8" t="s">
        <v>7</v>
      </c>
      <c r="C88" s="9" t="e">
        <f>AVERAGE(C83:C87)</f>
        <v>#DIV/0!</v>
      </c>
      <c r="D88" s="6" t="e">
        <f t="shared" ref="D88:Q88" si="101">AVERAGE(D83:D87)</f>
        <v>#DIV/0!</v>
      </c>
      <c r="E88" s="6" t="e">
        <f t="shared" si="101"/>
        <v>#DIV/0!</v>
      </c>
      <c r="F88" s="6">
        <f t="shared" si="101"/>
        <v>0</v>
      </c>
      <c r="G88" s="6">
        <f t="shared" si="101"/>
        <v>0</v>
      </c>
      <c r="H88" s="6" t="e">
        <f t="shared" si="101"/>
        <v>#DIV/0!</v>
      </c>
      <c r="I88" s="6" t="e">
        <f t="shared" si="101"/>
        <v>#DIV/0!</v>
      </c>
      <c r="J88" s="9" t="e">
        <f t="shared" si="101"/>
        <v>#DIV/0!</v>
      </c>
      <c r="K88" s="6">
        <f t="shared" si="101"/>
        <v>0</v>
      </c>
      <c r="L88" s="6">
        <f t="shared" si="101"/>
        <v>0</v>
      </c>
      <c r="M88" s="9" t="e">
        <f t="shared" si="101"/>
        <v>#DIV/0!</v>
      </c>
      <c r="N88" s="6" t="e">
        <f t="shared" si="101"/>
        <v>#DIV/0!</v>
      </c>
      <c r="O88" s="9" t="e">
        <f t="shared" si="101"/>
        <v>#DIV/0!</v>
      </c>
      <c r="P88" s="6">
        <f t="shared" si="101"/>
        <v>0</v>
      </c>
      <c r="Q88" s="6">
        <f t="shared" si="101"/>
        <v>0</v>
      </c>
    </row>
    <row r="89" spans="1:17" ht="15.75" x14ac:dyDescent="0.25">
      <c r="A89" t="s">
        <v>22</v>
      </c>
      <c r="B89" s="17">
        <v>1</v>
      </c>
      <c r="C89" s="3"/>
      <c r="D89" s="3"/>
      <c r="E89" s="3"/>
      <c r="F89" s="4">
        <f>(D89/5)/(6.8*10^3)</f>
        <v>0</v>
      </c>
      <c r="G89" s="5">
        <f>(E89/5)/(6.8*10^3)</f>
        <v>0</v>
      </c>
      <c r="H89" s="3"/>
      <c r="I89" s="3"/>
      <c r="J89" s="3"/>
      <c r="K89" s="4">
        <f>(I89/5)/(6.8*10^3)</f>
        <v>0</v>
      </c>
      <c r="L89" s="5">
        <f>(J89/5)/(6.8*10^3)</f>
        <v>0</v>
      </c>
      <c r="M89" s="3"/>
      <c r="N89" s="3"/>
      <c r="O89" s="3"/>
      <c r="P89" s="4">
        <f>(N89/5)/(6.8*10^3)</f>
        <v>0</v>
      </c>
      <c r="Q89" s="11">
        <f>(O89/5)/(6.8*10^3)</f>
        <v>0</v>
      </c>
    </row>
    <row r="90" spans="1:17" ht="15.75" x14ac:dyDescent="0.25">
      <c r="B90" s="2"/>
      <c r="C90" s="3"/>
      <c r="D90" s="3"/>
      <c r="E90" s="3"/>
      <c r="F90" s="4">
        <f t="shared" ref="F90:F93" si="102">(D90/5)/(6.8*10^3)</f>
        <v>0</v>
      </c>
      <c r="G90" s="5">
        <f t="shared" ref="G90:G93" si="103">(E90/5)/(6.8*10^3)</f>
        <v>0</v>
      </c>
      <c r="H90" s="3"/>
      <c r="I90" s="3"/>
      <c r="J90" s="3"/>
      <c r="K90" s="4">
        <f t="shared" ref="K90:K93" si="104">(I90/5)/(6.8*10^3)</f>
        <v>0</v>
      </c>
      <c r="L90" s="5">
        <f t="shared" ref="L90:L93" si="105">(J90/5)/(6.8*10^3)</f>
        <v>0</v>
      </c>
      <c r="M90" s="3"/>
      <c r="N90" s="3"/>
      <c r="O90" s="3"/>
      <c r="P90" s="4">
        <f t="shared" ref="P90:P93" si="106">(N90/5)/(6.8*10^3)</f>
        <v>0</v>
      </c>
      <c r="Q90" s="5">
        <f t="shared" ref="Q90:Q93" si="107">(O90/5)/(6.8*10^3)</f>
        <v>0</v>
      </c>
    </row>
    <row r="91" spans="1:17" ht="15.75" x14ac:dyDescent="0.25">
      <c r="B91" s="2"/>
      <c r="C91" s="3"/>
      <c r="D91" s="3"/>
      <c r="E91" s="3"/>
      <c r="F91" s="4">
        <f t="shared" si="102"/>
        <v>0</v>
      </c>
      <c r="G91" s="5">
        <f t="shared" si="103"/>
        <v>0</v>
      </c>
      <c r="H91" s="3"/>
      <c r="I91" s="3"/>
      <c r="J91" s="3"/>
      <c r="K91" s="4">
        <f t="shared" si="104"/>
        <v>0</v>
      </c>
      <c r="L91" s="5">
        <f t="shared" si="105"/>
        <v>0</v>
      </c>
      <c r="M91" s="3"/>
      <c r="N91" s="3"/>
      <c r="O91" s="3"/>
      <c r="P91" s="4">
        <f t="shared" si="106"/>
        <v>0</v>
      </c>
      <c r="Q91" s="5">
        <f t="shared" si="107"/>
        <v>0</v>
      </c>
    </row>
    <row r="92" spans="1:17" ht="15.75" x14ac:dyDescent="0.25">
      <c r="B92" s="2"/>
      <c r="C92" s="3"/>
      <c r="D92" s="3"/>
      <c r="E92" s="3"/>
      <c r="F92" s="4">
        <f t="shared" si="102"/>
        <v>0</v>
      </c>
      <c r="G92" s="5">
        <f t="shared" si="103"/>
        <v>0</v>
      </c>
      <c r="H92" s="3"/>
      <c r="I92" s="3"/>
      <c r="J92" s="3"/>
      <c r="K92" s="4">
        <f t="shared" si="104"/>
        <v>0</v>
      </c>
      <c r="L92" s="5">
        <f t="shared" si="105"/>
        <v>0</v>
      </c>
      <c r="M92" s="3"/>
      <c r="N92" s="3"/>
      <c r="O92" s="3"/>
      <c r="P92" s="4">
        <f t="shared" si="106"/>
        <v>0</v>
      </c>
      <c r="Q92" s="5">
        <f t="shared" si="107"/>
        <v>0</v>
      </c>
    </row>
    <row r="93" spans="1:17" ht="15.75" x14ac:dyDescent="0.25">
      <c r="B93" s="2"/>
      <c r="C93" s="3"/>
      <c r="D93" s="3"/>
      <c r="E93" s="3"/>
      <c r="F93" s="4">
        <f t="shared" si="102"/>
        <v>0</v>
      </c>
      <c r="G93" s="5">
        <f t="shared" si="103"/>
        <v>0</v>
      </c>
      <c r="H93" s="3"/>
      <c r="I93" s="3"/>
      <c r="J93" s="3"/>
      <c r="K93" s="4">
        <f t="shared" si="104"/>
        <v>0</v>
      </c>
      <c r="L93" s="5">
        <f t="shared" si="105"/>
        <v>0</v>
      </c>
      <c r="M93" s="3"/>
      <c r="N93" s="3"/>
      <c r="O93" s="3"/>
      <c r="P93" s="4">
        <f t="shared" si="106"/>
        <v>0</v>
      </c>
      <c r="Q93" s="5">
        <f t="shared" si="107"/>
        <v>0</v>
      </c>
    </row>
    <row r="94" spans="1:17" x14ac:dyDescent="0.25">
      <c r="B94" s="6" t="s">
        <v>7</v>
      </c>
      <c r="C94" s="6" t="e">
        <f>AVERAGE(C89:C93)</f>
        <v>#DIV/0!</v>
      </c>
      <c r="D94" s="6" t="e">
        <f t="shared" ref="D94:Q94" si="108">AVERAGE(D89:D93)</f>
        <v>#DIV/0!</v>
      </c>
      <c r="E94" s="6" t="e">
        <f t="shared" si="108"/>
        <v>#DIV/0!</v>
      </c>
      <c r="F94" s="6">
        <f t="shared" si="108"/>
        <v>0</v>
      </c>
      <c r="G94" s="6">
        <f t="shared" si="108"/>
        <v>0</v>
      </c>
      <c r="H94" s="6" t="e">
        <f t="shared" si="108"/>
        <v>#DIV/0!</v>
      </c>
      <c r="I94" s="6" t="e">
        <f t="shared" si="108"/>
        <v>#DIV/0!</v>
      </c>
      <c r="J94" s="6" t="e">
        <f t="shared" si="108"/>
        <v>#DIV/0!</v>
      </c>
      <c r="K94" s="6">
        <f t="shared" si="108"/>
        <v>0</v>
      </c>
      <c r="L94" s="6">
        <f t="shared" si="108"/>
        <v>0</v>
      </c>
      <c r="M94" s="6" t="e">
        <f t="shared" si="108"/>
        <v>#DIV/0!</v>
      </c>
      <c r="N94" s="6" t="e">
        <f t="shared" si="108"/>
        <v>#DIV/0!</v>
      </c>
      <c r="O94" s="6" t="e">
        <f t="shared" si="108"/>
        <v>#DIV/0!</v>
      </c>
      <c r="P94" s="6">
        <f t="shared" si="108"/>
        <v>0</v>
      </c>
      <c r="Q94" s="6">
        <f t="shared" si="108"/>
        <v>0</v>
      </c>
    </row>
    <row r="95" spans="1:17" ht="15.75" x14ac:dyDescent="0.25">
      <c r="B95" s="16">
        <v>2</v>
      </c>
      <c r="C95" s="3">
        <v>3.0409999999999999</v>
      </c>
      <c r="D95" s="3">
        <f>1.22*10^-6</f>
        <v>1.22E-6</v>
      </c>
      <c r="E95" s="3">
        <f>13.38*10^-6</f>
        <v>1.3380000000000001E-5</v>
      </c>
      <c r="F95" s="4">
        <f>(D95/5)/(6.8*10^3)</f>
        <v>3.588235294117647E-11</v>
      </c>
      <c r="G95" s="5">
        <f>(E95/5)/(6.8*10^3)</f>
        <v>3.9352941176470592E-10</v>
      </c>
      <c r="H95" s="3">
        <v>2.9609999999999999</v>
      </c>
      <c r="I95" s="3">
        <f>1.61*10^-6</f>
        <v>1.61E-6</v>
      </c>
      <c r="J95" s="3">
        <f>11.44*10^-6</f>
        <v>1.1439999999999999E-5</v>
      </c>
      <c r="K95" s="4">
        <f>(I95/5)/(6.8*10^3)</f>
        <v>4.735294117647059E-11</v>
      </c>
      <c r="L95" s="5">
        <f>(J95/5)/(6.8*10^3)</f>
        <v>3.3647058823529409E-10</v>
      </c>
      <c r="M95" s="3">
        <v>2.641</v>
      </c>
      <c r="N95" s="3">
        <f>2.14*10^-6</f>
        <v>2.1399999999999998E-6</v>
      </c>
      <c r="O95" s="3">
        <f>21.42*10^-6</f>
        <v>2.1420000000000002E-5</v>
      </c>
      <c r="P95" s="4">
        <f>(N95/5)/(6.8*10^3)</f>
        <v>6.2941176470588232E-11</v>
      </c>
      <c r="Q95" s="11">
        <f>(O95/5)/(6.8*10^3)</f>
        <v>6.3E-10</v>
      </c>
    </row>
    <row r="96" spans="1:17" ht="15.75" x14ac:dyDescent="0.25">
      <c r="B96" s="16"/>
      <c r="C96" s="3">
        <v>3.0409999999999999</v>
      </c>
      <c r="D96" s="3">
        <f>1.23*10^-6</f>
        <v>1.2299999999999999E-6</v>
      </c>
      <c r="E96" s="3">
        <f>14.04*10^-6</f>
        <v>1.4039999999999998E-5</v>
      </c>
      <c r="F96" s="4">
        <f t="shared" ref="F96:F99" si="109">(D96/5)/(6.8*10^3)</f>
        <v>3.6176470588235284E-11</v>
      </c>
      <c r="G96" s="5">
        <f t="shared" ref="G96:G99" si="110">(E96/5)/(6.8*10^3)</f>
        <v>4.129411764705882E-10</v>
      </c>
      <c r="H96" s="3">
        <v>2.9609999999999999</v>
      </c>
      <c r="I96" s="3">
        <f>1.44*10^-6</f>
        <v>1.44E-6</v>
      </c>
      <c r="J96" s="3">
        <f>10.74*10^-6</f>
        <v>1.0740000000000001E-5</v>
      </c>
      <c r="K96" s="4">
        <f t="shared" ref="K96:K99" si="111">(I96/5)/(6.8*10^3)</f>
        <v>4.2352941176470588E-11</v>
      </c>
      <c r="L96" s="5">
        <f t="shared" ref="L96:L99" si="112">(J96/5)/(6.8*10^3)</f>
        <v>3.1588235294117645E-10</v>
      </c>
      <c r="M96" s="3">
        <v>2.5609999999999999</v>
      </c>
      <c r="N96" s="3">
        <f>2.14*10^-6</f>
        <v>2.1399999999999998E-6</v>
      </c>
      <c r="O96" s="3">
        <f>18.04*10^-6</f>
        <v>1.8039999999999997E-5</v>
      </c>
      <c r="P96" s="4">
        <f t="shared" ref="P96:P99" si="113">(N96/5)/(6.8*10^3)</f>
        <v>6.2941176470588232E-11</v>
      </c>
      <c r="Q96" s="5">
        <f t="shared" ref="Q96:Q99" si="114">(O96/5)/(6.8*10^3)</f>
        <v>5.3058823529411753E-10</v>
      </c>
    </row>
    <row r="97" spans="1:17" ht="15.75" x14ac:dyDescent="0.25">
      <c r="B97" s="16"/>
      <c r="C97" s="3">
        <v>3.0409999999999999</v>
      </c>
      <c r="D97" s="3">
        <f>1.11*10^-6</f>
        <v>1.11E-6</v>
      </c>
      <c r="E97" s="3">
        <f>10.98*10^-6</f>
        <v>1.098E-5</v>
      </c>
      <c r="F97" s="4">
        <f t="shared" si="109"/>
        <v>3.2647058823529411E-11</v>
      </c>
      <c r="G97" s="5">
        <f t="shared" si="110"/>
        <v>3.229411764705882E-10</v>
      </c>
      <c r="H97" s="3">
        <v>2.9609999999999999</v>
      </c>
      <c r="I97" s="3">
        <f>1.11*10^-6</f>
        <v>1.11E-6</v>
      </c>
      <c r="J97" s="3">
        <f>11.36*10^-6</f>
        <v>1.136E-5</v>
      </c>
      <c r="K97" s="4">
        <f t="shared" si="111"/>
        <v>3.2647058823529411E-11</v>
      </c>
      <c r="L97" s="5">
        <f t="shared" si="112"/>
        <v>3.3411764705882353E-10</v>
      </c>
      <c r="M97" s="3">
        <v>2.641</v>
      </c>
      <c r="N97" s="3">
        <f>2.14*10^-6</f>
        <v>2.1399999999999998E-6</v>
      </c>
      <c r="O97" s="3">
        <f>25.42*10^-6</f>
        <v>2.5420000000000001E-5</v>
      </c>
      <c r="P97" s="4">
        <f t="shared" si="113"/>
        <v>6.2941176470588232E-11</v>
      </c>
      <c r="Q97" s="5">
        <f t="shared" si="114"/>
        <v>7.4764705882352938E-10</v>
      </c>
    </row>
    <row r="98" spans="1:17" ht="15.75" x14ac:dyDescent="0.25">
      <c r="B98" s="16"/>
      <c r="C98" s="3">
        <v>3.0409999999999999</v>
      </c>
      <c r="D98" s="3">
        <f>1.19*10^-6</f>
        <v>1.1899999999999998E-6</v>
      </c>
      <c r="E98" s="3">
        <f>13.88*10^-6</f>
        <v>1.3880000000000001E-5</v>
      </c>
      <c r="F98" s="4">
        <f t="shared" si="109"/>
        <v>3.4999999999999995E-11</v>
      </c>
      <c r="G98" s="5">
        <f t="shared" si="110"/>
        <v>4.0823529411764707E-10</v>
      </c>
      <c r="H98" s="3">
        <v>2.9609999999999999</v>
      </c>
      <c r="I98" s="3">
        <f>1.67*10^-6</f>
        <v>1.6699999999999999E-6</v>
      </c>
      <c r="J98" s="3">
        <f>10.82*10^-6</f>
        <v>1.082E-5</v>
      </c>
      <c r="K98" s="4">
        <f t="shared" si="111"/>
        <v>4.9117647058823527E-11</v>
      </c>
      <c r="L98" s="5">
        <f t="shared" si="112"/>
        <v>3.1823529411764707E-10</v>
      </c>
      <c r="M98" s="3">
        <v>2.5609999999999999</v>
      </c>
      <c r="N98" s="3">
        <f>1.33*10^-6</f>
        <v>1.33E-6</v>
      </c>
      <c r="O98" s="3">
        <f>23.38*10^-6</f>
        <v>2.3379999999999996E-5</v>
      </c>
      <c r="P98" s="4">
        <f t="shared" si="113"/>
        <v>3.9117647058823523E-11</v>
      </c>
      <c r="Q98" s="5">
        <f t="shared" si="114"/>
        <v>6.8764705882352928E-10</v>
      </c>
    </row>
    <row r="99" spans="1:17" ht="15.75" x14ac:dyDescent="0.25">
      <c r="B99" s="16"/>
      <c r="C99" s="3">
        <v>3.0409999999999999</v>
      </c>
      <c r="D99" s="3">
        <f>1.12*10^-6</f>
        <v>1.1200000000000001E-6</v>
      </c>
      <c r="E99" s="3">
        <f>11.9*10^-6</f>
        <v>1.19E-5</v>
      </c>
      <c r="F99" s="4">
        <f t="shared" si="109"/>
        <v>3.2941176470588238E-11</v>
      </c>
      <c r="G99" s="5">
        <f t="shared" si="110"/>
        <v>3.5000000000000003E-10</v>
      </c>
      <c r="H99" s="3">
        <v>2.9609999999999999</v>
      </c>
      <c r="I99" s="3">
        <f>1.43*10^-6</f>
        <v>1.4299999999999999E-6</v>
      </c>
      <c r="J99" s="3">
        <f>10.96*10^-6</f>
        <v>1.096E-5</v>
      </c>
      <c r="K99" s="4">
        <f t="shared" si="111"/>
        <v>4.2058823529411761E-11</v>
      </c>
      <c r="L99" s="5">
        <f t="shared" si="112"/>
        <v>3.223529411764706E-10</v>
      </c>
      <c r="M99" s="3">
        <v>2.5609999999999999</v>
      </c>
      <c r="N99" s="3">
        <f>1.96*10^-6</f>
        <v>1.9599999999999999E-6</v>
      </c>
      <c r="O99" s="3">
        <f>26.36*10^-6</f>
        <v>2.6359999999999998E-5</v>
      </c>
      <c r="P99" s="4">
        <f t="shared" si="113"/>
        <v>5.7647058823529409E-11</v>
      </c>
      <c r="Q99" s="5">
        <f t="shared" si="114"/>
        <v>7.7529411764705876E-10</v>
      </c>
    </row>
    <row r="100" spans="1:17" x14ac:dyDescent="0.25">
      <c r="B100" s="6" t="s">
        <v>7</v>
      </c>
      <c r="C100" s="6">
        <f>AVERAGE(C95:C99)</f>
        <v>3.0409999999999999</v>
      </c>
      <c r="D100" s="6">
        <f t="shared" ref="D100:Q100" si="115">AVERAGE(D95:D99)</f>
        <v>1.1739999999999999E-6</v>
      </c>
      <c r="E100" s="6">
        <f t="shared" si="115"/>
        <v>1.2836E-5</v>
      </c>
      <c r="F100" s="6">
        <f t="shared" si="115"/>
        <v>3.4529411764705882E-11</v>
      </c>
      <c r="G100" s="6">
        <f t="shared" si="115"/>
        <v>3.7752941176470587E-10</v>
      </c>
      <c r="H100" s="6">
        <f t="shared" si="115"/>
        <v>2.9609999999999999</v>
      </c>
      <c r="I100" s="6">
        <f t="shared" si="115"/>
        <v>1.452E-6</v>
      </c>
      <c r="J100" s="6">
        <f t="shared" si="115"/>
        <v>1.1064000000000001E-5</v>
      </c>
      <c r="K100" s="6">
        <f t="shared" si="115"/>
        <v>4.2705882352941173E-11</v>
      </c>
      <c r="L100" s="6">
        <f t="shared" si="115"/>
        <v>3.2541176470588231E-10</v>
      </c>
      <c r="M100" s="6">
        <f t="shared" si="115"/>
        <v>2.593</v>
      </c>
      <c r="N100" s="6">
        <f t="shared" si="115"/>
        <v>1.9419999999999998E-6</v>
      </c>
      <c r="O100" s="6">
        <f t="shared" si="115"/>
        <v>2.2923999999999999E-5</v>
      </c>
      <c r="P100" s="6">
        <f t="shared" si="115"/>
        <v>5.7117647058823532E-11</v>
      </c>
      <c r="Q100" s="6">
        <f t="shared" si="115"/>
        <v>6.7423529411764682E-10</v>
      </c>
    </row>
    <row r="101" spans="1:17" ht="15.75" x14ac:dyDescent="0.25">
      <c r="A101" t="s">
        <v>23</v>
      </c>
      <c r="B101" s="17">
        <v>1</v>
      </c>
      <c r="C101" s="3"/>
      <c r="D101" s="3"/>
      <c r="E101" s="3"/>
      <c r="F101" s="4">
        <f>(D101/5)/(6.8*10^3)</f>
        <v>0</v>
      </c>
      <c r="G101" s="5">
        <f>(E101/5)/(6.8*10^3)</f>
        <v>0</v>
      </c>
      <c r="H101" s="3"/>
      <c r="I101" s="3"/>
      <c r="J101" s="3"/>
      <c r="K101" s="4">
        <f>(I101/5)/(6.8*10^3)</f>
        <v>0</v>
      </c>
      <c r="L101" s="5">
        <f>(J101/5)/(6.8*10^3)</f>
        <v>0</v>
      </c>
      <c r="M101" s="3"/>
      <c r="N101" s="3"/>
      <c r="O101" s="3"/>
      <c r="P101" s="4">
        <f>(N101/5)/(6.8*10^3)</f>
        <v>0</v>
      </c>
      <c r="Q101" s="5">
        <f>(O101/5)/(6.8*10^3)</f>
        <v>0</v>
      </c>
    </row>
    <row r="102" spans="1:17" ht="15.75" x14ac:dyDescent="0.25">
      <c r="B102" s="16"/>
      <c r="C102" s="3"/>
      <c r="D102" s="3"/>
      <c r="E102" s="3"/>
      <c r="F102" s="4">
        <f>(D102/5)/(6.8*10^3)</f>
        <v>0</v>
      </c>
      <c r="G102" s="5">
        <f t="shared" ref="G102:G105" si="116">(E102/5)/(6.8*10^3)</f>
        <v>0</v>
      </c>
      <c r="H102" s="3"/>
      <c r="I102" s="3"/>
      <c r="J102" s="3"/>
      <c r="K102" s="4">
        <f t="shared" ref="K102:K105" si="117">(I102/5)/(6.8*10^3)</f>
        <v>0</v>
      </c>
      <c r="L102" s="5">
        <f t="shared" ref="L102:L105" si="118">(J102/5)/(6.8*10^3)</f>
        <v>0</v>
      </c>
      <c r="M102" s="3"/>
      <c r="N102" s="3"/>
      <c r="O102" s="3"/>
      <c r="P102" s="4">
        <f t="shared" ref="P102:P105" si="119">(N102/5)/(6.8*10^3)</f>
        <v>0</v>
      </c>
      <c r="Q102" s="5">
        <f t="shared" ref="Q102:Q105" si="120">(O102/5)/(6.8*10^3)</f>
        <v>0</v>
      </c>
    </row>
    <row r="103" spans="1:17" ht="15.75" x14ac:dyDescent="0.25">
      <c r="B103" s="16"/>
      <c r="C103" s="3"/>
      <c r="D103" s="3"/>
      <c r="E103" s="3"/>
      <c r="F103" s="4">
        <f t="shared" ref="F103:F105" si="121">(D103/5)/(6.8*10^3)</f>
        <v>0</v>
      </c>
      <c r="G103" s="5">
        <f t="shared" si="116"/>
        <v>0</v>
      </c>
      <c r="H103" s="3"/>
      <c r="I103" s="3"/>
      <c r="J103" s="3"/>
      <c r="K103" s="4">
        <f t="shared" si="117"/>
        <v>0</v>
      </c>
      <c r="L103" s="5">
        <f t="shared" si="118"/>
        <v>0</v>
      </c>
      <c r="M103" s="3"/>
      <c r="N103" s="3"/>
      <c r="O103" s="3"/>
      <c r="P103" s="4">
        <f t="shared" si="119"/>
        <v>0</v>
      </c>
      <c r="Q103" s="5">
        <f t="shared" si="120"/>
        <v>0</v>
      </c>
    </row>
    <row r="104" spans="1:17" ht="15.75" x14ac:dyDescent="0.25">
      <c r="B104" s="16"/>
      <c r="C104" s="3"/>
      <c r="D104" s="3"/>
      <c r="E104" s="3"/>
      <c r="F104" s="4">
        <f t="shared" si="121"/>
        <v>0</v>
      </c>
      <c r="G104" s="5">
        <f t="shared" si="116"/>
        <v>0</v>
      </c>
      <c r="H104" s="3"/>
      <c r="I104" s="3"/>
      <c r="J104" s="3"/>
      <c r="K104" s="4">
        <f t="shared" si="117"/>
        <v>0</v>
      </c>
      <c r="L104" s="5">
        <f t="shared" si="118"/>
        <v>0</v>
      </c>
      <c r="M104" s="3"/>
      <c r="N104" s="3"/>
      <c r="O104" s="3"/>
      <c r="P104" s="4">
        <f t="shared" si="119"/>
        <v>0</v>
      </c>
      <c r="Q104" s="5">
        <f t="shared" si="120"/>
        <v>0</v>
      </c>
    </row>
    <row r="105" spans="1:17" ht="15.75" x14ac:dyDescent="0.25">
      <c r="B105" s="7"/>
      <c r="C105" s="3"/>
      <c r="D105" s="3"/>
      <c r="E105" s="3"/>
      <c r="F105" s="4">
        <f t="shared" si="121"/>
        <v>0</v>
      </c>
      <c r="G105" s="5">
        <f t="shared" si="116"/>
        <v>0</v>
      </c>
      <c r="H105" s="3"/>
      <c r="I105" s="3"/>
      <c r="J105" s="3"/>
      <c r="K105" s="4">
        <f t="shared" si="117"/>
        <v>0</v>
      </c>
      <c r="L105" s="5">
        <f t="shared" si="118"/>
        <v>0</v>
      </c>
      <c r="M105" s="3"/>
      <c r="N105" s="3"/>
      <c r="O105" s="3"/>
      <c r="P105" s="4">
        <f t="shared" si="119"/>
        <v>0</v>
      </c>
      <c r="Q105" s="5">
        <f t="shared" si="120"/>
        <v>0</v>
      </c>
    </row>
    <row r="106" spans="1:17" x14ac:dyDescent="0.25">
      <c r="B106" s="8" t="s">
        <v>7</v>
      </c>
      <c r="C106" s="6" t="e">
        <f>AVERAGE(C101:C105)</f>
        <v>#DIV/0!</v>
      </c>
      <c r="D106" s="6" t="e">
        <f t="shared" ref="D106:G106" si="122">AVERAGE(D101:D105)</f>
        <v>#DIV/0!</v>
      </c>
      <c r="E106" s="6" t="e">
        <f t="shared" si="122"/>
        <v>#DIV/0!</v>
      </c>
      <c r="F106" s="6">
        <f t="shared" si="122"/>
        <v>0</v>
      </c>
      <c r="G106" s="6">
        <f t="shared" si="122"/>
        <v>0</v>
      </c>
      <c r="H106" s="6" t="e">
        <f>AVERAGE(H101:H105)</f>
        <v>#DIV/0!</v>
      </c>
      <c r="I106" s="6" t="e">
        <f t="shared" ref="I106:L106" si="123">AVERAGE(I101:I105)</f>
        <v>#DIV/0!</v>
      </c>
      <c r="J106" s="6" t="e">
        <f t="shared" si="123"/>
        <v>#DIV/0!</v>
      </c>
      <c r="K106" s="6">
        <f t="shared" si="123"/>
        <v>0</v>
      </c>
      <c r="L106" s="6">
        <f t="shared" si="123"/>
        <v>0</v>
      </c>
      <c r="M106" s="6" t="e">
        <f>AVERAGE(M101:M105)</f>
        <v>#DIV/0!</v>
      </c>
      <c r="N106" s="6" t="e">
        <f t="shared" ref="N106:Q106" si="124">AVERAGE(N101:N105)</f>
        <v>#DIV/0!</v>
      </c>
      <c r="O106" s="6" t="e">
        <f t="shared" si="124"/>
        <v>#DIV/0!</v>
      </c>
      <c r="P106" s="6">
        <f t="shared" si="124"/>
        <v>0</v>
      </c>
      <c r="Q106" s="6">
        <f t="shared" si="124"/>
        <v>0</v>
      </c>
    </row>
    <row r="107" spans="1:17" ht="15.75" x14ac:dyDescent="0.25">
      <c r="B107" s="16">
        <v>2</v>
      </c>
      <c r="C107" s="3">
        <f>600*10^-3</f>
        <v>0.6</v>
      </c>
      <c r="D107" s="3">
        <f>5.45*10^-3</f>
        <v>5.45E-3</v>
      </c>
      <c r="E107" s="3">
        <f>5.85*10^-3</f>
        <v>5.8500000000000002E-3</v>
      </c>
      <c r="F107" s="4">
        <f>(D107/5)/(6.8*10^3)</f>
        <v>1.6029411764705884E-7</v>
      </c>
      <c r="G107" s="5">
        <f>(E107/5)/(6.8*10^3)</f>
        <v>1.7205882352941178E-7</v>
      </c>
      <c r="H107" s="3">
        <f>760*10^-3</f>
        <v>0.76</v>
      </c>
      <c r="I107" s="3">
        <f>5.8*10^-3</f>
        <v>5.7999999999999996E-3</v>
      </c>
      <c r="J107" s="3">
        <f>5.9*10^-3</f>
        <v>5.9000000000000007E-3</v>
      </c>
      <c r="K107" s="4">
        <f>(I107/5)/(6.8*10^3)</f>
        <v>1.7058823529411766E-7</v>
      </c>
      <c r="L107" s="5">
        <f>(J107/5)/(6.8*10^3)</f>
        <v>1.735294117647059E-7</v>
      </c>
      <c r="M107" s="3">
        <f>820*10^-3</f>
        <v>0.82000000000000006</v>
      </c>
      <c r="N107" s="3">
        <f>5.7*10^-3</f>
        <v>5.7000000000000002E-3</v>
      </c>
      <c r="O107" s="3">
        <f>5.85*10^-3</f>
        <v>5.8500000000000002E-3</v>
      </c>
      <c r="P107" s="4">
        <f>(N107/5)/(6.8*10^3)</f>
        <v>1.6764705882352942E-7</v>
      </c>
      <c r="Q107" s="5">
        <f>(O107/5)/(6.8*10^3)</f>
        <v>1.7205882352941178E-7</v>
      </c>
    </row>
    <row r="108" spans="1:17" ht="15.75" x14ac:dyDescent="0.25">
      <c r="B108" s="16"/>
      <c r="C108" s="3">
        <f>560*10^-3</f>
        <v>0.56000000000000005</v>
      </c>
      <c r="D108" s="3">
        <f>5.85*10^-3</f>
        <v>5.8500000000000002E-3</v>
      </c>
      <c r="E108" s="3">
        <f>5.9*10^-3</f>
        <v>5.9000000000000007E-3</v>
      </c>
      <c r="F108" s="4">
        <f t="shared" ref="F108:F111" si="125">(D108/5)/(6.8*10^3)</f>
        <v>1.7205882352941178E-7</v>
      </c>
      <c r="G108" s="5">
        <f t="shared" ref="G108:G111" si="126">(E108/5)/(6.8*10^3)</f>
        <v>1.735294117647059E-7</v>
      </c>
      <c r="H108" s="3">
        <f>780*10^-3</f>
        <v>0.78</v>
      </c>
      <c r="I108" s="3">
        <f>5.825*10^-3</f>
        <v>5.8250000000000003E-3</v>
      </c>
      <c r="J108" s="3">
        <f>5.8*10^-3</f>
        <v>5.7999999999999996E-3</v>
      </c>
      <c r="K108" s="4">
        <f t="shared" ref="K108:K111" si="127">(I108/5)/(6.8*10^3)</f>
        <v>1.713235294117647E-7</v>
      </c>
      <c r="L108" s="5">
        <f t="shared" ref="L108:L111" si="128">(J108/5)/(6.8*10^3)</f>
        <v>1.7058823529411766E-7</v>
      </c>
      <c r="M108" s="3">
        <f>820*10^-3</f>
        <v>0.82000000000000006</v>
      </c>
      <c r="N108" s="3">
        <f>5.825*10^-3</f>
        <v>5.8250000000000003E-3</v>
      </c>
      <c r="O108" s="3">
        <f>5.95*10^-3</f>
        <v>5.9500000000000004E-3</v>
      </c>
      <c r="P108" s="4">
        <f t="shared" ref="P108:P111" si="129">(N108/5)/(6.8*10^3)</f>
        <v>1.713235294117647E-7</v>
      </c>
      <c r="Q108" s="5">
        <f t="shared" ref="Q108:Q111" si="130">(O108/5)/(6.8*10^3)</f>
        <v>1.7500000000000002E-7</v>
      </c>
    </row>
    <row r="109" spans="1:17" ht="15.75" x14ac:dyDescent="0.25">
      <c r="B109" s="16"/>
      <c r="C109" s="3">
        <f>540*10^-3</f>
        <v>0.54</v>
      </c>
      <c r="D109" s="3">
        <f>5.825*10^-3</f>
        <v>5.8250000000000003E-3</v>
      </c>
      <c r="E109" s="3">
        <f>5.95*10^-3</f>
        <v>5.9500000000000004E-3</v>
      </c>
      <c r="F109" s="4">
        <f t="shared" si="125"/>
        <v>1.713235294117647E-7</v>
      </c>
      <c r="G109" s="5">
        <f t="shared" si="126"/>
        <v>1.7500000000000002E-7</v>
      </c>
      <c r="H109" s="3">
        <f>760*10^-3</f>
        <v>0.76</v>
      </c>
      <c r="I109" s="3">
        <f>5.75*10^-3</f>
        <v>5.7499999999999999E-3</v>
      </c>
      <c r="J109" s="3">
        <f>5.75*10^-3</f>
        <v>5.7499999999999999E-3</v>
      </c>
      <c r="K109" s="4">
        <f t="shared" si="127"/>
        <v>1.6911764705882354E-7</v>
      </c>
      <c r="L109" s="5">
        <f t="shared" si="128"/>
        <v>1.6911764705882354E-7</v>
      </c>
      <c r="M109" s="3">
        <f>840*10^-3</f>
        <v>0.84</v>
      </c>
      <c r="N109" s="3">
        <f>5.875*10^-3</f>
        <v>5.875E-3</v>
      </c>
      <c r="O109" s="3">
        <f>5.85*10^-3</f>
        <v>5.8500000000000002E-3</v>
      </c>
      <c r="P109" s="4">
        <f t="shared" si="129"/>
        <v>1.7279411764705882E-7</v>
      </c>
      <c r="Q109" s="5">
        <f t="shared" si="130"/>
        <v>1.7205882352941178E-7</v>
      </c>
    </row>
    <row r="110" spans="1:17" ht="15.75" x14ac:dyDescent="0.25">
      <c r="B110" s="16"/>
      <c r="C110" s="3">
        <f>620*10^-3</f>
        <v>0.62</v>
      </c>
      <c r="D110" s="3">
        <f>5.35*10^-3</f>
        <v>5.3499999999999997E-3</v>
      </c>
      <c r="E110" s="3">
        <f>6.15*10^-3</f>
        <v>6.1500000000000001E-3</v>
      </c>
      <c r="F110" s="4">
        <f t="shared" si="125"/>
        <v>1.573529411764706E-7</v>
      </c>
      <c r="G110" s="5">
        <f t="shared" si="126"/>
        <v>1.8088235294117647E-7</v>
      </c>
      <c r="H110" s="3">
        <f>760*10^-3</f>
        <v>0.76</v>
      </c>
      <c r="I110" s="3">
        <f>5.755*10^-3</f>
        <v>5.7549999999999997E-3</v>
      </c>
      <c r="J110" s="3">
        <f>5.85*10^-3</f>
        <v>5.8500000000000002E-3</v>
      </c>
      <c r="K110" s="4">
        <f t="shared" si="127"/>
        <v>1.6926470588235291E-7</v>
      </c>
      <c r="L110" s="5">
        <f t="shared" si="128"/>
        <v>1.7205882352941178E-7</v>
      </c>
      <c r="M110" s="3">
        <f>860*10^-3</f>
        <v>0.86</v>
      </c>
      <c r="N110" s="3">
        <f>6.8*10^-3</f>
        <v>6.7999999999999996E-3</v>
      </c>
      <c r="O110" s="3">
        <f>5.7*10^-3</f>
        <v>5.7000000000000002E-3</v>
      </c>
      <c r="P110" s="4">
        <f t="shared" si="129"/>
        <v>1.9999999999999999E-7</v>
      </c>
      <c r="Q110" s="5">
        <f t="shared" si="130"/>
        <v>1.6764705882352942E-7</v>
      </c>
    </row>
    <row r="111" spans="1:17" ht="15.75" x14ac:dyDescent="0.25">
      <c r="B111" s="7"/>
      <c r="C111" s="3">
        <f>540*10^-3</f>
        <v>0.54</v>
      </c>
      <c r="D111" s="3">
        <f>5.775*10^-3</f>
        <v>5.7750000000000006E-3</v>
      </c>
      <c r="E111" s="3">
        <f>6.15*10^-3</f>
        <v>6.1500000000000001E-3</v>
      </c>
      <c r="F111" s="4">
        <f t="shared" si="125"/>
        <v>1.6985294117647061E-7</v>
      </c>
      <c r="G111" s="5">
        <f t="shared" si="126"/>
        <v>1.8088235294117647E-7</v>
      </c>
      <c r="H111" s="3">
        <f>760*10^-3</f>
        <v>0.76</v>
      </c>
      <c r="I111" s="3">
        <f>5.9*10^-3</f>
        <v>5.9000000000000007E-3</v>
      </c>
      <c r="J111" s="3">
        <f>5.85*10^-3</f>
        <v>5.8500000000000002E-3</v>
      </c>
      <c r="K111" s="4">
        <f t="shared" si="127"/>
        <v>1.735294117647059E-7</v>
      </c>
      <c r="L111" s="5">
        <f t="shared" si="128"/>
        <v>1.7205882352941178E-7</v>
      </c>
      <c r="M111" s="3">
        <f>860*10^-3</f>
        <v>0.86</v>
      </c>
      <c r="N111" s="3">
        <f>5.75*10^-3</f>
        <v>5.7499999999999999E-3</v>
      </c>
      <c r="O111" s="3">
        <f>5.75*10^-3</f>
        <v>5.7499999999999999E-3</v>
      </c>
      <c r="P111" s="4">
        <f t="shared" si="129"/>
        <v>1.6911764705882354E-7</v>
      </c>
      <c r="Q111" s="5">
        <f t="shared" si="130"/>
        <v>1.6911764705882354E-7</v>
      </c>
    </row>
    <row r="112" spans="1:17" x14ac:dyDescent="0.25">
      <c r="B112" s="8" t="s">
        <v>7</v>
      </c>
      <c r="C112" s="9">
        <f>AVERAGE(C107:C111)</f>
        <v>0.57200000000000006</v>
      </c>
      <c r="D112" s="6">
        <f t="shared" ref="D112:Q112" si="131">AVERAGE(D107:D111)</f>
        <v>5.6500000000000005E-3</v>
      </c>
      <c r="E112" s="6">
        <f t="shared" si="131"/>
        <v>6.0000000000000001E-3</v>
      </c>
      <c r="F112" s="6">
        <f t="shared" si="131"/>
        <v>1.6617647058823529E-7</v>
      </c>
      <c r="G112" s="6">
        <f t="shared" si="131"/>
        <v>1.7647058823529414E-7</v>
      </c>
      <c r="H112" s="6">
        <f t="shared" si="131"/>
        <v>0.7639999999999999</v>
      </c>
      <c r="I112" s="6">
        <f t="shared" si="131"/>
        <v>5.8060000000000004E-3</v>
      </c>
      <c r="J112" s="9">
        <f t="shared" si="131"/>
        <v>5.8300000000000001E-3</v>
      </c>
      <c r="K112" s="6">
        <f t="shared" si="131"/>
        <v>1.7076470588235295E-7</v>
      </c>
      <c r="L112" s="6">
        <f t="shared" si="131"/>
        <v>1.7147058823529411E-7</v>
      </c>
      <c r="M112" s="9">
        <f t="shared" si="131"/>
        <v>0.84000000000000008</v>
      </c>
      <c r="N112" s="6">
        <f t="shared" si="131"/>
        <v>5.9899999999999997E-3</v>
      </c>
      <c r="O112" s="9">
        <f t="shared" si="131"/>
        <v>5.8200000000000005E-3</v>
      </c>
      <c r="P112" s="6">
        <f t="shared" si="131"/>
        <v>1.761764705882353E-7</v>
      </c>
      <c r="Q112" s="6">
        <f t="shared" si="131"/>
        <v>1.711764705882353E-7</v>
      </c>
    </row>
    <row r="113" spans="1:17" ht="15.75" x14ac:dyDescent="0.25">
      <c r="A113" t="s">
        <v>24</v>
      </c>
      <c r="B113" s="17">
        <v>1</v>
      </c>
      <c r="C113" s="3"/>
      <c r="D113" s="3"/>
      <c r="E113" s="3"/>
      <c r="F113" s="4">
        <f>(D113/5)/(6.8*10^3)</f>
        <v>0</v>
      </c>
      <c r="G113" s="5">
        <f>(E113/5)/(6.8*10^3)</f>
        <v>0</v>
      </c>
      <c r="H113" s="3"/>
      <c r="I113" s="3"/>
      <c r="J113" s="3"/>
      <c r="K113" s="4">
        <f>(I113/5)/(6.8*10^3)</f>
        <v>0</v>
      </c>
      <c r="L113" s="5">
        <f>(J113/5)/(6.8*10^3)</f>
        <v>0</v>
      </c>
      <c r="M113" s="3"/>
      <c r="N113" s="3"/>
      <c r="O113" s="3"/>
      <c r="P113" s="4">
        <f>(N113/5)/(6.8*10^3)</f>
        <v>0</v>
      </c>
      <c r="Q113" s="11">
        <f>(O113/5)/(6.8*10^3)</f>
        <v>0</v>
      </c>
    </row>
    <row r="114" spans="1:17" ht="15.75" x14ac:dyDescent="0.25">
      <c r="B114" s="16"/>
      <c r="C114" s="3"/>
      <c r="D114" s="3"/>
      <c r="E114" s="3"/>
      <c r="F114" s="4">
        <f t="shared" ref="F114:F117" si="132">(D114/5)/(6.8*10^3)</f>
        <v>0</v>
      </c>
      <c r="G114" s="5">
        <f t="shared" ref="G114:G117" si="133">(E114/5)/(6.8*10^3)</f>
        <v>0</v>
      </c>
      <c r="H114" s="3"/>
      <c r="I114" s="3"/>
      <c r="J114" s="3"/>
      <c r="K114" s="4">
        <f t="shared" ref="K114:K117" si="134">(I114/5)/(6.8*10^3)</f>
        <v>0</v>
      </c>
      <c r="L114" s="5">
        <f t="shared" ref="L114:L117" si="135">(J114/5)/(6.8*10^3)</f>
        <v>0</v>
      </c>
      <c r="M114" s="3"/>
      <c r="N114" s="3"/>
      <c r="O114" s="3"/>
      <c r="P114" s="4">
        <f t="shared" ref="P114:P117" si="136">(N114/5)/(6.8*10^3)</f>
        <v>0</v>
      </c>
      <c r="Q114" s="5">
        <f t="shared" ref="Q114:Q117" si="137">(O114/5)/(6.8*10^3)</f>
        <v>0</v>
      </c>
    </row>
    <row r="115" spans="1:17" ht="15.75" x14ac:dyDescent="0.25">
      <c r="B115" s="16"/>
      <c r="C115" s="3"/>
      <c r="D115" s="3"/>
      <c r="E115" s="3"/>
      <c r="F115" s="4">
        <f t="shared" si="132"/>
        <v>0</v>
      </c>
      <c r="G115" s="5">
        <f t="shared" si="133"/>
        <v>0</v>
      </c>
      <c r="H115" s="3"/>
      <c r="I115" s="3"/>
      <c r="J115" s="3"/>
      <c r="K115" s="4">
        <f t="shared" si="134"/>
        <v>0</v>
      </c>
      <c r="L115" s="5">
        <f t="shared" si="135"/>
        <v>0</v>
      </c>
      <c r="M115" s="3"/>
      <c r="N115" s="3"/>
      <c r="O115" s="3"/>
      <c r="P115" s="4">
        <f t="shared" si="136"/>
        <v>0</v>
      </c>
      <c r="Q115" s="5">
        <f t="shared" si="137"/>
        <v>0</v>
      </c>
    </row>
    <row r="116" spans="1:17" ht="15.75" x14ac:dyDescent="0.25">
      <c r="B116" s="16"/>
      <c r="C116" s="3"/>
      <c r="D116" s="3"/>
      <c r="E116" s="3"/>
      <c r="F116" s="4">
        <f t="shared" si="132"/>
        <v>0</v>
      </c>
      <c r="G116" s="5">
        <f t="shared" si="133"/>
        <v>0</v>
      </c>
      <c r="H116" s="3"/>
      <c r="I116" s="3"/>
      <c r="J116" s="3"/>
      <c r="K116" s="4">
        <f t="shared" si="134"/>
        <v>0</v>
      </c>
      <c r="L116" s="5">
        <f t="shared" si="135"/>
        <v>0</v>
      </c>
      <c r="M116" s="3"/>
      <c r="N116" s="3"/>
      <c r="O116" s="3"/>
      <c r="P116" s="4">
        <f t="shared" si="136"/>
        <v>0</v>
      </c>
      <c r="Q116" s="5">
        <f t="shared" si="137"/>
        <v>0</v>
      </c>
    </row>
    <row r="117" spans="1:17" ht="15.75" x14ac:dyDescent="0.25">
      <c r="B117" s="16"/>
      <c r="C117" s="3"/>
      <c r="D117" s="3"/>
      <c r="E117" s="3"/>
      <c r="F117" s="4">
        <f t="shared" si="132"/>
        <v>0</v>
      </c>
      <c r="G117" s="5">
        <f t="shared" si="133"/>
        <v>0</v>
      </c>
      <c r="H117" s="3"/>
      <c r="I117" s="3"/>
      <c r="J117" s="3"/>
      <c r="K117" s="4">
        <f t="shared" si="134"/>
        <v>0</v>
      </c>
      <c r="L117" s="5">
        <f t="shared" si="135"/>
        <v>0</v>
      </c>
      <c r="M117" s="3"/>
      <c r="N117" s="3"/>
      <c r="O117" s="3"/>
      <c r="P117" s="4">
        <f t="shared" si="136"/>
        <v>0</v>
      </c>
      <c r="Q117" s="5">
        <f t="shared" si="137"/>
        <v>0</v>
      </c>
    </row>
    <row r="118" spans="1:17" x14ac:dyDescent="0.25">
      <c r="B118" s="6" t="s">
        <v>7</v>
      </c>
      <c r="C118" s="6" t="e">
        <f>AVERAGE(C113:C117)</f>
        <v>#DIV/0!</v>
      </c>
      <c r="D118" s="6" t="e">
        <f t="shared" ref="D118:Q118" si="138">AVERAGE(D113:D117)</f>
        <v>#DIV/0!</v>
      </c>
      <c r="E118" s="6" t="e">
        <f t="shared" si="138"/>
        <v>#DIV/0!</v>
      </c>
      <c r="F118" s="6">
        <f t="shared" si="138"/>
        <v>0</v>
      </c>
      <c r="G118" s="6">
        <f t="shared" si="138"/>
        <v>0</v>
      </c>
      <c r="H118" s="6" t="e">
        <f t="shared" si="138"/>
        <v>#DIV/0!</v>
      </c>
      <c r="I118" s="6" t="e">
        <f t="shared" si="138"/>
        <v>#DIV/0!</v>
      </c>
      <c r="J118" s="6" t="e">
        <f t="shared" si="138"/>
        <v>#DIV/0!</v>
      </c>
      <c r="K118" s="6">
        <f t="shared" si="138"/>
        <v>0</v>
      </c>
      <c r="L118" s="6">
        <f t="shared" si="138"/>
        <v>0</v>
      </c>
      <c r="M118" s="6" t="e">
        <f t="shared" si="138"/>
        <v>#DIV/0!</v>
      </c>
      <c r="N118" s="6" t="e">
        <f t="shared" si="138"/>
        <v>#DIV/0!</v>
      </c>
      <c r="O118" s="6" t="e">
        <f t="shared" si="138"/>
        <v>#DIV/0!</v>
      </c>
      <c r="P118" s="6">
        <f t="shared" si="138"/>
        <v>0</v>
      </c>
      <c r="Q118" s="6">
        <f t="shared" si="138"/>
        <v>0</v>
      </c>
    </row>
    <row r="119" spans="1:17" ht="15.75" x14ac:dyDescent="0.25">
      <c r="B119" s="16">
        <v>2</v>
      </c>
      <c r="C119" s="3">
        <f>200*10^-3</f>
        <v>0.2</v>
      </c>
      <c r="D119" s="3">
        <f>5.35*10^-3</f>
        <v>5.3499999999999997E-3</v>
      </c>
      <c r="E119" s="3">
        <f>5.6*10^-3</f>
        <v>5.5999999999999999E-3</v>
      </c>
      <c r="F119" s="4">
        <f>(D119/5)/(6.8*10^3)</f>
        <v>1.573529411764706E-7</v>
      </c>
      <c r="G119" s="5">
        <f>(E119/5)/(6.8*10^3)</f>
        <v>1.6470588235294117E-7</v>
      </c>
      <c r="H119" s="3">
        <f>184*10^-3</f>
        <v>0.184</v>
      </c>
      <c r="I119" s="3">
        <f>4.8*10^-3</f>
        <v>4.7999999999999996E-3</v>
      </c>
      <c r="J119" s="3">
        <f>5.7*10^-3</f>
        <v>5.7000000000000002E-3</v>
      </c>
      <c r="K119" s="4">
        <f>(I119/5)/(6.8*10^3)</f>
        <v>1.4117647058823527E-7</v>
      </c>
      <c r="L119" s="5">
        <f>(J119/5)/(6.8*10^3)</f>
        <v>1.6764705882352942E-7</v>
      </c>
      <c r="M119" s="3">
        <f>464*10^-3</f>
        <v>0.46400000000000002</v>
      </c>
      <c r="N119" s="3">
        <f>6.3*10^-3</f>
        <v>6.3E-3</v>
      </c>
      <c r="O119" s="3">
        <f>6.5*10^-3</f>
        <v>6.5000000000000006E-3</v>
      </c>
      <c r="P119" s="4">
        <f>(N119/5)/(6.8*10^3)</f>
        <v>1.8529411764705884E-7</v>
      </c>
      <c r="Q119" s="5">
        <f>(O119/5)/(6.8*10^3)</f>
        <v>1.9117647058823532E-7</v>
      </c>
    </row>
    <row r="120" spans="1:17" ht="15.75" x14ac:dyDescent="0.25">
      <c r="B120" s="16"/>
      <c r="C120" s="3">
        <f>192*10^-3</f>
        <v>0.192</v>
      </c>
      <c r="D120" s="3">
        <f>5.4*10^-3</f>
        <v>5.4000000000000003E-3</v>
      </c>
      <c r="E120" s="3">
        <f>5.3*10^-3</f>
        <v>5.3E-3</v>
      </c>
      <c r="F120" s="4">
        <f t="shared" ref="F120:F123" si="139">(D120/5)/(6.8*10^3)</f>
        <v>1.5882352941176472E-7</v>
      </c>
      <c r="G120" s="5">
        <f t="shared" ref="G120:G123" si="140">(E120/5)/(6.8*10^3)</f>
        <v>1.5588235294117648E-7</v>
      </c>
      <c r="H120" s="3">
        <f>184*10^-3</f>
        <v>0.184</v>
      </c>
      <c r="I120" s="3">
        <f>4.65*10^-3</f>
        <v>4.6500000000000005E-3</v>
      </c>
      <c r="J120" s="3">
        <f>5.2*10^-3</f>
        <v>5.2000000000000006E-3</v>
      </c>
      <c r="K120" s="4">
        <f t="shared" ref="K120:K123" si="141">(I120/5)/(6.8*10^3)</f>
        <v>1.3676470588235296E-7</v>
      </c>
      <c r="L120" s="5">
        <f t="shared" ref="L120:L123" si="142">(J120/5)/(6.8*10^3)</f>
        <v>1.5294117647058826E-7</v>
      </c>
      <c r="M120" s="3">
        <f t="shared" ref="M120:M123" si="143">464*10^-3</f>
        <v>0.46400000000000002</v>
      </c>
      <c r="N120" s="3">
        <f>6.3*10^-3</f>
        <v>6.3E-3</v>
      </c>
      <c r="O120" s="3">
        <f>6.6*10^-3</f>
        <v>6.6E-3</v>
      </c>
      <c r="P120" s="4">
        <f t="shared" ref="P120:P123" si="144">(N120/5)/(6.8*10^3)</f>
        <v>1.8529411764705884E-7</v>
      </c>
      <c r="Q120" s="5">
        <f t="shared" ref="Q120:Q123" si="145">(O120/5)/(6.8*10^3)</f>
        <v>1.9411764705882353E-7</v>
      </c>
    </row>
    <row r="121" spans="1:17" ht="15.75" x14ac:dyDescent="0.25">
      <c r="B121" s="16"/>
      <c r="C121" s="3">
        <f>192*10^-3</f>
        <v>0.192</v>
      </c>
      <c r="D121" s="3">
        <f>7.75*10^-3</f>
        <v>7.7499999999999999E-3</v>
      </c>
      <c r="E121" s="3">
        <f>5.6*10^-3</f>
        <v>5.5999999999999999E-3</v>
      </c>
      <c r="F121" s="4">
        <f t="shared" si="139"/>
        <v>2.2794117647058823E-7</v>
      </c>
      <c r="G121" s="5">
        <f t="shared" si="140"/>
        <v>1.6470588235294117E-7</v>
      </c>
      <c r="H121" s="3">
        <f>184*10^-3</f>
        <v>0.184</v>
      </c>
      <c r="I121" s="3">
        <f>5.25*10^-3</f>
        <v>5.2500000000000003E-3</v>
      </c>
      <c r="J121" s="3">
        <f>5.3*10^-3</f>
        <v>5.3E-3</v>
      </c>
      <c r="K121" s="4">
        <f t="shared" si="141"/>
        <v>1.5441176470588238E-7</v>
      </c>
      <c r="L121" s="5">
        <f t="shared" si="142"/>
        <v>1.5588235294117648E-7</v>
      </c>
      <c r="M121" s="3">
        <f t="shared" si="143"/>
        <v>0.46400000000000002</v>
      </c>
      <c r="N121" s="3">
        <f>6.3*10^-3</f>
        <v>6.3E-3</v>
      </c>
      <c r="O121" s="3">
        <f>6.6*10^-3</f>
        <v>6.6E-3</v>
      </c>
      <c r="P121" s="4">
        <f t="shared" si="144"/>
        <v>1.8529411764705884E-7</v>
      </c>
      <c r="Q121" s="5">
        <f t="shared" si="145"/>
        <v>1.9411764705882353E-7</v>
      </c>
    </row>
    <row r="122" spans="1:17" ht="15.75" x14ac:dyDescent="0.25">
      <c r="B122" s="16"/>
      <c r="C122" s="3">
        <f>200*10^-3</f>
        <v>0.2</v>
      </c>
      <c r="D122" s="3">
        <f>5.4*10^-3</f>
        <v>5.4000000000000003E-3</v>
      </c>
      <c r="E122" s="3">
        <f>5.6*10^-3</f>
        <v>5.5999999999999999E-3</v>
      </c>
      <c r="F122" s="4">
        <f t="shared" si="139"/>
        <v>1.5882352941176472E-7</v>
      </c>
      <c r="G122" s="5">
        <f t="shared" si="140"/>
        <v>1.6470588235294117E-7</v>
      </c>
      <c r="H122" s="3">
        <f>176*10^-3</f>
        <v>0.17599999999999999</v>
      </c>
      <c r="I122" s="3">
        <f>5.4*10^-3</f>
        <v>5.4000000000000003E-3</v>
      </c>
      <c r="J122" s="3">
        <f>5.5*10^-3</f>
        <v>5.4999999999999997E-3</v>
      </c>
      <c r="K122" s="4">
        <f t="shared" si="141"/>
        <v>1.5882352941176472E-7</v>
      </c>
      <c r="L122" s="5">
        <f t="shared" si="142"/>
        <v>1.6176470588235291E-7</v>
      </c>
      <c r="M122" s="3">
        <f t="shared" si="143"/>
        <v>0.46400000000000002</v>
      </c>
      <c r="N122" s="3">
        <f>6.4*10^-3</f>
        <v>6.4000000000000003E-3</v>
      </c>
      <c r="O122" s="3">
        <f>6.7*10^-3</f>
        <v>6.7000000000000002E-3</v>
      </c>
      <c r="P122" s="4">
        <f t="shared" si="144"/>
        <v>1.8823529411764708E-7</v>
      </c>
      <c r="Q122" s="5">
        <f t="shared" si="145"/>
        <v>1.9705882352941178E-7</v>
      </c>
    </row>
    <row r="123" spans="1:17" ht="15.75" x14ac:dyDescent="0.25">
      <c r="B123" s="7"/>
      <c r="C123" s="3">
        <f>200*10^-3</f>
        <v>0.2</v>
      </c>
      <c r="D123" s="3">
        <f>5.35*10^-3</f>
        <v>5.3499999999999997E-3</v>
      </c>
      <c r="E123" s="3">
        <f>5.5*10^-3</f>
        <v>5.4999999999999997E-3</v>
      </c>
      <c r="F123" s="4">
        <f t="shared" si="139"/>
        <v>1.573529411764706E-7</v>
      </c>
      <c r="G123" s="5">
        <f t="shared" si="140"/>
        <v>1.6176470588235291E-7</v>
      </c>
      <c r="H123" s="3">
        <f>176*10^-3</f>
        <v>0.17599999999999999</v>
      </c>
      <c r="I123" s="3">
        <f>5.35*10^-3</f>
        <v>5.3499999999999997E-3</v>
      </c>
      <c r="J123" s="3">
        <f>5.4*10^-3</f>
        <v>5.4000000000000003E-3</v>
      </c>
      <c r="K123" s="4">
        <f t="shared" si="141"/>
        <v>1.573529411764706E-7</v>
      </c>
      <c r="L123" s="5">
        <f t="shared" si="142"/>
        <v>1.5882352941176472E-7</v>
      </c>
      <c r="M123" s="3">
        <f t="shared" si="143"/>
        <v>0.46400000000000002</v>
      </c>
      <c r="N123" s="3">
        <f>6.35*10^-3</f>
        <v>6.3499999999999997E-3</v>
      </c>
      <c r="O123" s="3">
        <f>6.4*10^-3</f>
        <v>6.4000000000000003E-3</v>
      </c>
      <c r="P123" s="4">
        <f t="shared" si="144"/>
        <v>1.8676470588235293E-7</v>
      </c>
      <c r="Q123" s="5">
        <f t="shared" si="145"/>
        <v>1.8823529411764708E-7</v>
      </c>
    </row>
    <row r="124" spans="1:17" x14ac:dyDescent="0.25">
      <c r="B124" s="8" t="s">
        <v>7</v>
      </c>
      <c r="C124" s="6">
        <f>AVERAGE(C119:C123)</f>
        <v>0.1968</v>
      </c>
      <c r="D124" s="6">
        <f t="shared" ref="D124:G124" si="146">AVERAGE(D119:D123)</f>
        <v>5.8499999999999993E-3</v>
      </c>
      <c r="E124" s="6">
        <f t="shared" si="146"/>
        <v>5.5199999999999997E-3</v>
      </c>
      <c r="F124" s="6">
        <f t="shared" si="146"/>
        <v>1.7205882352941178E-7</v>
      </c>
      <c r="G124" s="6">
        <f t="shared" si="146"/>
        <v>1.6235294117647058E-7</v>
      </c>
      <c r="H124" s="6">
        <f>AVERAGE(H119:H123)</f>
        <v>0.18079999999999999</v>
      </c>
      <c r="I124" s="6">
        <f t="shared" ref="I124:L124" si="147">AVERAGE(I119:I123)</f>
        <v>5.0899999999999999E-3</v>
      </c>
      <c r="J124" s="6">
        <f t="shared" si="147"/>
        <v>5.4199999999999995E-3</v>
      </c>
      <c r="K124" s="6">
        <f t="shared" si="147"/>
        <v>1.4970588235294118E-7</v>
      </c>
      <c r="L124" s="6">
        <f t="shared" si="147"/>
        <v>1.5941176470588236E-7</v>
      </c>
      <c r="M124" s="6">
        <f>AVERAGE(M119:M123)</f>
        <v>0.46400000000000008</v>
      </c>
      <c r="N124" s="6">
        <f t="shared" ref="N124:Q124" si="148">AVERAGE(N119:N123)</f>
        <v>6.3299999999999997E-3</v>
      </c>
      <c r="O124" s="6">
        <f t="shared" si="148"/>
        <v>6.5600000000000007E-3</v>
      </c>
      <c r="P124" s="6">
        <f t="shared" si="148"/>
        <v>1.8617647058823531E-7</v>
      </c>
      <c r="Q124" s="6">
        <f t="shared" si="148"/>
        <v>1.9294117647058825E-7</v>
      </c>
    </row>
    <row r="125" spans="1:17" ht="15.75" x14ac:dyDescent="0.25">
      <c r="A125" t="s">
        <v>25</v>
      </c>
      <c r="B125" s="17">
        <v>1</v>
      </c>
      <c r="C125" s="3"/>
      <c r="D125" s="3"/>
      <c r="E125" s="3"/>
      <c r="F125" s="4">
        <f>(D125/5)/(6.8*10^3)</f>
        <v>0</v>
      </c>
      <c r="G125" s="5">
        <f>(E125/5)/(6.8*10^3)</f>
        <v>0</v>
      </c>
      <c r="H125" s="3"/>
      <c r="I125" s="3"/>
      <c r="J125" s="3"/>
      <c r="K125" s="4">
        <f>(I125/5)/(6.8*10^3)</f>
        <v>0</v>
      </c>
      <c r="L125" s="5">
        <f>(J125/5)/(6.8*10^3)</f>
        <v>0</v>
      </c>
      <c r="M125" s="3"/>
      <c r="N125" s="3"/>
      <c r="O125" s="3"/>
      <c r="P125" s="4">
        <f>(N125/5)/(6.8*10^3)</f>
        <v>0</v>
      </c>
      <c r="Q125" s="5">
        <f>(O125/5)/(6.8*10^3)</f>
        <v>0</v>
      </c>
    </row>
    <row r="126" spans="1:17" ht="15.75" x14ac:dyDescent="0.25">
      <c r="B126" s="16"/>
      <c r="C126" s="3"/>
      <c r="D126" s="3"/>
      <c r="E126" s="3"/>
      <c r="F126" s="4">
        <f t="shared" ref="F126:F129" si="149">(D126/5)/(6.8*10^3)</f>
        <v>0</v>
      </c>
      <c r="G126" s="5">
        <f t="shared" ref="G126:G129" si="150">(E126/5)/(6.8*10^3)</f>
        <v>0</v>
      </c>
      <c r="H126" s="3"/>
      <c r="I126" s="3"/>
      <c r="J126" s="3"/>
      <c r="K126" s="4">
        <f t="shared" ref="K126:K129" si="151">(I126/5)/(6.8*10^3)</f>
        <v>0</v>
      </c>
      <c r="L126" s="5">
        <f t="shared" ref="L126:L129" si="152">(J126/5)/(6.8*10^3)</f>
        <v>0</v>
      </c>
      <c r="M126" s="3"/>
      <c r="N126" s="3"/>
      <c r="O126" s="3"/>
      <c r="P126" s="4">
        <f t="shared" ref="P126:P129" si="153">(N126/5)/(6.8*10^3)</f>
        <v>0</v>
      </c>
      <c r="Q126" s="5">
        <f t="shared" ref="Q126:Q129" si="154">(O126/5)/(6.8*10^3)</f>
        <v>0</v>
      </c>
    </row>
    <row r="127" spans="1:17" ht="15.75" x14ac:dyDescent="0.25">
      <c r="B127" s="16"/>
      <c r="C127" s="3"/>
      <c r="D127" s="3"/>
      <c r="E127" s="3"/>
      <c r="F127" s="4">
        <f t="shared" si="149"/>
        <v>0</v>
      </c>
      <c r="G127" s="5">
        <f t="shared" si="150"/>
        <v>0</v>
      </c>
      <c r="H127" s="3"/>
      <c r="I127" s="3"/>
      <c r="J127" s="3"/>
      <c r="K127" s="4">
        <f t="shared" si="151"/>
        <v>0</v>
      </c>
      <c r="L127" s="5">
        <f t="shared" si="152"/>
        <v>0</v>
      </c>
      <c r="M127" s="3"/>
      <c r="N127" s="3"/>
      <c r="O127" s="3"/>
      <c r="P127" s="4">
        <f t="shared" si="153"/>
        <v>0</v>
      </c>
      <c r="Q127" s="5">
        <f t="shared" si="154"/>
        <v>0</v>
      </c>
    </row>
    <row r="128" spans="1:17" ht="15.75" x14ac:dyDescent="0.25">
      <c r="B128" s="16"/>
      <c r="C128" s="3"/>
      <c r="D128" s="3"/>
      <c r="E128" s="3"/>
      <c r="F128" s="4">
        <f t="shared" si="149"/>
        <v>0</v>
      </c>
      <c r="G128" s="5">
        <f t="shared" si="150"/>
        <v>0</v>
      </c>
      <c r="H128" s="3"/>
      <c r="I128" s="3"/>
      <c r="J128" s="3"/>
      <c r="K128" s="4">
        <f t="shared" si="151"/>
        <v>0</v>
      </c>
      <c r="L128" s="5">
        <f t="shared" si="152"/>
        <v>0</v>
      </c>
      <c r="M128" s="3"/>
      <c r="N128" s="3"/>
      <c r="O128" s="3"/>
      <c r="P128" s="4">
        <f t="shared" si="153"/>
        <v>0</v>
      </c>
      <c r="Q128" s="5">
        <f t="shared" si="154"/>
        <v>0</v>
      </c>
    </row>
    <row r="129" spans="1:17" ht="15.75" x14ac:dyDescent="0.25">
      <c r="B129" s="7"/>
      <c r="C129" s="3"/>
      <c r="D129" s="3"/>
      <c r="E129" s="3"/>
      <c r="F129" s="4">
        <f t="shared" si="149"/>
        <v>0</v>
      </c>
      <c r="G129" s="5">
        <f t="shared" si="150"/>
        <v>0</v>
      </c>
      <c r="H129" s="3"/>
      <c r="I129" s="3"/>
      <c r="J129" s="3"/>
      <c r="K129" s="4">
        <f t="shared" si="151"/>
        <v>0</v>
      </c>
      <c r="L129" s="5">
        <f t="shared" si="152"/>
        <v>0</v>
      </c>
      <c r="M129" s="3"/>
      <c r="N129" s="3"/>
      <c r="O129" s="3"/>
      <c r="P129" s="4">
        <f t="shared" si="153"/>
        <v>0</v>
      </c>
      <c r="Q129" s="5">
        <f t="shared" si="154"/>
        <v>0</v>
      </c>
    </row>
    <row r="130" spans="1:17" x14ac:dyDescent="0.25">
      <c r="B130" s="8" t="s">
        <v>7</v>
      </c>
      <c r="C130" s="9" t="e">
        <f>AVERAGE(C125:C129)</f>
        <v>#DIV/0!</v>
      </c>
      <c r="D130" s="6" t="e">
        <f t="shared" ref="D130:Q130" si="155">AVERAGE(D125:D129)</f>
        <v>#DIV/0!</v>
      </c>
      <c r="E130" s="6" t="e">
        <f t="shared" si="155"/>
        <v>#DIV/0!</v>
      </c>
      <c r="F130" s="6">
        <f t="shared" si="155"/>
        <v>0</v>
      </c>
      <c r="G130" s="6">
        <f t="shared" si="155"/>
        <v>0</v>
      </c>
      <c r="H130" s="6" t="e">
        <f t="shared" si="155"/>
        <v>#DIV/0!</v>
      </c>
      <c r="I130" s="6" t="e">
        <f t="shared" si="155"/>
        <v>#DIV/0!</v>
      </c>
      <c r="J130" s="9" t="e">
        <f t="shared" si="155"/>
        <v>#DIV/0!</v>
      </c>
      <c r="K130" s="6">
        <f t="shared" si="155"/>
        <v>0</v>
      </c>
      <c r="L130" s="6">
        <f t="shared" si="155"/>
        <v>0</v>
      </c>
      <c r="M130" s="9" t="e">
        <f t="shared" si="155"/>
        <v>#DIV/0!</v>
      </c>
      <c r="N130" s="6" t="e">
        <f t="shared" si="155"/>
        <v>#DIV/0!</v>
      </c>
      <c r="O130" s="9" t="e">
        <f t="shared" si="155"/>
        <v>#DIV/0!</v>
      </c>
      <c r="P130" s="6">
        <f t="shared" si="155"/>
        <v>0</v>
      </c>
      <c r="Q130" s="6">
        <f t="shared" si="155"/>
        <v>0</v>
      </c>
    </row>
    <row r="131" spans="1:17" ht="15.75" x14ac:dyDescent="0.25">
      <c r="B131" s="16">
        <v>2</v>
      </c>
      <c r="C131" s="3"/>
      <c r="D131" s="3"/>
      <c r="E131" s="3"/>
      <c r="F131" s="4">
        <f>(D131/5)/(6.8*10^3)</f>
        <v>0</v>
      </c>
      <c r="G131" s="5">
        <f>(E131/5)/(6.8*10^3)</f>
        <v>0</v>
      </c>
      <c r="H131" s="3"/>
      <c r="I131" s="3"/>
      <c r="J131" s="3"/>
      <c r="K131" s="4">
        <f>(I131/5)/(6.8*10^3)</f>
        <v>0</v>
      </c>
      <c r="L131" s="5">
        <f>(J131/5)/(6.8*10^3)</f>
        <v>0</v>
      </c>
      <c r="M131" s="3"/>
      <c r="N131" s="3"/>
      <c r="O131" s="3"/>
      <c r="P131" s="4">
        <f>(N131/5)/(6.8*10^3)</f>
        <v>0</v>
      </c>
      <c r="Q131" s="11">
        <f>(O131/5)/(6.8*10^3)</f>
        <v>0</v>
      </c>
    </row>
    <row r="132" spans="1:17" ht="15.75" x14ac:dyDescent="0.25">
      <c r="B132" s="16"/>
      <c r="C132" s="3"/>
      <c r="D132" s="3"/>
      <c r="E132" s="3"/>
      <c r="F132" s="4">
        <f t="shared" ref="F132:F135" si="156">(D132/5)/(6.8*10^3)</f>
        <v>0</v>
      </c>
      <c r="G132" s="5">
        <f t="shared" ref="G132:G135" si="157">(E132/5)/(6.8*10^3)</f>
        <v>0</v>
      </c>
      <c r="H132" s="3"/>
      <c r="I132" s="3"/>
      <c r="J132" s="3"/>
      <c r="K132" s="4">
        <f t="shared" ref="K132:K135" si="158">(I132/5)/(6.8*10^3)</f>
        <v>0</v>
      </c>
      <c r="L132" s="5">
        <f t="shared" ref="L132:L135" si="159">(J132/5)/(6.8*10^3)</f>
        <v>0</v>
      </c>
      <c r="M132" s="3"/>
      <c r="N132" s="3"/>
      <c r="O132" s="3"/>
      <c r="P132" s="4">
        <f t="shared" ref="P132:P135" si="160">(N132/5)/(6.8*10^3)</f>
        <v>0</v>
      </c>
      <c r="Q132" s="5">
        <f t="shared" ref="Q132:Q135" si="161">(O132/5)/(6.8*10^3)</f>
        <v>0</v>
      </c>
    </row>
    <row r="133" spans="1:17" ht="15.75" x14ac:dyDescent="0.25">
      <c r="B133" s="16"/>
      <c r="C133" s="3"/>
      <c r="D133" s="3"/>
      <c r="E133" s="3"/>
      <c r="F133" s="4">
        <f t="shared" si="156"/>
        <v>0</v>
      </c>
      <c r="G133" s="5">
        <f t="shared" si="157"/>
        <v>0</v>
      </c>
      <c r="H133" s="3"/>
      <c r="I133" s="3"/>
      <c r="J133" s="3"/>
      <c r="K133" s="4">
        <f t="shared" si="158"/>
        <v>0</v>
      </c>
      <c r="L133" s="5">
        <f t="shared" si="159"/>
        <v>0</v>
      </c>
      <c r="M133" s="3"/>
      <c r="N133" s="3"/>
      <c r="O133" s="3"/>
      <c r="P133" s="4">
        <f t="shared" si="160"/>
        <v>0</v>
      </c>
      <c r="Q133" s="5">
        <f t="shared" si="161"/>
        <v>0</v>
      </c>
    </row>
    <row r="134" spans="1:17" ht="15.75" x14ac:dyDescent="0.25">
      <c r="B134" s="16"/>
      <c r="C134" s="3"/>
      <c r="D134" s="3"/>
      <c r="E134" s="3"/>
      <c r="F134" s="4">
        <f t="shared" si="156"/>
        <v>0</v>
      </c>
      <c r="G134" s="5">
        <f t="shared" si="157"/>
        <v>0</v>
      </c>
      <c r="H134" s="3"/>
      <c r="I134" s="3"/>
      <c r="J134" s="3"/>
      <c r="K134" s="4">
        <f t="shared" si="158"/>
        <v>0</v>
      </c>
      <c r="L134" s="5">
        <f t="shared" si="159"/>
        <v>0</v>
      </c>
      <c r="M134" s="3"/>
      <c r="N134" s="3"/>
      <c r="O134" s="3"/>
      <c r="P134" s="4">
        <f t="shared" si="160"/>
        <v>0</v>
      </c>
      <c r="Q134" s="5">
        <f t="shared" si="161"/>
        <v>0</v>
      </c>
    </row>
    <row r="135" spans="1:17" ht="15.75" x14ac:dyDescent="0.25">
      <c r="B135" s="16"/>
      <c r="C135" s="3"/>
      <c r="D135" s="3"/>
      <c r="E135" s="3"/>
      <c r="F135" s="4">
        <f t="shared" si="156"/>
        <v>0</v>
      </c>
      <c r="G135" s="5">
        <f t="shared" si="157"/>
        <v>0</v>
      </c>
      <c r="H135" s="3"/>
      <c r="I135" s="3"/>
      <c r="J135" s="3"/>
      <c r="K135" s="4">
        <f t="shared" si="158"/>
        <v>0</v>
      </c>
      <c r="L135" s="5">
        <f t="shared" si="159"/>
        <v>0</v>
      </c>
      <c r="M135" s="3"/>
      <c r="N135" s="3"/>
      <c r="O135" s="3"/>
      <c r="P135" s="4">
        <f t="shared" si="160"/>
        <v>0</v>
      </c>
      <c r="Q135" s="5">
        <f t="shared" si="161"/>
        <v>0</v>
      </c>
    </row>
    <row r="136" spans="1:17" x14ac:dyDescent="0.25">
      <c r="B136" s="6" t="s">
        <v>7</v>
      </c>
      <c r="C136" s="6" t="e">
        <f>AVERAGE(C131:C135)</f>
        <v>#DIV/0!</v>
      </c>
      <c r="D136" s="6" t="e">
        <f t="shared" ref="D136:Q136" si="162">AVERAGE(D131:D135)</f>
        <v>#DIV/0!</v>
      </c>
      <c r="E136" s="6" t="e">
        <f t="shared" si="162"/>
        <v>#DIV/0!</v>
      </c>
      <c r="F136" s="6">
        <f t="shared" si="162"/>
        <v>0</v>
      </c>
      <c r="G136" s="6">
        <f t="shared" si="162"/>
        <v>0</v>
      </c>
      <c r="H136" s="6" t="e">
        <f t="shared" si="162"/>
        <v>#DIV/0!</v>
      </c>
      <c r="I136" s="6" t="e">
        <f t="shared" si="162"/>
        <v>#DIV/0!</v>
      </c>
      <c r="J136" s="6" t="e">
        <f t="shared" si="162"/>
        <v>#DIV/0!</v>
      </c>
      <c r="K136" s="6">
        <f t="shared" si="162"/>
        <v>0</v>
      </c>
      <c r="L136" s="6">
        <f t="shared" si="162"/>
        <v>0</v>
      </c>
      <c r="M136" s="6" t="e">
        <f t="shared" si="162"/>
        <v>#DIV/0!</v>
      </c>
      <c r="N136" s="6" t="e">
        <f t="shared" si="162"/>
        <v>#DIV/0!</v>
      </c>
      <c r="O136" s="6" t="e">
        <f t="shared" si="162"/>
        <v>#DIV/0!</v>
      </c>
      <c r="P136" s="6">
        <f t="shared" si="162"/>
        <v>0</v>
      </c>
      <c r="Q136" s="6">
        <f t="shared" si="162"/>
        <v>0</v>
      </c>
    </row>
    <row r="137" spans="1:17" ht="15.75" x14ac:dyDescent="0.25">
      <c r="A137" t="s">
        <v>26</v>
      </c>
      <c r="B137" s="17">
        <v>1</v>
      </c>
      <c r="C137" s="3"/>
      <c r="D137" s="3"/>
      <c r="E137" s="3"/>
      <c r="F137" s="4">
        <f>(D137/5)/(6.8*10^3)</f>
        <v>0</v>
      </c>
      <c r="G137" s="5">
        <f>(E137/5)/(6.8*10^3)</f>
        <v>0</v>
      </c>
      <c r="H137" s="3"/>
      <c r="I137" s="3"/>
      <c r="J137" s="3"/>
      <c r="K137" s="4">
        <f>(I137/5)/(6.8*10^3)</f>
        <v>0</v>
      </c>
      <c r="L137" s="5">
        <f>(J137/5)/(6.8*10^3)</f>
        <v>0</v>
      </c>
      <c r="M137" s="3"/>
      <c r="N137" s="3"/>
      <c r="O137" s="3"/>
      <c r="P137" s="4">
        <f>(N137/5)/(6.8*10^3)</f>
        <v>0</v>
      </c>
      <c r="Q137" s="11">
        <f>(O137/5)/(6.8*10^3)</f>
        <v>0</v>
      </c>
    </row>
    <row r="138" spans="1:17" ht="15.75" x14ac:dyDescent="0.25">
      <c r="B138" s="16"/>
      <c r="C138" s="3"/>
      <c r="D138" s="3"/>
      <c r="E138" s="3"/>
      <c r="F138" s="4">
        <f t="shared" ref="F138:F141" si="163">(D138/5)/(6.8*10^3)</f>
        <v>0</v>
      </c>
      <c r="G138" s="5">
        <f t="shared" ref="G138:G141" si="164">(E138/5)/(6.8*10^3)</f>
        <v>0</v>
      </c>
      <c r="H138" s="3"/>
      <c r="I138" s="3"/>
      <c r="J138" s="3"/>
      <c r="K138" s="4">
        <f t="shared" ref="K138:K141" si="165">(I138/5)/(6.8*10^3)</f>
        <v>0</v>
      </c>
      <c r="L138" s="5">
        <f t="shared" ref="L138:L141" si="166">(J138/5)/(6.8*10^3)</f>
        <v>0</v>
      </c>
      <c r="M138" s="3"/>
      <c r="N138" s="3"/>
      <c r="O138" s="3"/>
      <c r="P138" s="4">
        <f t="shared" ref="P138:P141" si="167">(N138/5)/(6.8*10^3)</f>
        <v>0</v>
      </c>
      <c r="Q138" s="5">
        <f t="shared" ref="Q138:Q141" si="168">(O138/5)/(6.8*10^3)</f>
        <v>0</v>
      </c>
    </row>
    <row r="139" spans="1:17" ht="15.75" x14ac:dyDescent="0.25">
      <c r="B139" s="16"/>
      <c r="C139" s="3"/>
      <c r="D139" s="3"/>
      <c r="E139" s="3"/>
      <c r="F139" s="4">
        <f t="shared" si="163"/>
        <v>0</v>
      </c>
      <c r="G139" s="5">
        <f t="shared" si="164"/>
        <v>0</v>
      </c>
      <c r="H139" s="3"/>
      <c r="I139" s="3"/>
      <c r="J139" s="3"/>
      <c r="K139" s="4">
        <f t="shared" si="165"/>
        <v>0</v>
      </c>
      <c r="L139" s="5">
        <f t="shared" si="166"/>
        <v>0</v>
      </c>
      <c r="M139" s="3"/>
      <c r="N139" s="3"/>
      <c r="O139" s="3"/>
      <c r="P139" s="4">
        <f t="shared" si="167"/>
        <v>0</v>
      </c>
      <c r="Q139" s="5">
        <f t="shared" si="168"/>
        <v>0</v>
      </c>
    </row>
    <row r="140" spans="1:17" ht="15.75" x14ac:dyDescent="0.25">
      <c r="B140" s="16"/>
      <c r="C140" s="3"/>
      <c r="D140" s="3"/>
      <c r="E140" s="3"/>
      <c r="F140" s="4">
        <f t="shared" si="163"/>
        <v>0</v>
      </c>
      <c r="G140" s="5">
        <f t="shared" si="164"/>
        <v>0</v>
      </c>
      <c r="H140" s="3"/>
      <c r="I140" s="3"/>
      <c r="J140" s="3"/>
      <c r="K140" s="4">
        <f t="shared" si="165"/>
        <v>0</v>
      </c>
      <c r="L140" s="5">
        <f t="shared" si="166"/>
        <v>0</v>
      </c>
      <c r="M140" s="3"/>
      <c r="N140" s="3"/>
      <c r="O140" s="3"/>
      <c r="P140" s="4">
        <f t="shared" si="167"/>
        <v>0</v>
      </c>
      <c r="Q140" s="5">
        <f t="shared" si="168"/>
        <v>0</v>
      </c>
    </row>
    <row r="141" spans="1:17" ht="15.75" x14ac:dyDescent="0.25">
      <c r="B141" s="16"/>
      <c r="C141" s="3"/>
      <c r="D141" s="3"/>
      <c r="E141" s="3"/>
      <c r="F141" s="4">
        <f t="shared" si="163"/>
        <v>0</v>
      </c>
      <c r="G141" s="5">
        <f t="shared" si="164"/>
        <v>0</v>
      </c>
      <c r="H141" s="3"/>
      <c r="I141" s="3"/>
      <c r="J141" s="3"/>
      <c r="K141" s="4">
        <f t="shared" si="165"/>
        <v>0</v>
      </c>
      <c r="L141" s="5">
        <f t="shared" si="166"/>
        <v>0</v>
      </c>
      <c r="M141" s="3"/>
      <c r="N141" s="3"/>
      <c r="O141" s="3"/>
      <c r="P141" s="4">
        <f t="shared" si="167"/>
        <v>0</v>
      </c>
      <c r="Q141" s="5">
        <f t="shared" si="168"/>
        <v>0</v>
      </c>
    </row>
    <row r="142" spans="1:17" x14ac:dyDescent="0.25">
      <c r="B142" s="6" t="s">
        <v>7</v>
      </c>
      <c r="C142" s="6" t="e">
        <f>AVERAGE(C137:C141)</f>
        <v>#DIV/0!</v>
      </c>
      <c r="D142" s="6" t="e">
        <f t="shared" ref="D142:Q142" si="169">AVERAGE(D137:D141)</f>
        <v>#DIV/0!</v>
      </c>
      <c r="E142" s="6" t="e">
        <f t="shared" si="169"/>
        <v>#DIV/0!</v>
      </c>
      <c r="F142" s="6">
        <f t="shared" si="169"/>
        <v>0</v>
      </c>
      <c r="G142" s="6">
        <f t="shared" si="169"/>
        <v>0</v>
      </c>
      <c r="H142" s="6" t="e">
        <f t="shared" si="169"/>
        <v>#DIV/0!</v>
      </c>
      <c r="I142" s="6" t="e">
        <f t="shared" si="169"/>
        <v>#DIV/0!</v>
      </c>
      <c r="J142" s="6" t="e">
        <f t="shared" si="169"/>
        <v>#DIV/0!</v>
      </c>
      <c r="K142" s="6">
        <f t="shared" si="169"/>
        <v>0</v>
      </c>
      <c r="L142" s="6">
        <f t="shared" si="169"/>
        <v>0</v>
      </c>
      <c r="M142" s="6" t="e">
        <f t="shared" si="169"/>
        <v>#DIV/0!</v>
      </c>
      <c r="N142" s="6" t="e">
        <f t="shared" si="169"/>
        <v>#DIV/0!</v>
      </c>
      <c r="O142" s="6" t="e">
        <f t="shared" si="169"/>
        <v>#DIV/0!</v>
      </c>
      <c r="P142" s="6">
        <f t="shared" si="169"/>
        <v>0</v>
      </c>
      <c r="Q142" s="6">
        <f t="shared" si="169"/>
        <v>0</v>
      </c>
    </row>
    <row r="143" spans="1:17" ht="15.75" x14ac:dyDescent="0.25">
      <c r="B143" s="16">
        <v>2</v>
      </c>
      <c r="C143" s="3">
        <v>4.1609999999999996</v>
      </c>
      <c r="D143" s="3">
        <f>430*10^-9</f>
        <v>4.3000000000000001E-7</v>
      </c>
      <c r="E143" s="3">
        <f>1.62*10^-6</f>
        <v>1.6199999999999999E-6</v>
      </c>
      <c r="F143" s="4">
        <f>(D143/5)/(6.8*10^3)</f>
        <v>1.2647058823529412E-11</v>
      </c>
      <c r="G143" s="5">
        <f>(E143/5)/(6.8*10^3)</f>
        <v>4.7647058823529411E-11</v>
      </c>
      <c r="H143" s="3">
        <v>4.1609999999999996</v>
      </c>
      <c r="I143" s="3">
        <f>440*10^-9</f>
        <v>4.4000000000000002E-7</v>
      </c>
      <c r="J143" s="3">
        <f>1.6*10^-6</f>
        <v>1.5999999999999999E-6</v>
      </c>
      <c r="K143" s="4">
        <f>(I143/5)/(6.8*10^3)</f>
        <v>1.2941176470588236E-11</v>
      </c>
      <c r="L143" s="5">
        <f>(J143/5)/(6.8*10^3)</f>
        <v>4.7058823529411763E-11</v>
      </c>
      <c r="M143" s="3">
        <v>3.7210000000000001</v>
      </c>
      <c r="N143" s="3">
        <f>480*10^-9</f>
        <v>4.8000000000000006E-7</v>
      </c>
      <c r="O143" s="3">
        <f>1.46*10^-6</f>
        <v>1.46E-6</v>
      </c>
      <c r="P143" s="4">
        <f>(N143/5)/(6.8*10^3)</f>
        <v>1.4117647058823532E-11</v>
      </c>
      <c r="Q143" s="11">
        <f>(O143/5)/(6.8*10^3)</f>
        <v>4.2941176470588236E-11</v>
      </c>
    </row>
    <row r="144" spans="1:17" ht="15.75" x14ac:dyDescent="0.25">
      <c r="B144" s="16"/>
      <c r="C144" s="3">
        <v>4.1609999999999996</v>
      </c>
      <c r="D144" s="3">
        <f t="shared" ref="D144:D147" si="170">430*10^-9</f>
        <v>4.3000000000000001E-7</v>
      </c>
      <c r="E144" s="3">
        <f>1.64*10^-6</f>
        <v>1.6399999999999998E-6</v>
      </c>
      <c r="F144" s="4">
        <f t="shared" ref="F144:F147" si="171">(D144/5)/(6.8*10^3)</f>
        <v>1.2647058823529412E-11</v>
      </c>
      <c r="G144" s="5">
        <f t="shared" ref="G144:G147" si="172">(E144/5)/(6.8*10^3)</f>
        <v>4.8235294117647052E-11</v>
      </c>
      <c r="H144" s="3">
        <v>4.1609999999999996</v>
      </c>
      <c r="I144" s="3">
        <f t="shared" ref="I144:I146" si="173">430*10^-9</f>
        <v>4.3000000000000001E-7</v>
      </c>
      <c r="J144" s="3">
        <f>1.62*10^-6</f>
        <v>1.6199999999999999E-6</v>
      </c>
      <c r="K144" s="4">
        <f t="shared" ref="K144:K147" si="174">(I144/5)/(6.8*10^3)</f>
        <v>1.2647058823529412E-11</v>
      </c>
      <c r="L144" s="5">
        <f t="shared" ref="L144:L147" si="175">(J144/5)/(6.8*10^3)</f>
        <v>4.7647058823529411E-11</v>
      </c>
      <c r="M144" s="3">
        <v>3.7210000000000001</v>
      </c>
      <c r="N144" s="3">
        <f>500*10^-9</f>
        <v>5.0000000000000008E-7</v>
      </c>
      <c r="O144" s="3">
        <f>1.5*10^-6</f>
        <v>1.5E-6</v>
      </c>
      <c r="P144" s="4">
        <f t="shared" ref="P144:P147" si="176">(N144/5)/(6.8*10^3)</f>
        <v>1.4705882352941179E-11</v>
      </c>
      <c r="Q144" s="5">
        <f t="shared" ref="Q144:Q147" si="177">(O144/5)/(6.8*10^3)</f>
        <v>4.4117647058823525E-11</v>
      </c>
    </row>
    <row r="145" spans="2:17" ht="15.75" x14ac:dyDescent="0.25">
      <c r="B145" s="16"/>
      <c r="C145" s="3">
        <v>4.1609999999999996</v>
      </c>
      <c r="D145" s="3">
        <f t="shared" si="170"/>
        <v>4.3000000000000001E-7</v>
      </c>
      <c r="E145" s="3">
        <f t="shared" ref="E145" si="178">1.62*10^-6</f>
        <v>1.6199999999999999E-6</v>
      </c>
      <c r="F145" s="4">
        <f t="shared" si="171"/>
        <v>1.2647058823529412E-11</v>
      </c>
      <c r="G145" s="5">
        <f t="shared" si="172"/>
        <v>4.7647058823529411E-11</v>
      </c>
      <c r="H145" s="3">
        <v>4.1609999999999996</v>
      </c>
      <c r="I145" s="3">
        <f t="shared" si="173"/>
        <v>4.3000000000000001E-7</v>
      </c>
      <c r="J145" s="3">
        <f>1.66*10^-6</f>
        <v>1.6599999999999998E-6</v>
      </c>
      <c r="K145" s="4">
        <f t="shared" si="174"/>
        <v>1.2647058823529412E-11</v>
      </c>
      <c r="L145" s="5">
        <f t="shared" si="175"/>
        <v>4.88235294117647E-11</v>
      </c>
      <c r="M145" s="3">
        <v>3.681</v>
      </c>
      <c r="N145" s="3">
        <f>490*10^-9</f>
        <v>4.9000000000000007E-7</v>
      </c>
      <c r="O145" s="3">
        <f t="shared" ref="O145:O147" si="179">1.46*10^-6</f>
        <v>1.46E-6</v>
      </c>
      <c r="P145" s="4">
        <f t="shared" si="176"/>
        <v>1.4411764705882355E-11</v>
      </c>
      <c r="Q145" s="5">
        <f t="shared" si="177"/>
        <v>4.2941176470588236E-11</v>
      </c>
    </row>
    <row r="146" spans="2:17" ht="15.75" x14ac:dyDescent="0.25">
      <c r="B146" s="16"/>
      <c r="C146" s="3">
        <v>4.1609999999999996</v>
      </c>
      <c r="D146" s="3">
        <f>440*10^-9</f>
        <v>4.4000000000000002E-7</v>
      </c>
      <c r="E146" s="3">
        <f>1.6*10^-6</f>
        <v>1.5999999999999999E-6</v>
      </c>
      <c r="F146" s="4">
        <f t="shared" si="171"/>
        <v>1.2941176470588236E-11</v>
      </c>
      <c r="G146" s="5">
        <f t="shared" si="172"/>
        <v>4.7058823529411763E-11</v>
      </c>
      <c r="H146" s="3">
        <v>4.1609999999999996</v>
      </c>
      <c r="I146" s="3">
        <f t="shared" si="173"/>
        <v>4.3000000000000001E-7</v>
      </c>
      <c r="J146" s="3">
        <f>1.62*10^-6</f>
        <v>1.6199999999999999E-6</v>
      </c>
      <c r="K146" s="4">
        <f t="shared" si="174"/>
        <v>1.2647058823529412E-11</v>
      </c>
      <c r="L146" s="5">
        <f t="shared" si="175"/>
        <v>4.7647058823529411E-11</v>
      </c>
      <c r="M146" s="3">
        <v>3.681</v>
      </c>
      <c r="N146" s="3">
        <f>510*10^-9</f>
        <v>5.0999999999999999E-7</v>
      </c>
      <c r="O146" s="3">
        <f t="shared" si="179"/>
        <v>1.46E-6</v>
      </c>
      <c r="P146" s="4">
        <f t="shared" si="176"/>
        <v>1.5E-11</v>
      </c>
      <c r="Q146" s="5">
        <f t="shared" si="177"/>
        <v>4.2941176470588236E-11</v>
      </c>
    </row>
    <row r="147" spans="2:17" ht="15.75" x14ac:dyDescent="0.25">
      <c r="B147" s="16"/>
      <c r="C147" s="3">
        <v>4.1609999999999996</v>
      </c>
      <c r="D147" s="3">
        <f t="shared" si="170"/>
        <v>4.3000000000000001E-7</v>
      </c>
      <c r="E147" s="3">
        <f>1.6*10^-6</f>
        <v>1.5999999999999999E-6</v>
      </c>
      <c r="F147" s="4">
        <f t="shared" si="171"/>
        <v>1.2647058823529412E-11</v>
      </c>
      <c r="G147" s="5">
        <f t="shared" si="172"/>
        <v>4.7058823529411763E-11</v>
      </c>
      <c r="H147" s="3">
        <v>4.1609999999999996</v>
      </c>
      <c r="I147" s="3">
        <f>450*10^-9</f>
        <v>4.5000000000000003E-7</v>
      </c>
      <c r="J147" s="3">
        <f>1.64*10^-6</f>
        <v>1.6399999999999998E-6</v>
      </c>
      <c r="K147" s="4">
        <f t="shared" si="174"/>
        <v>1.323529411764706E-11</v>
      </c>
      <c r="L147" s="5">
        <f t="shared" si="175"/>
        <v>4.8235294117647052E-11</v>
      </c>
      <c r="M147" s="3">
        <v>3.681</v>
      </c>
      <c r="N147" s="3">
        <f>520*10^-9</f>
        <v>5.2E-7</v>
      </c>
      <c r="O147" s="3">
        <f t="shared" si="179"/>
        <v>1.46E-6</v>
      </c>
      <c r="P147" s="4">
        <f t="shared" si="176"/>
        <v>1.5294117647058824E-11</v>
      </c>
      <c r="Q147" s="5">
        <f t="shared" si="177"/>
        <v>4.2941176470588236E-11</v>
      </c>
    </row>
    <row r="148" spans="2:17" x14ac:dyDescent="0.25">
      <c r="B148" s="6" t="s">
        <v>7</v>
      </c>
      <c r="C148" s="6">
        <f>AVERAGE(C143:C147)</f>
        <v>4.1609999999999996</v>
      </c>
      <c r="D148" s="6">
        <f t="shared" ref="D148:Q148" si="180">AVERAGE(D143:D147)</f>
        <v>4.32E-7</v>
      </c>
      <c r="E148" s="6">
        <f t="shared" si="180"/>
        <v>1.6160000000000001E-6</v>
      </c>
      <c r="F148" s="6">
        <f t="shared" si="180"/>
        <v>1.2705882352941177E-11</v>
      </c>
      <c r="G148" s="6">
        <f t="shared" si="180"/>
        <v>4.7529411764705876E-11</v>
      </c>
      <c r="H148" s="6">
        <f t="shared" si="180"/>
        <v>4.1609999999999996</v>
      </c>
      <c r="I148" s="6">
        <f t="shared" si="180"/>
        <v>4.3599999999999999E-7</v>
      </c>
      <c r="J148" s="6">
        <f t="shared" si="180"/>
        <v>1.6279999999999997E-6</v>
      </c>
      <c r="K148" s="6">
        <f t="shared" si="180"/>
        <v>1.2823529411764708E-11</v>
      </c>
      <c r="L148" s="6">
        <f t="shared" si="180"/>
        <v>4.7882352941176468E-11</v>
      </c>
      <c r="M148" s="6">
        <f t="shared" si="180"/>
        <v>3.6970000000000005</v>
      </c>
      <c r="N148" s="6">
        <f t="shared" si="180"/>
        <v>5.0000000000000008E-7</v>
      </c>
      <c r="O148" s="6">
        <f t="shared" si="180"/>
        <v>1.4679999999999998E-6</v>
      </c>
      <c r="P148" s="6">
        <f t="shared" si="180"/>
        <v>1.4705882352941179E-11</v>
      </c>
      <c r="Q148" s="6">
        <f t="shared" si="180"/>
        <v>4.3176470588235293E-11</v>
      </c>
    </row>
    <row r="149" spans="2:17" ht="15.75" x14ac:dyDescent="0.25">
      <c r="B149" s="16">
        <v>2</v>
      </c>
      <c r="C149" s="3">
        <v>3.8410000000000002</v>
      </c>
      <c r="D149" s="3">
        <f>410*10^-9</f>
        <v>4.1000000000000004E-7</v>
      </c>
      <c r="E149" s="3">
        <f>1.5*10^-6</f>
        <v>1.5E-6</v>
      </c>
      <c r="F149" s="4">
        <f>(D149/5)/(6.8*10^3)</f>
        <v>1.2058823529411766E-11</v>
      </c>
      <c r="G149" s="5">
        <f>(E149/5)/(6.8*10^3)</f>
        <v>4.4117647058823525E-11</v>
      </c>
      <c r="H149" s="3">
        <v>3.9209999999999998</v>
      </c>
      <c r="I149" s="3">
        <f>410*10^-9</f>
        <v>4.1000000000000004E-7</v>
      </c>
      <c r="J149" s="3">
        <f>1.52*10^-6</f>
        <v>1.5199999999999998E-6</v>
      </c>
      <c r="K149" s="4">
        <f>(I149/5)/(6.8*10^3)</f>
        <v>1.2058823529411766E-11</v>
      </c>
      <c r="L149" s="5">
        <f>(J149/5)/(6.8*10^3)</f>
        <v>4.4705882352941173E-11</v>
      </c>
      <c r="M149" s="3">
        <v>3.8809999999999998</v>
      </c>
      <c r="N149" s="3">
        <f>450*10^-9</f>
        <v>4.5000000000000003E-7</v>
      </c>
      <c r="O149" s="3">
        <f>1.58*10^-6</f>
        <v>1.5799999999999999E-6</v>
      </c>
      <c r="P149" s="4">
        <f>(N149/5)/(6.8*10^3)</f>
        <v>1.323529411764706E-11</v>
      </c>
      <c r="Q149" s="5">
        <f>(O149/5)/(6.8*10^3)</f>
        <v>4.6470588235294116E-11</v>
      </c>
    </row>
    <row r="150" spans="2:17" ht="15.75" x14ac:dyDescent="0.25">
      <c r="B150" s="16"/>
      <c r="C150" s="3">
        <v>3.8809999999999998</v>
      </c>
      <c r="D150" s="3">
        <f>410*10^-9</f>
        <v>4.1000000000000004E-7</v>
      </c>
      <c r="E150" s="3">
        <f>1.54*10^-6</f>
        <v>1.5399999999999999E-6</v>
      </c>
      <c r="F150" s="4">
        <f>(D150/5)/(6.8*10^3)</f>
        <v>1.2058823529411766E-11</v>
      </c>
      <c r="G150" s="5">
        <f t="shared" ref="G150:G153" si="181">(E150/5)/(6.8*10^3)</f>
        <v>4.5294117647058814E-11</v>
      </c>
      <c r="H150" s="3">
        <v>3.8809999999999998</v>
      </c>
      <c r="I150" s="3">
        <f>400*10^-9</f>
        <v>4.0000000000000003E-7</v>
      </c>
      <c r="J150" s="3">
        <f>1.52*10^-6</f>
        <v>1.5199999999999998E-6</v>
      </c>
      <c r="K150" s="4">
        <f t="shared" ref="K150:K153" si="182">(I150/5)/(6.8*10^3)</f>
        <v>1.1764705882352941E-11</v>
      </c>
      <c r="L150" s="5">
        <f t="shared" ref="L150:L153" si="183">(J150/5)/(6.8*10^3)</f>
        <v>4.4705882352941173E-11</v>
      </c>
      <c r="M150" s="3">
        <v>3.8410000000000002</v>
      </c>
      <c r="N150" s="3">
        <f>430*10^-9</f>
        <v>4.3000000000000001E-7</v>
      </c>
      <c r="O150" s="3">
        <f>1.58*10^-6</f>
        <v>1.5799999999999999E-6</v>
      </c>
      <c r="P150" s="4">
        <f t="shared" ref="P150:P153" si="184">(N150/5)/(6.8*10^3)</f>
        <v>1.2647058823529412E-11</v>
      </c>
      <c r="Q150" s="5">
        <f t="shared" ref="Q150:Q153" si="185">(O150/5)/(6.8*10^3)</f>
        <v>4.6470588235294116E-11</v>
      </c>
    </row>
    <row r="151" spans="2:17" ht="15.75" x14ac:dyDescent="0.25">
      <c r="B151" s="16"/>
      <c r="C151" s="3">
        <v>3.8809999999999998</v>
      </c>
      <c r="D151" s="3">
        <f>390*10^-9</f>
        <v>3.9000000000000002E-7</v>
      </c>
      <c r="E151" s="3">
        <f t="shared" ref="E151:E153" si="186">1.54*10^-6</f>
        <v>1.5399999999999999E-6</v>
      </c>
      <c r="F151" s="4">
        <f t="shared" ref="F151:F153" si="187">(D151/5)/(6.8*10^3)</f>
        <v>1.1470588235294119E-11</v>
      </c>
      <c r="G151" s="5">
        <f t="shared" si="181"/>
        <v>4.5294117647058814E-11</v>
      </c>
      <c r="H151" s="3">
        <v>3.8809999999999998</v>
      </c>
      <c r="I151" s="3">
        <f>410*10^-9</f>
        <v>4.1000000000000004E-7</v>
      </c>
      <c r="J151" s="3">
        <f>1.5*10^-6</f>
        <v>1.5E-6</v>
      </c>
      <c r="K151" s="4">
        <f t="shared" si="182"/>
        <v>1.2058823529411766E-11</v>
      </c>
      <c r="L151" s="5">
        <f t="shared" si="183"/>
        <v>4.4117647058823525E-11</v>
      </c>
      <c r="M151" s="3">
        <v>3.8809999999999998</v>
      </c>
      <c r="N151" s="3">
        <f t="shared" ref="N151:N152" si="188">430*10^-9</f>
        <v>4.3000000000000001E-7</v>
      </c>
      <c r="O151" s="3">
        <f>1.6*10^-6</f>
        <v>1.5999999999999999E-6</v>
      </c>
      <c r="P151" s="4">
        <f t="shared" si="184"/>
        <v>1.2647058823529412E-11</v>
      </c>
      <c r="Q151" s="5">
        <f t="shared" si="185"/>
        <v>4.7058823529411763E-11</v>
      </c>
    </row>
    <row r="152" spans="2:17" ht="15.75" x14ac:dyDescent="0.25">
      <c r="B152" s="16"/>
      <c r="C152" s="3">
        <v>3.8809999999999998</v>
      </c>
      <c r="D152" s="3">
        <f>410*10^-9</f>
        <v>4.1000000000000004E-7</v>
      </c>
      <c r="E152" s="3">
        <f t="shared" si="186"/>
        <v>1.5399999999999999E-6</v>
      </c>
      <c r="F152" s="4">
        <f t="shared" si="187"/>
        <v>1.2058823529411766E-11</v>
      </c>
      <c r="G152" s="5">
        <f t="shared" si="181"/>
        <v>4.5294117647058814E-11</v>
      </c>
      <c r="H152" s="3">
        <v>3.8809999999999998</v>
      </c>
      <c r="I152" s="3">
        <f t="shared" ref="I152:I153" si="189">410*10^-9</f>
        <v>4.1000000000000004E-7</v>
      </c>
      <c r="J152" s="3">
        <f>1.5*10^-6</f>
        <v>1.5E-6</v>
      </c>
      <c r="K152" s="4">
        <f t="shared" si="182"/>
        <v>1.2058823529411766E-11</v>
      </c>
      <c r="L152" s="5">
        <f t="shared" si="183"/>
        <v>4.4117647058823525E-11</v>
      </c>
      <c r="M152" s="3">
        <v>3.8809999999999998</v>
      </c>
      <c r="N152" s="3">
        <f t="shared" si="188"/>
        <v>4.3000000000000001E-7</v>
      </c>
      <c r="O152" s="3">
        <f>1.6*10^-6</f>
        <v>1.5999999999999999E-6</v>
      </c>
      <c r="P152" s="4">
        <f t="shared" si="184"/>
        <v>1.2647058823529412E-11</v>
      </c>
      <c r="Q152" s="5">
        <f t="shared" si="185"/>
        <v>4.7058823529411763E-11</v>
      </c>
    </row>
    <row r="153" spans="2:17" ht="15.75" x14ac:dyDescent="0.25">
      <c r="B153" s="7"/>
      <c r="C153" s="3">
        <v>3.8809999999999998</v>
      </c>
      <c r="D153" s="3">
        <f>400*10^-9</f>
        <v>4.0000000000000003E-7</v>
      </c>
      <c r="E153" s="3">
        <f t="shared" si="186"/>
        <v>1.5399999999999999E-6</v>
      </c>
      <c r="F153" s="4">
        <f t="shared" si="187"/>
        <v>1.1764705882352941E-11</v>
      </c>
      <c r="G153" s="5">
        <f t="shared" si="181"/>
        <v>4.5294117647058814E-11</v>
      </c>
      <c r="H153" s="3">
        <v>3.8809999999999998</v>
      </c>
      <c r="I153" s="3">
        <f t="shared" si="189"/>
        <v>4.1000000000000004E-7</v>
      </c>
      <c r="J153" s="3">
        <f>1.54*10^-6</f>
        <v>1.5399999999999999E-6</v>
      </c>
      <c r="K153" s="4">
        <f t="shared" si="182"/>
        <v>1.2058823529411766E-11</v>
      </c>
      <c r="L153" s="5">
        <f t="shared" si="183"/>
        <v>4.5294117647058814E-11</v>
      </c>
      <c r="M153" s="3">
        <v>3.8809999999999998</v>
      </c>
      <c r="N153" s="3">
        <f>440*10^-9</f>
        <v>4.4000000000000002E-7</v>
      </c>
      <c r="O153" s="3">
        <f>1.58*10^-6</f>
        <v>1.5799999999999999E-6</v>
      </c>
      <c r="P153" s="4">
        <f t="shared" si="184"/>
        <v>1.2941176470588236E-11</v>
      </c>
      <c r="Q153" s="5">
        <f t="shared" si="185"/>
        <v>4.6470588235294116E-11</v>
      </c>
    </row>
    <row r="154" spans="2:17" x14ac:dyDescent="0.25">
      <c r="B154" s="8" t="s">
        <v>7</v>
      </c>
      <c r="C154" s="6">
        <f>AVERAGE(C149:C153)</f>
        <v>3.8729999999999998</v>
      </c>
      <c r="D154" s="6">
        <f t="shared" ref="D154:G154" si="190">AVERAGE(D149:D153)</f>
        <v>4.0400000000000002E-7</v>
      </c>
      <c r="E154" s="6">
        <f t="shared" si="190"/>
        <v>1.5319999999999999E-6</v>
      </c>
      <c r="F154" s="6">
        <f t="shared" si="190"/>
        <v>1.1882352941176472E-11</v>
      </c>
      <c r="G154" s="6">
        <f t="shared" si="190"/>
        <v>4.5058823529411751E-11</v>
      </c>
      <c r="H154" s="6">
        <f>AVERAGE(H149:H153)</f>
        <v>3.8890000000000002</v>
      </c>
      <c r="I154" s="6">
        <f t="shared" ref="I154:L154" si="191">AVERAGE(I149:I153)</f>
        <v>4.0800000000000005E-7</v>
      </c>
      <c r="J154" s="6">
        <f t="shared" si="191"/>
        <v>1.516E-6</v>
      </c>
      <c r="K154" s="6">
        <f t="shared" si="191"/>
        <v>1.2000000000000002E-11</v>
      </c>
      <c r="L154" s="6">
        <f t="shared" si="191"/>
        <v>4.4588235294117638E-11</v>
      </c>
      <c r="M154" s="6">
        <f>AVERAGE(M149:M153)</f>
        <v>3.8729999999999998</v>
      </c>
      <c r="N154" s="6">
        <f t="shared" ref="N154:Q154" si="192">AVERAGE(N149:N153)</f>
        <v>4.3600000000000004E-7</v>
      </c>
      <c r="O154" s="6">
        <f t="shared" si="192"/>
        <v>1.5880000000000001E-6</v>
      </c>
      <c r="P154" s="6">
        <f t="shared" si="192"/>
        <v>1.2823529411764705E-11</v>
      </c>
      <c r="Q154" s="6">
        <f t="shared" si="192"/>
        <v>4.6705882352941172E-11</v>
      </c>
    </row>
    <row r="155" spans="2:17" ht="15.75" x14ac:dyDescent="0.25">
      <c r="B155" s="17">
        <v>1</v>
      </c>
      <c r="C155" s="3">
        <v>4.0010000000000003</v>
      </c>
      <c r="D155" s="3">
        <f>550*10^-9</f>
        <v>5.5000000000000003E-7</v>
      </c>
      <c r="E155" s="3">
        <f>3.36*10^-6</f>
        <v>3.3599999999999996E-6</v>
      </c>
      <c r="F155" s="4">
        <f>(D155/5)/(6.8*10^3)</f>
        <v>1.6176470588235295E-11</v>
      </c>
      <c r="G155" s="5">
        <f>(E155/5)/(6.8*10^3)</f>
        <v>9.8823529411764682E-11</v>
      </c>
      <c r="H155" s="3">
        <v>4.0010000000000003</v>
      </c>
      <c r="I155" s="3">
        <f>510*10^-9</f>
        <v>5.0999999999999999E-7</v>
      </c>
      <c r="J155" s="3">
        <f>3.2*10^-6</f>
        <v>3.1999999999999999E-6</v>
      </c>
      <c r="K155" s="4">
        <f>(I155/5)/(6.8*10^3)</f>
        <v>1.5E-11</v>
      </c>
      <c r="L155" s="5">
        <f>(J155/5)/(6.8*10^3)</f>
        <v>9.4117647058823527E-11</v>
      </c>
      <c r="M155" s="3">
        <v>4.0010000000000003</v>
      </c>
      <c r="N155" s="3">
        <f>550*10^-9</f>
        <v>5.5000000000000003E-7</v>
      </c>
      <c r="O155" s="3">
        <f>3.22*10^-6</f>
        <v>3.2200000000000001E-6</v>
      </c>
      <c r="P155" s="4">
        <f>(N155/5)/(6.8*10^3)</f>
        <v>1.6176470588235295E-11</v>
      </c>
      <c r="Q155" s="5">
        <f>(O155/5)/(6.8*10^3)</f>
        <v>9.4705882352941181E-11</v>
      </c>
    </row>
    <row r="156" spans="2:17" ht="15.75" x14ac:dyDescent="0.25">
      <c r="B156" s="16"/>
      <c r="C156" s="3">
        <v>4.0010000000000003</v>
      </c>
      <c r="D156" s="3">
        <f>540*10^-9</f>
        <v>5.4000000000000002E-7</v>
      </c>
      <c r="E156" s="3">
        <f>3.2*10^-6</f>
        <v>3.1999999999999999E-6</v>
      </c>
      <c r="F156" s="4">
        <f t="shared" ref="F156:F159" si="193">(D156/5)/(6.8*10^3)</f>
        <v>1.5882352941176471E-11</v>
      </c>
      <c r="G156" s="5">
        <f t="shared" ref="G156:G159" si="194">(E156/5)/(6.8*10^3)</f>
        <v>9.4117647058823527E-11</v>
      </c>
      <c r="H156" s="3">
        <v>4.0010000000000003</v>
      </c>
      <c r="I156" s="3">
        <f>520*10^-9</f>
        <v>5.2E-7</v>
      </c>
      <c r="J156" s="3">
        <f>3.18*10^-6</f>
        <v>3.18E-6</v>
      </c>
      <c r="K156" s="4">
        <f t="shared" ref="K156:K159" si="195">(I156/5)/(6.8*10^3)</f>
        <v>1.5294117647058824E-11</v>
      </c>
      <c r="L156" s="5">
        <f t="shared" ref="L156:L159" si="196">(J156/5)/(6.8*10^3)</f>
        <v>9.3529411764705886E-11</v>
      </c>
      <c r="M156" s="3">
        <v>4.0010000000000003</v>
      </c>
      <c r="N156" s="3">
        <f>560*10^-9</f>
        <v>5.6000000000000004E-7</v>
      </c>
      <c r="O156" s="3">
        <f>3.3*10^-6</f>
        <v>3.2999999999999997E-6</v>
      </c>
      <c r="P156" s="4">
        <f t="shared" ref="P156:P159" si="197">(N156/5)/(6.8*10^3)</f>
        <v>1.6470588235294119E-11</v>
      </c>
      <c r="Q156" s="5">
        <f t="shared" ref="Q156:Q159" si="198">(O156/5)/(6.8*10^3)</f>
        <v>9.7058823529411759E-11</v>
      </c>
    </row>
    <row r="157" spans="2:17" ht="15.75" x14ac:dyDescent="0.25">
      <c r="B157" s="16"/>
      <c r="C157" s="3">
        <v>4.0010000000000003</v>
      </c>
      <c r="D157" s="3">
        <f>570*10^-9</f>
        <v>5.7000000000000005E-7</v>
      </c>
      <c r="E157" s="3">
        <f>3.28*10^-6</f>
        <v>3.2799999999999995E-6</v>
      </c>
      <c r="F157" s="4">
        <f t="shared" si="193"/>
        <v>1.6764705882352943E-11</v>
      </c>
      <c r="G157" s="5">
        <f t="shared" si="194"/>
        <v>9.6470588235294105E-11</v>
      </c>
      <c r="H157" s="3">
        <v>4.0010000000000003</v>
      </c>
      <c r="I157" s="3">
        <f>500*10^-9</f>
        <v>5.0000000000000008E-7</v>
      </c>
      <c r="J157" s="3">
        <f>3.38*10^-6</f>
        <v>3.3799999999999998E-6</v>
      </c>
      <c r="K157" s="4">
        <f t="shared" si="195"/>
        <v>1.4705882352941179E-11</v>
      </c>
      <c r="L157" s="5">
        <f t="shared" si="196"/>
        <v>9.9411764705882349E-11</v>
      </c>
      <c r="M157" s="3">
        <v>4.0010000000000003</v>
      </c>
      <c r="N157" s="3">
        <f>570*10^-9</f>
        <v>5.7000000000000005E-7</v>
      </c>
      <c r="O157" s="3">
        <f>3.32*10^-6</f>
        <v>3.3199999999999996E-6</v>
      </c>
      <c r="P157" s="4">
        <f t="shared" si="197"/>
        <v>1.6764705882352943E-11</v>
      </c>
      <c r="Q157" s="5">
        <f t="shared" si="198"/>
        <v>9.76470588235294E-11</v>
      </c>
    </row>
    <row r="158" spans="2:17" ht="15.75" x14ac:dyDescent="0.25">
      <c r="B158" s="16"/>
      <c r="C158" s="3">
        <v>4.0010000000000003</v>
      </c>
      <c r="D158" s="3">
        <f>570*10^-9</f>
        <v>5.7000000000000005E-7</v>
      </c>
      <c r="E158" s="3">
        <f>3.14*10^-6</f>
        <v>3.14E-6</v>
      </c>
      <c r="F158" s="4">
        <f t="shared" si="193"/>
        <v>1.6764705882352943E-11</v>
      </c>
      <c r="G158" s="5">
        <f t="shared" si="194"/>
        <v>9.2352941176470577E-11</v>
      </c>
      <c r="H158" s="3">
        <v>4.0810000000000004</v>
      </c>
      <c r="I158" s="3">
        <f>470*10^-9</f>
        <v>4.7000000000000005E-7</v>
      </c>
      <c r="J158" s="3">
        <f>3.18*10^-6</f>
        <v>3.18E-6</v>
      </c>
      <c r="K158" s="4">
        <f t="shared" si="195"/>
        <v>1.3823529411764708E-11</v>
      </c>
      <c r="L158" s="5">
        <f t="shared" si="196"/>
        <v>9.3529411764705886E-11</v>
      </c>
      <c r="M158" s="3">
        <v>4.0010000000000003</v>
      </c>
      <c r="N158" s="3">
        <f>550*10^-9</f>
        <v>5.5000000000000003E-7</v>
      </c>
      <c r="O158" s="3">
        <f>3.36*10^-6</f>
        <v>3.3599999999999996E-6</v>
      </c>
      <c r="P158" s="4">
        <f t="shared" si="197"/>
        <v>1.6176470588235295E-11</v>
      </c>
      <c r="Q158" s="5">
        <f t="shared" si="198"/>
        <v>9.8823529411764682E-11</v>
      </c>
    </row>
    <row r="159" spans="2:17" ht="15.75" x14ac:dyDescent="0.25">
      <c r="B159" s="7"/>
      <c r="C159" s="3">
        <v>4.0010000000000003</v>
      </c>
      <c r="D159" s="3">
        <f>490*10^-9</f>
        <v>4.9000000000000007E-7</v>
      </c>
      <c r="E159" s="3">
        <f>3.18*10^-6</f>
        <v>3.18E-6</v>
      </c>
      <c r="F159" s="4">
        <f t="shared" si="193"/>
        <v>1.4411764705882355E-11</v>
      </c>
      <c r="G159" s="5">
        <f t="shared" si="194"/>
        <v>9.3529411764705886E-11</v>
      </c>
      <c r="H159" s="3">
        <v>4.0010000000000003</v>
      </c>
      <c r="I159" s="3">
        <f>530*10^-9</f>
        <v>5.3000000000000001E-7</v>
      </c>
      <c r="J159" s="3">
        <f>3.26*10^-6</f>
        <v>3.2599999999999997E-6</v>
      </c>
      <c r="K159" s="4">
        <f t="shared" si="195"/>
        <v>1.5588235294117648E-11</v>
      </c>
      <c r="L159" s="5">
        <f t="shared" si="196"/>
        <v>9.5882352941176463E-11</v>
      </c>
      <c r="M159" s="3">
        <v>4.0810000000000004</v>
      </c>
      <c r="N159" s="3">
        <f>570*10^-9</f>
        <v>5.7000000000000005E-7</v>
      </c>
      <c r="O159" s="3">
        <f>3.42*10^-6</f>
        <v>3.4199999999999999E-6</v>
      </c>
      <c r="P159" s="4">
        <f t="shared" si="197"/>
        <v>1.6764705882352943E-11</v>
      </c>
      <c r="Q159" s="5">
        <f t="shared" si="198"/>
        <v>1.0058823529411763E-10</v>
      </c>
    </row>
    <row r="160" spans="2:17" x14ac:dyDescent="0.25">
      <c r="B160" s="8" t="s">
        <v>7</v>
      </c>
      <c r="C160" s="9">
        <f>AVERAGE(C155:C159)</f>
        <v>4.0010000000000003</v>
      </c>
      <c r="D160" s="6">
        <f t="shared" ref="D160:Q160" si="199">AVERAGE(D155:D159)</f>
        <v>5.44E-7</v>
      </c>
      <c r="E160" s="6">
        <f t="shared" si="199"/>
        <v>3.2320000000000001E-6</v>
      </c>
      <c r="F160" s="6">
        <f t="shared" si="199"/>
        <v>1.6000000000000003E-11</v>
      </c>
      <c r="G160" s="6">
        <f t="shared" si="199"/>
        <v>9.5058823529411753E-11</v>
      </c>
      <c r="H160" s="6">
        <f t="shared" si="199"/>
        <v>4.0170000000000003</v>
      </c>
      <c r="I160" s="6">
        <f t="shared" si="199"/>
        <v>5.06E-7</v>
      </c>
      <c r="J160" s="9">
        <f t="shared" si="199"/>
        <v>3.2400000000000003E-6</v>
      </c>
      <c r="K160" s="6">
        <f t="shared" si="199"/>
        <v>1.4882352941176475E-11</v>
      </c>
      <c r="L160" s="6">
        <f t="shared" si="199"/>
        <v>9.5294117647058809E-11</v>
      </c>
      <c r="M160" s="9">
        <f t="shared" si="199"/>
        <v>4.0170000000000003</v>
      </c>
      <c r="N160" s="6">
        <f t="shared" si="199"/>
        <v>5.5999999999999993E-7</v>
      </c>
      <c r="O160" s="9">
        <f t="shared" si="199"/>
        <v>3.3239999999999999E-6</v>
      </c>
      <c r="P160" s="6">
        <f t="shared" si="199"/>
        <v>1.6470588235294119E-11</v>
      </c>
      <c r="Q160" s="6">
        <f t="shared" si="199"/>
        <v>9.7764705882352928E-11</v>
      </c>
    </row>
    <row r="161" spans="2:17" ht="15.75" x14ac:dyDescent="0.25">
      <c r="B161" s="16">
        <v>2</v>
      </c>
      <c r="C161" s="3">
        <f>196*10^-3</f>
        <v>0.19600000000000001</v>
      </c>
      <c r="D161" s="3">
        <f>5.04*10^-3</f>
        <v>5.0400000000000002E-3</v>
      </c>
      <c r="E161" s="3">
        <f>4.18*10^-3</f>
        <v>4.1799999999999997E-3</v>
      </c>
      <c r="F161" s="4">
        <f>(D161/5)/(6.8*10^3)</f>
        <v>1.4823529411764706E-7</v>
      </c>
      <c r="G161" s="5">
        <f>(E161/5)/(6.8*10^3)</f>
        <v>1.2294117647058823E-7</v>
      </c>
      <c r="H161" s="3">
        <f>180*10^-3</f>
        <v>0.18</v>
      </c>
      <c r="I161" s="3">
        <f>4.6*10^-6</f>
        <v>4.5999999999999992E-6</v>
      </c>
      <c r="J161" s="3">
        <f>3.9*10^-3</f>
        <v>3.8999999999999998E-3</v>
      </c>
      <c r="K161" s="4">
        <f>(I161/5)/(6.8*10^3)</f>
        <v>1.352941176470588E-10</v>
      </c>
      <c r="L161" s="5">
        <f>(J161/5)/(6.8*10^3)</f>
        <v>1.1470588235294118E-7</v>
      </c>
      <c r="M161" s="3">
        <f>328*10^-3</f>
        <v>0.32800000000000001</v>
      </c>
      <c r="N161" s="3">
        <f>5.375*10^-3</f>
        <v>5.3750000000000004E-3</v>
      </c>
      <c r="O161" s="3">
        <f>5.75*10^-6</f>
        <v>5.75E-6</v>
      </c>
      <c r="P161" s="4">
        <f>(N161/5)/(6.8*10^3)</f>
        <v>1.5808823529411764E-7</v>
      </c>
      <c r="Q161" s="11">
        <f>(O161/5)/(6.8*10^3)</f>
        <v>1.6911764705882353E-10</v>
      </c>
    </row>
    <row r="162" spans="2:17" ht="15.75" x14ac:dyDescent="0.25">
      <c r="B162" s="16"/>
      <c r="C162" s="3">
        <f t="shared" ref="C162:C164" si="200">196*10^-3</f>
        <v>0.19600000000000001</v>
      </c>
      <c r="D162" s="3">
        <f>3.79*10^-3</f>
        <v>3.79E-3</v>
      </c>
      <c r="E162" s="3">
        <f>3.84*10^-3</f>
        <v>3.8400000000000001E-3</v>
      </c>
      <c r="F162" s="4">
        <f t="shared" ref="F162:F165" si="201">(D162/5)/(6.8*10^3)</f>
        <v>1.1147058823529411E-7</v>
      </c>
      <c r="G162" s="5">
        <f t="shared" ref="G162:G165" si="202">(E162/5)/(6.8*10^3)</f>
        <v>1.1294117647058823E-7</v>
      </c>
      <c r="H162" s="3">
        <f t="shared" ref="H162:H165" si="203">180*10^-3</f>
        <v>0.18</v>
      </c>
      <c r="I162" s="3">
        <f>2.93*10^-6</f>
        <v>2.9299999999999999E-6</v>
      </c>
      <c r="J162" s="3">
        <f>2.86*10^-3</f>
        <v>2.8600000000000001E-3</v>
      </c>
      <c r="K162" s="4">
        <f t="shared" ref="K162:K165" si="204">(I162/5)/(6.8*10^3)</f>
        <v>8.6176470588235286E-11</v>
      </c>
      <c r="L162" s="5">
        <f t="shared" ref="L162:L165" si="205">(J162/5)/(6.8*10^3)</f>
        <v>8.4117647058823529E-8</v>
      </c>
      <c r="M162" s="3">
        <f>322*10^-3</f>
        <v>0.32200000000000001</v>
      </c>
      <c r="N162" s="3">
        <f>6.325*10^-3</f>
        <v>6.3249999999999999E-3</v>
      </c>
      <c r="O162" s="3">
        <f>5.85*10^-6</f>
        <v>5.849999999999999E-6</v>
      </c>
      <c r="P162" s="4">
        <f t="shared" ref="P162:P165" si="206">(N162/5)/(6.8*10^3)</f>
        <v>1.8602941176470588E-7</v>
      </c>
      <c r="Q162" s="5">
        <f t="shared" ref="Q162:Q165" si="207">(O162/5)/(6.8*10^3)</f>
        <v>1.7205882352941175E-10</v>
      </c>
    </row>
    <row r="163" spans="2:17" ht="15.75" x14ac:dyDescent="0.25">
      <c r="B163" s="16"/>
      <c r="C163" s="3">
        <f t="shared" si="200"/>
        <v>0.19600000000000001</v>
      </c>
      <c r="D163" s="3">
        <f>3.82*10^-3</f>
        <v>3.82E-3</v>
      </c>
      <c r="E163" s="3">
        <f>3.78*10^-3</f>
        <v>3.7799999999999999E-3</v>
      </c>
      <c r="F163" s="4">
        <f t="shared" si="201"/>
        <v>1.1235294117647059E-7</v>
      </c>
      <c r="G163" s="5">
        <f t="shared" si="202"/>
        <v>1.1117647058823529E-7</v>
      </c>
      <c r="H163" s="3">
        <f>184*10^-3</f>
        <v>0.184</v>
      </c>
      <c r="I163" s="3">
        <f>3.2*10^-6</f>
        <v>3.1999999999999999E-6</v>
      </c>
      <c r="J163" s="3">
        <f>5.14*10^-3</f>
        <v>5.1399999999999996E-3</v>
      </c>
      <c r="K163" s="4">
        <f t="shared" si="204"/>
        <v>9.4117647058823527E-11</v>
      </c>
      <c r="L163" s="5">
        <f t="shared" si="205"/>
        <v>1.5117647058823528E-7</v>
      </c>
      <c r="M163" s="3">
        <f>332*10^-3</f>
        <v>0.33200000000000002</v>
      </c>
      <c r="N163" s="3">
        <f>3.275*10^-3</f>
        <v>3.2750000000000001E-3</v>
      </c>
      <c r="O163" s="3">
        <f>3.3*10^-6</f>
        <v>3.2999999999999997E-6</v>
      </c>
      <c r="P163" s="4">
        <f t="shared" si="206"/>
        <v>9.6323529411764707E-8</v>
      </c>
      <c r="Q163" s="5">
        <f t="shared" si="207"/>
        <v>9.7058823529411759E-11</v>
      </c>
    </row>
    <row r="164" spans="2:17" ht="15.75" x14ac:dyDescent="0.25">
      <c r="B164" s="16"/>
      <c r="C164" s="3">
        <f t="shared" si="200"/>
        <v>0.19600000000000001</v>
      </c>
      <c r="D164" s="3">
        <f>1.93*10^-3</f>
        <v>1.9300000000000001E-3</v>
      </c>
      <c r="E164" s="3">
        <f>2.02*10^-3</f>
        <v>2.0200000000000001E-3</v>
      </c>
      <c r="F164" s="4">
        <f t="shared" si="201"/>
        <v>5.6764705882352945E-8</v>
      </c>
      <c r="G164" s="5">
        <f t="shared" si="202"/>
        <v>5.9411764705882352E-8</v>
      </c>
      <c r="H164" s="3">
        <f t="shared" si="203"/>
        <v>0.18</v>
      </c>
      <c r="I164" s="3">
        <f>3.4*10^-6</f>
        <v>3.3999999999999996E-6</v>
      </c>
      <c r="J164" s="3">
        <f>3.62*10^-3</f>
        <v>3.6200000000000004E-3</v>
      </c>
      <c r="K164" s="4">
        <f t="shared" si="204"/>
        <v>9.9999999999999991E-11</v>
      </c>
      <c r="L164" s="5">
        <f t="shared" si="205"/>
        <v>1.0647058823529412E-7</v>
      </c>
      <c r="M164" s="3">
        <f>332*10^-3</f>
        <v>0.33200000000000002</v>
      </c>
      <c r="N164" s="3">
        <f>4.825*10^-3</f>
        <v>4.8250000000000003E-3</v>
      </c>
      <c r="O164" s="3">
        <f t="shared" ref="O164" si="208">5.75*10^-6</f>
        <v>5.75E-6</v>
      </c>
      <c r="P164" s="4">
        <f t="shared" si="206"/>
        <v>1.4191176470588237E-7</v>
      </c>
      <c r="Q164" s="5">
        <f t="shared" si="207"/>
        <v>1.6911764705882353E-10</v>
      </c>
    </row>
    <row r="165" spans="2:17" ht="15.75" x14ac:dyDescent="0.25">
      <c r="B165" s="16"/>
      <c r="C165" s="3">
        <f>200*10^-3</f>
        <v>0.2</v>
      </c>
      <c r="D165" s="3">
        <f>2.96*10^-3</f>
        <v>2.96E-3</v>
      </c>
      <c r="E165" s="3">
        <f>3.02*10^-3</f>
        <v>3.0200000000000001E-3</v>
      </c>
      <c r="F165" s="4">
        <f t="shared" si="201"/>
        <v>8.7058823529411757E-8</v>
      </c>
      <c r="G165" s="5">
        <f t="shared" si="202"/>
        <v>8.8823529411764713E-8</v>
      </c>
      <c r="H165" s="3">
        <f t="shared" si="203"/>
        <v>0.18</v>
      </c>
      <c r="I165" s="3">
        <f>2.98*10^-6</f>
        <v>2.9799999999999998E-6</v>
      </c>
      <c r="J165" s="3">
        <f>2.88*10^-3</f>
        <v>2.8799999999999997E-3</v>
      </c>
      <c r="K165" s="4">
        <f t="shared" si="204"/>
        <v>8.7647058823529409E-11</v>
      </c>
      <c r="L165" s="5">
        <f t="shared" si="205"/>
        <v>8.4705882352941159E-8</v>
      </c>
      <c r="M165" s="3">
        <f>336*10^-3</f>
        <v>0.33600000000000002</v>
      </c>
      <c r="N165" s="3">
        <f>6.4*10^-3</f>
        <v>6.4000000000000003E-3</v>
      </c>
      <c r="O165" s="3">
        <f>5.9*10^-6</f>
        <v>5.9000000000000003E-6</v>
      </c>
      <c r="P165" s="4">
        <f t="shared" si="206"/>
        <v>1.8823529411764708E-7</v>
      </c>
      <c r="Q165" s="5">
        <f t="shared" si="207"/>
        <v>1.7352941176470591E-10</v>
      </c>
    </row>
    <row r="166" spans="2:17" x14ac:dyDescent="0.25">
      <c r="B166" s="6" t="s">
        <v>7</v>
      </c>
      <c r="C166" s="6">
        <f>AVERAGE(C161:C165)</f>
        <v>0.1968</v>
      </c>
      <c r="D166" s="6">
        <f t="shared" ref="D166:Q166" si="209">AVERAGE(D161:D165)</f>
        <v>3.5079999999999998E-3</v>
      </c>
      <c r="E166" s="6">
        <f t="shared" si="209"/>
        <v>3.3680000000000003E-3</v>
      </c>
      <c r="F166" s="6">
        <f t="shared" si="209"/>
        <v>1.031764705882353E-7</v>
      </c>
      <c r="G166" s="6">
        <f t="shared" si="209"/>
        <v>9.9058823529411772E-8</v>
      </c>
      <c r="H166" s="6">
        <f t="shared" si="209"/>
        <v>0.18079999999999999</v>
      </c>
      <c r="I166" s="6">
        <f t="shared" si="209"/>
        <v>3.4219999999999996E-6</v>
      </c>
      <c r="J166" s="6">
        <f t="shared" si="209"/>
        <v>3.6800000000000001E-3</v>
      </c>
      <c r="K166" s="6">
        <f t="shared" si="209"/>
        <v>1.006470588235294E-10</v>
      </c>
      <c r="L166" s="6">
        <f t="shared" si="209"/>
        <v>1.0823529411764705E-7</v>
      </c>
      <c r="M166" s="6">
        <f t="shared" si="209"/>
        <v>0.33</v>
      </c>
      <c r="N166" s="6">
        <f t="shared" si="209"/>
        <v>5.2399999999999999E-3</v>
      </c>
      <c r="O166" s="6">
        <f t="shared" si="209"/>
        <v>5.31E-6</v>
      </c>
      <c r="P166" s="6">
        <f t="shared" si="209"/>
        <v>1.5411764705882352E-7</v>
      </c>
      <c r="Q166" s="6">
        <f t="shared" si="209"/>
        <v>1.5617647058823526E-10</v>
      </c>
    </row>
    <row r="167" spans="2:17" ht="15.75" x14ac:dyDescent="0.25">
      <c r="B167" s="17">
        <v>1</v>
      </c>
      <c r="C167" s="3">
        <v>4.0810000000000004</v>
      </c>
      <c r="D167" s="3">
        <f>430*10^-9</f>
        <v>4.3000000000000001E-7</v>
      </c>
      <c r="E167" s="3">
        <f>1.58*10^-6</f>
        <v>1.5799999999999999E-6</v>
      </c>
      <c r="F167" s="4">
        <f>(D167/5)/(6.8*10^3)</f>
        <v>1.2647058823529412E-11</v>
      </c>
      <c r="G167" s="5">
        <f>(E167/5)/(6.8*10^3)</f>
        <v>4.6470588235294116E-11</v>
      </c>
      <c r="H167" s="3">
        <v>4.0010000000000003</v>
      </c>
      <c r="I167" s="3">
        <f>460*10^-9</f>
        <v>4.6000000000000004E-7</v>
      </c>
      <c r="J167" s="3">
        <f>2.98*10^-6</f>
        <v>2.9799999999999998E-6</v>
      </c>
      <c r="K167" s="4">
        <f>(I167/5)/(6.8*10^3)</f>
        <v>1.3529411764705882E-11</v>
      </c>
      <c r="L167" s="5">
        <f>(J167/5)/(6.8*10^3)</f>
        <v>8.7647058823529409E-11</v>
      </c>
      <c r="M167" s="3">
        <v>4.0010000000000003</v>
      </c>
      <c r="N167" s="3">
        <f>430*10^-9</f>
        <v>4.3000000000000001E-7</v>
      </c>
      <c r="O167" s="3">
        <f>1.6*10^-6</f>
        <v>1.5999999999999999E-6</v>
      </c>
      <c r="P167" s="4">
        <f>(N167/5)/(6.8*10^3)</f>
        <v>1.2647058823529412E-11</v>
      </c>
      <c r="Q167" s="5">
        <f>(O167/5)/(6.8*10^3)</f>
        <v>4.7058823529411763E-11</v>
      </c>
    </row>
    <row r="168" spans="2:17" ht="15.75" x14ac:dyDescent="0.25">
      <c r="B168" s="16"/>
      <c r="C168" s="3">
        <v>3.9209999999999998</v>
      </c>
      <c r="D168" s="3">
        <f>420*10^-9</f>
        <v>4.2E-7</v>
      </c>
      <c r="E168" s="3">
        <f>2.74*10^-6</f>
        <v>2.74E-6</v>
      </c>
      <c r="F168" s="4">
        <f t="shared" ref="F168:F171" si="210">(D168/5)/(6.8*10^3)</f>
        <v>1.2352941176470589E-11</v>
      </c>
      <c r="G168" s="5">
        <f t="shared" ref="G168:G171" si="211">(E168/5)/(6.8*10^3)</f>
        <v>8.0588235294117649E-11</v>
      </c>
      <c r="H168" s="3">
        <v>4.0010000000000003</v>
      </c>
      <c r="I168" s="3">
        <f>450*10^-9</f>
        <v>4.5000000000000003E-7</v>
      </c>
      <c r="J168" s="3">
        <f>2.96*10^-6</f>
        <v>2.96E-6</v>
      </c>
      <c r="K168" s="4">
        <f t="shared" ref="K168:K171" si="212">(I168/5)/(6.8*10^3)</f>
        <v>1.323529411764706E-11</v>
      </c>
      <c r="L168" s="5">
        <f t="shared" ref="L168:L171" si="213">(J168/5)/(6.8*10^3)</f>
        <v>8.7058823529411767E-11</v>
      </c>
      <c r="M168" s="3">
        <v>4.0010000000000003</v>
      </c>
      <c r="N168" s="3">
        <f>470*10^-9</f>
        <v>4.7000000000000005E-7</v>
      </c>
      <c r="O168" s="3">
        <f>1.58*10^-6</f>
        <v>1.5799999999999999E-6</v>
      </c>
      <c r="P168" s="4">
        <f t="shared" ref="P168:P171" si="214">(N168/5)/(6.8*10^3)</f>
        <v>1.3823529411764708E-11</v>
      </c>
      <c r="Q168" s="5">
        <f t="shared" ref="Q168:Q171" si="215">(O168/5)/(6.8*10^3)</f>
        <v>4.6470588235294116E-11</v>
      </c>
    </row>
    <row r="169" spans="2:17" ht="15.75" x14ac:dyDescent="0.25">
      <c r="B169" s="16"/>
      <c r="C169" s="3">
        <v>4.0010000000000003</v>
      </c>
      <c r="D169" s="3">
        <f>440*10^-9</f>
        <v>4.4000000000000002E-7</v>
      </c>
      <c r="E169" s="3">
        <f>2.88*10^-6</f>
        <v>2.88E-6</v>
      </c>
      <c r="F169" s="4">
        <f t="shared" si="210"/>
        <v>1.2941176470588236E-11</v>
      </c>
      <c r="G169" s="5">
        <f t="shared" si="211"/>
        <v>8.4705882352941177E-11</v>
      </c>
      <c r="H169" s="3">
        <v>4.0010000000000003</v>
      </c>
      <c r="I169" s="3">
        <f t="shared" ref="I169:I170" si="216">460*10^-9</f>
        <v>4.6000000000000004E-7</v>
      </c>
      <c r="J169" s="3">
        <f>2.84*10^-6</f>
        <v>2.8399999999999999E-6</v>
      </c>
      <c r="K169" s="4">
        <f t="shared" si="212"/>
        <v>1.3529411764705882E-11</v>
      </c>
      <c r="L169" s="5">
        <f t="shared" si="213"/>
        <v>8.3529411764705881E-11</v>
      </c>
      <c r="M169" s="3">
        <v>4.0010000000000003</v>
      </c>
      <c r="N169" s="3">
        <f>490*10^-9</f>
        <v>4.9000000000000007E-7</v>
      </c>
      <c r="O169" s="3">
        <f t="shared" ref="O169:O170" si="217">1.58*10^-6</f>
        <v>1.5799999999999999E-6</v>
      </c>
      <c r="P169" s="4">
        <f t="shared" si="214"/>
        <v>1.4411764705882355E-11</v>
      </c>
      <c r="Q169" s="5">
        <f t="shared" si="215"/>
        <v>4.6470588235294116E-11</v>
      </c>
    </row>
    <row r="170" spans="2:17" ht="15.75" x14ac:dyDescent="0.25">
      <c r="B170" s="16"/>
      <c r="C170" s="3">
        <v>4.0010000000000003</v>
      </c>
      <c r="D170" s="3">
        <f>410*10^-9</f>
        <v>4.1000000000000004E-7</v>
      </c>
      <c r="E170" s="3">
        <f>2.88*10^-6</f>
        <v>2.88E-6</v>
      </c>
      <c r="F170" s="4">
        <f t="shared" si="210"/>
        <v>1.2058823529411766E-11</v>
      </c>
      <c r="G170" s="5">
        <f t="shared" si="211"/>
        <v>8.4705882352941177E-11</v>
      </c>
      <c r="H170" s="3">
        <v>4.0810000000000004</v>
      </c>
      <c r="I170" s="3">
        <f t="shared" si="216"/>
        <v>4.6000000000000004E-7</v>
      </c>
      <c r="J170" s="3">
        <f>2.9*10^-6</f>
        <v>2.8999999999999998E-6</v>
      </c>
      <c r="K170" s="4">
        <f t="shared" si="212"/>
        <v>1.3529411764705882E-11</v>
      </c>
      <c r="L170" s="5">
        <f t="shared" si="213"/>
        <v>8.5294117647058818E-11</v>
      </c>
      <c r="M170" s="3">
        <v>4.0010000000000003</v>
      </c>
      <c r="N170" s="3">
        <f>420*10^-9</f>
        <v>4.2E-7</v>
      </c>
      <c r="O170" s="3">
        <f t="shared" si="217"/>
        <v>1.5799999999999999E-6</v>
      </c>
      <c r="P170" s="4">
        <f t="shared" si="214"/>
        <v>1.2352941176470589E-11</v>
      </c>
      <c r="Q170" s="5">
        <f t="shared" si="215"/>
        <v>4.6470588235294116E-11</v>
      </c>
    </row>
    <row r="171" spans="2:17" ht="15.75" x14ac:dyDescent="0.25">
      <c r="B171" s="7"/>
      <c r="C171" s="3">
        <v>4.0010000000000003</v>
      </c>
      <c r="D171" s="3">
        <f t="shared" ref="D171" si="218">430*10^-9</f>
        <v>4.3000000000000001E-7</v>
      </c>
      <c r="E171" s="3">
        <f>2.98*10^-6</f>
        <v>2.9799999999999998E-6</v>
      </c>
      <c r="F171" s="4">
        <f t="shared" si="210"/>
        <v>1.2647058823529412E-11</v>
      </c>
      <c r="G171" s="5">
        <f t="shared" si="211"/>
        <v>8.7647058823529409E-11</v>
      </c>
      <c r="H171" s="3">
        <v>4.0010000000000003</v>
      </c>
      <c r="I171" s="3">
        <f>430*10^-9</f>
        <v>4.3000000000000001E-7</v>
      </c>
      <c r="J171" s="3">
        <f>2.76*10^-6</f>
        <v>2.7599999999999998E-6</v>
      </c>
      <c r="K171" s="4">
        <f t="shared" si="212"/>
        <v>1.2647058823529412E-11</v>
      </c>
      <c r="L171" s="5">
        <f t="shared" si="213"/>
        <v>8.1176470588235291E-11</v>
      </c>
      <c r="M171" s="3">
        <v>4.0010000000000003</v>
      </c>
      <c r="N171" s="3">
        <f>430*10^-9</f>
        <v>4.3000000000000001E-7</v>
      </c>
      <c r="O171" s="3">
        <f t="shared" ref="O171" si="219">1.6*10^-6</f>
        <v>1.5999999999999999E-6</v>
      </c>
      <c r="P171" s="4">
        <f t="shared" si="214"/>
        <v>1.2647058823529412E-11</v>
      </c>
      <c r="Q171" s="5">
        <f t="shared" si="215"/>
        <v>4.7058823529411763E-11</v>
      </c>
    </row>
    <row r="172" spans="2:17" x14ac:dyDescent="0.25">
      <c r="B172" s="8" t="s">
        <v>7</v>
      </c>
      <c r="C172" s="6">
        <f>AVERAGE(C167:C171)</f>
        <v>4.0010000000000003</v>
      </c>
      <c r="D172" s="6">
        <f t="shared" ref="D172:G172" si="220">AVERAGE(D167:D171)</f>
        <v>4.2599999999999998E-7</v>
      </c>
      <c r="E172" s="6">
        <f t="shared" si="220"/>
        <v>2.6120000000000001E-6</v>
      </c>
      <c r="F172" s="6">
        <f t="shared" si="220"/>
        <v>1.2529411764705884E-11</v>
      </c>
      <c r="G172" s="6">
        <f t="shared" si="220"/>
        <v>7.6823529411764707E-11</v>
      </c>
      <c r="H172" s="6">
        <f>AVERAGE(H167:H171)</f>
        <v>4.0170000000000003</v>
      </c>
      <c r="I172" s="6">
        <f t="shared" ref="I172:L172" si="221">AVERAGE(I167:I171)</f>
        <v>4.5199999999999997E-7</v>
      </c>
      <c r="J172" s="6">
        <f t="shared" si="221"/>
        <v>2.8880000000000001E-6</v>
      </c>
      <c r="K172" s="6">
        <f t="shared" si="221"/>
        <v>1.3294117647058824E-11</v>
      </c>
      <c r="L172" s="6">
        <f t="shared" si="221"/>
        <v>8.494117647058822E-11</v>
      </c>
      <c r="M172" s="6">
        <f>AVERAGE(M167:M171)</f>
        <v>4.0010000000000003</v>
      </c>
      <c r="N172" s="6">
        <f t="shared" ref="N172:Q172" si="222">AVERAGE(N167:N171)</f>
        <v>4.4800000000000004E-7</v>
      </c>
      <c r="O172" s="6">
        <f t="shared" si="222"/>
        <v>1.5880000000000001E-6</v>
      </c>
      <c r="P172" s="6">
        <f t="shared" si="222"/>
        <v>1.3176470588235296E-11</v>
      </c>
      <c r="Q172" s="6">
        <f t="shared" si="222"/>
        <v>4.6705882352941172E-11</v>
      </c>
    </row>
    <row r="173" spans="2:17" ht="15.75" x14ac:dyDescent="0.25">
      <c r="B173" s="16">
        <v>2</v>
      </c>
      <c r="C173" s="3"/>
      <c r="D173" s="3"/>
      <c r="E173" s="3"/>
      <c r="F173" s="4">
        <f>(D173/5)/(6.8*10^3)</f>
        <v>0</v>
      </c>
      <c r="G173" s="5">
        <f>(E173/5)/(6.8*10^3)</f>
        <v>0</v>
      </c>
      <c r="H173" s="3"/>
      <c r="I173" s="3"/>
      <c r="J173" s="3"/>
      <c r="K173" s="4">
        <f>(I173/5)/(6.8*10^3)</f>
        <v>0</v>
      </c>
      <c r="L173" s="5">
        <f>(J173/5)/(6.8*10^3)</f>
        <v>0</v>
      </c>
      <c r="M173" s="3"/>
      <c r="N173" s="3"/>
      <c r="O173" s="3"/>
      <c r="P173" s="4">
        <f>(N173/5)/(6.8*10^3)</f>
        <v>0</v>
      </c>
      <c r="Q173" s="5">
        <f>(O173/5)/(6.8*10^3)</f>
        <v>0</v>
      </c>
    </row>
    <row r="174" spans="2:17" ht="15.75" x14ac:dyDescent="0.25">
      <c r="B174" s="16"/>
      <c r="C174" s="3"/>
      <c r="D174" s="3"/>
      <c r="E174" s="3"/>
      <c r="F174" s="4">
        <f t="shared" ref="F174:F177" si="223">(D174/5)/(6.8*10^3)</f>
        <v>0</v>
      </c>
      <c r="G174" s="5">
        <f t="shared" ref="G174:G177" si="224">(E174/5)/(6.8*10^3)</f>
        <v>0</v>
      </c>
      <c r="H174" s="3"/>
      <c r="I174" s="3"/>
      <c r="J174" s="3"/>
      <c r="K174" s="4">
        <f t="shared" ref="K174:K177" si="225">(I174/5)/(6.8*10^3)</f>
        <v>0</v>
      </c>
      <c r="L174" s="5">
        <f t="shared" ref="L174:L177" si="226">(J174/5)/(6.8*10^3)</f>
        <v>0</v>
      </c>
      <c r="M174" s="3"/>
      <c r="N174" s="3"/>
      <c r="O174" s="3"/>
      <c r="P174" s="4">
        <f t="shared" ref="P174:P177" si="227">(N174/5)/(6.8*10^3)</f>
        <v>0</v>
      </c>
      <c r="Q174" s="5">
        <f t="shared" ref="Q174:Q177" si="228">(O174/5)/(6.8*10^3)</f>
        <v>0</v>
      </c>
    </row>
    <row r="175" spans="2:17" ht="15.75" x14ac:dyDescent="0.25">
      <c r="B175" s="16"/>
      <c r="C175" s="3"/>
      <c r="D175" s="3"/>
      <c r="E175" s="3"/>
      <c r="F175" s="4">
        <f t="shared" si="223"/>
        <v>0</v>
      </c>
      <c r="G175" s="5">
        <f t="shared" si="224"/>
        <v>0</v>
      </c>
      <c r="H175" s="3"/>
      <c r="I175" s="3"/>
      <c r="J175" s="3"/>
      <c r="K175" s="4">
        <f t="shared" si="225"/>
        <v>0</v>
      </c>
      <c r="L175" s="5">
        <f t="shared" si="226"/>
        <v>0</v>
      </c>
      <c r="M175" s="3"/>
      <c r="N175" s="3"/>
      <c r="O175" s="3"/>
      <c r="P175" s="4">
        <f t="shared" si="227"/>
        <v>0</v>
      </c>
      <c r="Q175" s="5">
        <f t="shared" si="228"/>
        <v>0</v>
      </c>
    </row>
    <row r="176" spans="2:17" ht="15.75" x14ac:dyDescent="0.25">
      <c r="B176" s="16"/>
      <c r="C176" s="3"/>
      <c r="D176" s="3"/>
      <c r="E176" s="3"/>
      <c r="F176" s="4">
        <f t="shared" si="223"/>
        <v>0</v>
      </c>
      <c r="G176" s="5">
        <f t="shared" si="224"/>
        <v>0</v>
      </c>
      <c r="H176" s="3"/>
      <c r="I176" s="3"/>
      <c r="J176" s="3"/>
      <c r="K176" s="4">
        <f t="shared" si="225"/>
        <v>0</v>
      </c>
      <c r="L176" s="5">
        <f t="shared" si="226"/>
        <v>0</v>
      </c>
      <c r="M176" s="3"/>
      <c r="N176" s="3"/>
      <c r="O176" s="3"/>
      <c r="P176" s="4">
        <f t="shared" si="227"/>
        <v>0</v>
      </c>
      <c r="Q176" s="5">
        <f t="shared" si="228"/>
        <v>0</v>
      </c>
    </row>
    <row r="177" spans="2:17" ht="15.75" x14ac:dyDescent="0.25">
      <c r="B177" s="7"/>
      <c r="C177" s="3"/>
      <c r="D177" s="3"/>
      <c r="E177" s="3"/>
      <c r="F177" s="4">
        <f t="shared" si="223"/>
        <v>0</v>
      </c>
      <c r="G177" s="5">
        <f t="shared" si="224"/>
        <v>0</v>
      </c>
      <c r="H177" s="3"/>
      <c r="I177" s="3"/>
      <c r="J177" s="3"/>
      <c r="K177" s="4">
        <f t="shared" si="225"/>
        <v>0</v>
      </c>
      <c r="L177" s="5">
        <f t="shared" si="226"/>
        <v>0</v>
      </c>
      <c r="M177" s="3"/>
      <c r="N177" s="3"/>
      <c r="O177" s="3"/>
      <c r="P177" s="4">
        <f t="shared" si="227"/>
        <v>0</v>
      </c>
      <c r="Q177" s="5">
        <f t="shared" si="228"/>
        <v>0</v>
      </c>
    </row>
    <row r="178" spans="2:17" x14ac:dyDescent="0.25">
      <c r="B178" s="8" t="s">
        <v>7</v>
      </c>
      <c r="C178" s="9" t="e">
        <f>AVERAGE(C173:C177)</f>
        <v>#DIV/0!</v>
      </c>
      <c r="D178" s="6" t="e">
        <f t="shared" ref="D178:Q178" si="229">AVERAGE(D173:D177)</f>
        <v>#DIV/0!</v>
      </c>
      <c r="E178" s="6" t="e">
        <f t="shared" si="229"/>
        <v>#DIV/0!</v>
      </c>
      <c r="F178" s="6">
        <f t="shared" si="229"/>
        <v>0</v>
      </c>
      <c r="G178" s="6">
        <f t="shared" si="229"/>
        <v>0</v>
      </c>
      <c r="H178" s="6" t="e">
        <f t="shared" si="229"/>
        <v>#DIV/0!</v>
      </c>
      <c r="I178" s="6" t="e">
        <f t="shared" si="229"/>
        <v>#DIV/0!</v>
      </c>
      <c r="J178" s="9" t="e">
        <f t="shared" si="229"/>
        <v>#DIV/0!</v>
      </c>
      <c r="K178" s="6">
        <f t="shared" si="229"/>
        <v>0</v>
      </c>
      <c r="L178" s="6">
        <f t="shared" si="229"/>
        <v>0</v>
      </c>
      <c r="M178" s="9" t="e">
        <f t="shared" si="229"/>
        <v>#DIV/0!</v>
      </c>
      <c r="N178" s="6" t="e">
        <f t="shared" si="229"/>
        <v>#DIV/0!</v>
      </c>
      <c r="O178" s="9" t="e">
        <f t="shared" si="229"/>
        <v>#DIV/0!</v>
      </c>
      <c r="P178" s="6">
        <f t="shared" si="229"/>
        <v>0</v>
      </c>
      <c r="Q178" s="6">
        <f t="shared" si="229"/>
        <v>0</v>
      </c>
    </row>
    <row r="179" spans="2:17" ht="15.75" x14ac:dyDescent="0.25">
      <c r="B179" s="16">
        <v>1</v>
      </c>
      <c r="C179" s="3">
        <v>3.681</v>
      </c>
      <c r="D179" s="3">
        <f>540*10^-9</f>
        <v>5.4000000000000002E-7</v>
      </c>
      <c r="E179" s="3">
        <f>1.86*10^-6</f>
        <v>1.86E-6</v>
      </c>
      <c r="F179" s="4">
        <f>(D179/5)/(6.8*10^3)</f>
        <v>1.5882352941176471E-11</v>
      </c>
      <c r="G179" s="5">
        <f>(E179/5)/(6.8*10^3)</f>
        <v>5.4705882352941177E-11</v>
      </c>
      <c r="H179" s="3">
        <v>3.7210000000000001</v>
      </c>
      <c r="I179" s="3">
        <f>580*10^-9</f>
        <v>5.8000000000000006E-7</v>
      </c>
      <c r="J179" s="3">
        <f>1.86*10^-6</f>
        <v>1.86E-6</v>
      </c>
      <c r="K179" s="4">
        <f>(I179/5)/(6.8*10^3)</f>
        <v>1.7058823529411767E-11</v>
      </c>
      <c r="L179" s="5">
        <f>(J179/5)/(6.8*10^3)</f>
        <v>5.4705882352941177E-11</v>
      </c>
      <c r="M179" s="3">
        <v>3.7210000000000001</v>
      </c>
      <c r="N179" s="3">
        <f>630*10^-9</f>
        <v>6.3E-7</v>
      </c>
      <c r="O179" s="3">
        <f>1.94*10^-6</f>
        <v>1.9400000000000001E-6</v>
      </c>
      <c r="P179" s="4">
        <f>(N179/5)/(6.8*10^3)</f>
        <v>1.852941176470588E-11</v>
      </c>
      <c r="Q179" s="11">
        <f>(O179/5)/(6.8*10^3)</f>
        <v>5.7058823529411768E-11</v>
      </c>
    </row>
    <row r="180" spans="2:17" ht="15.75" x14ac:dyDescent="0.25">
      <c r="B180" s="16"/>
      <c r="C180" s="3">
        <v>3.7210000000000001</v>
      </c>
      <c r="D180" s="3">
        <f>580*10^-9</f>
        <v>5.8000000000000006E-7</v>
      </c>
      <c r="E180" s="3">
        <f>700*10^-9</f>
        <v>7.0000000000000007E-7</v>
      </c>
      <c r="F180" s="4">
        <f t="shared" ref="F180:F183" si="230">(D180/5)/(6.8*10^3)</f>
        <v>1.7058823529411767E-11</v>
      </c>
      <c r="G180" s="5">
        <f t="shared" ref="G180:G183" si="231">(E180/5)/(6.8*10^3)</f>
        <v>2.058823529411765E-11</v>
      </c>
      <c r="H180" s="3">
        <v>3.681</v>
      </c>
      <c r="I180" s="3">
        <f>570*10^-9</f>
        <v>5.7000000000000005E-7</v>
      </c>
      <c r="J180" s="3">
        <f>700*10^-9</f>
        <v>7.0000000000000007E-7</v>
      </c>
      <c r="K180" s="4">
        <f t="shared" ref="K180:K183" si="232">(I180/5)/(6.8*10^3)</f>
        <v>1.6764705882352943E-11</v>
      </c>
      <c r="L180" s="5">
        <f t="shared" ref="L180:L183" si="233">(J180/5)/(6.8*10^3)</f>
        <v>2.058823529411765E-11</v>
      </c>
      <c r="M180" s="3">
        <v>3.681</v>
      </c>
      <c r="N180" s="3">
        <f>590*10^-9</f>
        <v>5.9000000000000007E-7</v>
      </c>
      <c r="O180" s="3">
        <f>740*10^-9</f>
        <v>7.4000000000000001E-7</v>
      </c>
      <c r="P180" s="4">
        <f t="shared" ref="P180:P183" si="234">(N180/5)/(6.8*10^3)</f>
        <v>1.7352941176470591E-11</v>
      </c>
      <c r="Q180" s="5">
        <f t="shared" ref="Q180:Q183" si="235">(O180/5)/(6.8*10^3)</f>
        <v>2.1764705882352942E-11</v>
      </c>
    </row>
    <row r="181" spans="2:17" ht="15.75" x14ac:dyDescent="0.25">
      <c r="B181" s="16"/>
      <c r="C181" s="3">
        <v>3.7210000000000001</v>
      </c>
      <c r="D181" s="3">
        <f>570*10^-9</f>
        <v>5.7000000000000005E-7</v>
      </c>
      <c r="E181" s="3">
        <f>1.8*10^-6</f>
        <v>1.7999999999999999E-6</v>
      </c>
      <c r="F181" s="4">
        <f t="shared" si="230"/>
        <v>1.6764705882352943E-11</v>
      </c>
      <c r="G181" s="5">
        <f t="shared" si="231"/>
        <v>5.2941176470588234E-11</v>
      </c>
      <c r="H181" s="3">
        <v>3.7210000000000001</v>
      </c>
      <c r="I181" s="3">
        <f>540*10^-9</f>
        <v>5.4000000000000002E-7</v>
      </c>
      <c r="J181" s="3">
        <f>1.88*10^-6</f>
        <v>1.8799999999999998E-6</v>
      </c>
      <c r="K181" s="4">
        <f t="shared" si="232"/>
        <v>1.5882352941176471E-11</v>
      </c>
      <c r="L181" s="5">
        <f t="shared" si="233"/>
        <v>5.5294117647058818E-11</v>
      </c>
      <c r="M181" s="3">
        <v>3.7210000000000001</v>
      </c>
      <c r="N181" s="3">
        <f>630*10^-9</f>
        <v>6.3E-7</v>
      </c>
      <c r="O181" s="3">
        <f>1.92*10^-6</f>
        <v>1.9199999999999998E-6</v>
      </c>
      <c r="P181" s="4">
        <f t="shared" si="234"/>
        <v>1.852941176470588E-11</v>
      </c>
      <c r="Q181" s="5">
        <f t="shared" si="235"/>
        <v>5.6470588235294107E-11</v>
      </c>
    </row>
    <row r="182" spans="2:17" ht="15.75" x14ac:dyDescent="0.25">
      <c r="B182" s="16"/>
      <c r="C182" s="3">
        <v>3.7210000000000001</v>
      </c>
      <c r="D182" s="3">
        <f t="shared" ref="D182" si="236">580*10^-9</f>
        <v>5.8000000000000006E-7</v>
      </c>
      <c r="E182" s="3">
        <f>700*10^-9</f>
        <v>7.0000000000000007E-7</v>
      </c>
      <c r="F182" s="4">
        <f t="shared" si="230"/>
        <v>1.7058823529411767E-11</v>
      </c>
      <c r="G182" s="5">
        <f t="shared" si="231"/>
        <v>2.058823529411765E-11</v>
      </c>
      <c r="H182" s="3">
        <v>3.7210000000000001</v>
      </c>
      <c r="I182" s="3">
        <f>510*10^-9</f>
        <v>5.0999999999999999E-7</v>
      </c>
      <c r="J182" s="3">
        <f>1.88*10^-6</f>
        <v>1.8799999999999998E-6</v>
      </c>
      <c r="K182" s="4">
        <f t="shared" si="232"/>
        <v>1.5E-11</v>
      </c>
      <c r="L182" s="5">
        <f t="shared" si="233"/>
        <v>5.5294117647058818E-11</v>
      </c>
      <c r="M182" s="3">
        <v>3.681</v>
      </c>
      <c r="N182" s="3">
        <f>650*10^-9</f>
        <v>6.5000000000000002E-7</v>
      </c>
      <c r="O182" s="3">
        <f>760*10^-9</f>
        <v>7.6000000000000003E-7</v>
      </c>
      <c r="P182" s="4">
        <f t="shared" si="234"/>
        <v>1.911764705882353E-11</v>
      </c>
      <c r="Q182" s="5">
        <f t="shared" si="235"/>
        <v>2.235294117647059E-11</v>
      </c>
    </row>
    <row r="183" spans="2:17" ht="15.75" x14ac:dyDescent="0.25">
      <c r="B183" s="16"/>
      <c r="C183" s="3">
        <v>3.681</v>
      </c>
      <c r="D183" s="3">
        <f>540*10^-9</f>
        <v>5.4000000000000002E-7</v>
      </c>
      <c r="E183" s="3">
        <f>1.94*10^-6</f>
        <v>1.9400000000000001E-6</v>
      </c>
      <c r="F183" s="4">
        <f t="shared" si="230"/>
        <v>1.5882352941176471E-11</v>
      </c>
      <c r="G183" s="5">
        <f t="shared" si="231"/>
        <v>5.7058823529411768E-11</v>
      </c>
      <c r="H183" s="3">
        <v>3.7210000000000001</v>
      </c>
      <c r="I183" s="3">
        <f>570*10^-9</f>
        <v>5.7000000000000005E-7</v>
      </c>
      <c r="J183" s="3">
        <f>1.86*10^-6</f>
        <v>1.86E-6</v>
      </c>
      <c r="K183" s="4">
        <f t="shared" si="232"/>
        <v>1.6764705882352943E-11</v>
      </c>
      <c r="L183" s="5">
        <f t="shared" si="233"/>
        <v>5.4705882352941177E-11</v>
      </c>
      <c r="M183" s="3">
        <v>3.7210000000000001</v>
      </c>
      <c r="N183" s="3">
        <f>590*10^-9</f>
        <v>5.9000000000000007E-7</v>
      </c>
      <c r="O183" s="3">
        <f>1.94*10^-6</f>
        <v>1.9400000000000001E-6</v>
      </c>
      <c r="P183" s="4">
        <f t="shared" si="234"/>
        <v>1.7352941176470591E-11</v>
      </c>
      <c r="Q183" s="5">
        <f t="shared" si="235"/>
        <v>5.7058823529411768E-11</v>
      </c>
    </row>
    <row r="184" spans="2:17" x14ac:dyDescent="0.25">
      <c r="B184" s="6" t="s">
        <v>7</v>
      </c>
      <c r="C184" s="6">
        <f>AVERAGE(C179:C183)</f>
        <v>3.7050000000000005</v>
      </c>
      <c r="D184" s="6">
        <f t="shared" ref="D184:Q184" si="237">AVERAGE(D179:D183)</f>
        <v>5.6200000000000008E-7</v>
      </c>
      <c r="E184" s="6">
        <f t="shared" si="237"/>
        <v>1.3999999999999999E-6</v>
      </c>
      <c r="F184" s="6">
        <f t="shared" si="237"/>
        <v>1.6529411764705883E-11</v>
      </c>
      <c r="G184" s="6">
        <f t="shared" si="237"/>
        <v>4.1176470588235293E-11</v>
      </c>
      <c r="H184" s="6">
        <f t="shared" si="237"/>
        <v>3.7130000000000001</v>
      </c>
      <c r="I184" s="6">
        <f t="shared" si="237"/>
        <v>5.5400000000000001E-7</v>
      </c>
      <c r="J184" s="6">
        <f t="shared" si="237"/>
        <v>1.6359999999999999E-6</v>
      </c>
      <c r="K184" s="6">
        <f t="shared" si="237"/>
        <v>1.6294117647058824E-11</v>
      </c>
      <c r="L184" s="6">
        <f t="shared" si="237"/>
        <v>4.8117647058823531E-11</v>
      </c>
      <c r="M184" s="6">
        <f t="shared" si="237"/>
        <v>3.7050000000000005</v>
      </c>
      <c r="N184" s="6">
        <f t="shared" si="237"/>
        <v>6.1800000000000005E-7</v>
      </c>
      <c r="O184" s="6">
        <f t="shared" si="237"/>
        <v>1.46E-6</v>
      </c>
      <c r="P184" s="6">
        <f t="shared" si="237"/>
        <v>1.8176470588235295E-11</v>
      </c>
      <c r="Q184" s="6">
        <f t="shared" si="237"/>
        <v>4.2941176470588236E-11</v>
      </c>
    </row>
  </sheetData>
  <mergeCells count="4">
    <mergeCell ref="B3:B4"/>
    <mergeCell ref="C3:G3"/>
    <mergeCell ref="H3:L3"/>
    <mergeCell ref="M3:Q3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opLeftCell="A10" workbookViewId="0">
      <selection activeCell="E22" sqref="E22"/>
    </sheetView>
  </sheetViews>
  <sheetFormatPr defaultColWidth="8.85546875" defaultRowHeight="15" x14ac:dyDescent="0.25"/>
  <cols>
    <col min="1" max="1" width="14.140625" bestFit="1" customWidth="1"/>
    <col min="4" max="5" width="12.42578125" bestFit="1" customWidth="1"/>
    <col min="9" max="10" width="12.42578125" bestFit="1" customWidth="1"/>
    <col min="14" max="15" width="12.42578125" bestFit="1" customWidth="1"/>
  </cols>
  <sheetData>
    <row r="1" spans="1:17" x14ac:dyDescent="0.25">
      <c r="A1" t="s">
        <v>10</v>
      </c>
      <c r="B1" t="s">
        <v>11</v>
      </c>
      <c r="C1" t="s">
        <v>27</v>
      </c>
      <c r="D1" t="s">
        <v>13</v>
      </c>
      <c r="E1" t="s">
        <v>14</v>
      </c>
      <c r="H1" t="s">
        <v>29</v>
      </c>
    </row>
    <row r="2" spans="1:17" x14ac:dyDescent="0.25">
      <c r="A2" t="s">
        <v>15</v>
      </c>
    </row>
    <row r="3" spans="1:17" ht="15.75" x14ac:dyDescent="0.25">
      <c r="B3" s="24" t="s">
        <v>0</v>
      </c>
      <c r="C3" s="26" t="s">
        <v>1</v>
      </c>
      <c r="D3" s="27"/>
      <c r="E3" s="27"/>
      <c r="F3" s="27"/>
      <c r="G3" s="28"/>
      <c r="H3" s="29" t="s">
        <v>8</v>
      </c>
      <c r="I3" s="27"/>
      <c r="J3" s="27"/>
      <c r="K3" s="27"/>
      <c r="L3" s="28"/>
      <c r="M3" s="29" t="s">
        <v>9</v>
      </c>
      <c r="N3" s="27"/>
      <c r="O3" s="27"/>
      <c r="P3" s="27"/>
      <c r="Q3" s="28"/>
    </row>
    <row r="4" spans="1:17" ht="15.75" x14ac:dyDescent="0.25">
      <c r="B4" s="25"/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2</v>
      </c>
      <c r="I4" s="1" t="s">
        <v>3</v>
      </c>
      <c r="J4" s="1" t="s">
        <v>4</v>
      </c>
      <c r="K4" s="1" t="s">
        <v>5</v>
      </c>
      <c r="L4" s="1" t="s">
        <v>6</v>
      </c>
      <c r="M4" s="1" t="s">
        <v>2</v>
      </c>
      <c r="N4" s="1" t="s">
        <v>3</v>
      </c>
      <c r="O4" s="1" t="s">
        <v>4</v>
      </c>
      <c r="P4" s="1" t="s">
        <v>5</v>
      </c>
      <c r="Q4" s="10" t="s">
        <v>6</v>
      </c>
    </row>
    <row r="5" spans="1:17" ht="15.75" x14ac:dyDescent="0.25">
      <c r="A5" t="s">
        <v>15</v>
      </c>
      <c r="B5" s="17">
        <v>1</v>
      </c>
      <c r="C5" s="3">
        <v>2.9609999999999999</v>
      </c>
      <c r="D5" s="3">
        <f>990*10^-9</f>
        <v>9.9000000000000005E-7</v>
      </c>
      <c r="E5" s="3">
        <f>6.67*10^-6</f>
        <v>6.6699999999999997E-6</v>
      </c>
      <c r="F5" s="4">
        <f>(D5/5)/(6.8*10^3)</f>
        <v>2.9117647058823531E-11</v>
      </c>
      <c r="G5" s="5">
        <f>(E5/5)/(6.8*10^3)</f>
        <v>1.9617647058823528E-10</v>
      </c>
      <c r="H5" s="3">
        <v>2.5609999999999999</v>
      </c>
      <c r="I5" s="3">
        <f>830*10^-9</f>
        <v>8.300000000000001E-7</v>
      </c>
      <c r="J5" s="3">
        <f>7.46*10^-6</f>
        <v>7.4599999999999997E-6</v>
      </c>
      <c r="K5" s="4">
        <f>(I5/5)/(6.8*10^3)</f>
        <v>2.4411764705882356E-11</v>
      </c>
      <c r="L5" s="5">
        <f>(J5/5)/(6.8*10^3)</f>
        <v>2.1941176470588234E-10</v>
      </c>
      <c r="M5" s="3">
        <v>2.4809999999999999</v>
      </c>
      <c r="N5" s="3">
        <f>1.15*10^-6</f>
        <v>1.1499999999999998E-6</v>
      </c>
      <c r="O5" s="3">
        <f>10.84*10^-6</f>
        <v>1.084E-5</v>
      </c>
      <c r="P5" s="4">
        <f>(N5/5)/(6.8*10^3)</f>
        <v>3.38235294117647E-11</v>
      </c>
      <c r="Q5" s="11">
        <f>(O5/5)/(6.8*10^3)</f>
        <v>3.1882352941176467E-10</v>
      </c>
    </row>
    <row r="6" spans="1:17" ht="15.75" x14ac:dyDescent="0.25">
      <c r="B6" s="18"/>
      <c r="C6" s="3">
        <v>3.0009999999999999</v>
      </c>
      <c r="D6" s="3">
        <f>890*10^-9</f>
        <v>8.9000000000000006E-7</v>
      </c>
      <c r="E6" s="3">
        <f>6.44*10^-6</f>
        <v>6.4400000000000002E-6</v>
      </c>
      <c r="F6" s="4">
        <f t="shared" ref="F6:G9" si="0">(D6/5)/(6.8*10^3)</f>
        <v>2.6176470588235296E-11</v>
      </c>
      <c r="G6" s="5">
        <f t="shared" si="0"/>
        <v>1.8941176470588236E-10</v>
      </c>
      <c r="H6" s="3">
        <v>2.681</v>
      </c>
      <c r="I6" s="3">
        <f>770*10^-9</f>
        <v>7.7000000000000004E-7</v>
      </c>
      <c r="J6" s="3">
        <f>7.82*10^-6</f>
        <v>7.8199999999999997E-6</v>
      </c>
      <c r="K6" s="4">
        <f t="shared" ref="K6:L9" si="1">(I6/5)/(6.8*10^3)</f>
        <v>2.2647058823529413E-11</v>
      </c>
      <c r="L6" s="5">
        <f t="shared" si="1"/>
        <v>2.3000000000000001E-10</v>
      </c>
      <c r="M6" s="3">
        <v>2.4009999999999998</v>
      </c>
      <c r="N6" s="3">
        <f>1.12*10^-6</f>
        <v>1.1200000000000001E-6</v>
      </c>
      <c r="O6" s="3">
        <f>10.3*10^-6</f>
        <v>1.03E-5</v>
      </c>
      <c r="P6" s="4">
        <f t="shared" ref="P6:Q9" si="2">(N6/5)/(6.8*10^3)</f>
        <v>3.2941176470588238E-11</v>
      </c>
      <c r="Q6" s="5">
        <f t="shared" si="2"/>
        <v>3.0294117647058822E-10</v>
      </c>
    </row>
    <row r="7" spans="1:17" ht="15.75" x14ac:dyDescent="0.25">
      <c r="B7" s="18"/>
      <c r="C7" s="3">
        <v>3.0009999999999999</v>
      </c>
      <c r="D7" s="3">
        <f>940*10^-9</f>
        <v>9.4000000000000011E-7</v>
      </c>
      <c r="E7" s="3">
        <f>6.94*10^-6</f>
        <v>6.9400000000000005E-6</v>
      </c>
      <c r="F7" s="4">
        <f t="shared" si="0"/>
        <v>2.7647058823529416E-11</v>
      </c>
      <c r="G7" s="5">
        <f t="shared" si="0"/>
        <v>2.0411764705882353E-10</v>
      </c>
      <c r="H7" s="3">
        <v>2.641</v>
      </c>
      <c r="I7" s="3">
        <f>980*10^-9</f>
        <v>9.8000000000000015E-7</v>
      </c>
      <c r="J7" s="3">
        <f>7.74*10^-6</f>
        <v>7.7400000000000004E-6</v>
      </c>
      <c r="K7" s="4">
        <f t="shared" si="1"/>
        <v>2.8823529411764711E-11</v>
      </c>
      <c r="L7" s="5">
        <f t="shared" si="1"/>
        <v>2.2764705882352942E-10</v>
      </c>
      <c r="M7" s="3">
        <v>2.3610000000000002</v>
      </c>
      <c r="N7" s="3">
        <f>1.13*10^-6</f>
        <v>1.1299999999999998E-6</v>
      </c>
      <c r="O7" s="3">
        <f>11.24*10^-6</f>
        <v>1.1239999999999999E-5</v>
      </c>
      <c r="P7" s="4">
        <f t="shared" si="2"/>
        <v>3.3235294117647052E-11</v>
      </c>
      <c r="Q7" s="5">
        <f t="shared" si="2"/>
        <v>3.3058823529411765E-10</v>
      </c>
    </row>
    <row r="8" spans="1:17" ht="15.75" x14ac:dyDescent="0.25">
      <c r="B8" s="18"/>
      <c r="C8" s="3">
        <v>3.0009999999999999</v>
      </c>
      <c r="D8" s="3">
        <f>900*10^-9</f>
        <v>9.0000000000000007E-7</v>
      </c>
      <c r="E8" s="3">
        <f>8.58*10^-6</f>
        <v>8.5799999999999992E-6</v>
      </c>
      <c r="F8" s="4">
        <f t="shared" si="0"/>
        <v>2.647058823529412E-11</v>
      </c>
      <c r="G8" s="5">
        <f t="shared" si="0"/>
        <v>2.5235294117647053E-10</v>
      </c>
      <c r="H8" s="3">
        <v>2.641</v>
      </c>
      <c r="I8" s="3">
        <f>1*10^-6</f>
        <v>9.9999999999999995E-7</v>
      </c>
      <c r="J8" s="3">
        <f>6.16*10^-6</f>
        <v>6.1599999999999995E-6</v>
      </c>
      <c r="K8" s="4">
        <f t="shared" si="1"/>
        <v>2.9411764705882352E-11</v>
      </c>
      <c r="L8" s="5">
        <f t="shared" si="1"/>
        <v>1.8117647058823526E-10</v>
      </c>
      <c r="M8" s="3">
        <v>2.4409999999999998</v>
      </c>
      <c r="N8" s="3">
        <f>1*10^-6</f>
        <v>9.9999999999999995E-7</v>
      </c>
      <c r="O8" s="3">
        <f>10.66*10^-6</f>
        <v>1.066E-5</v>
      </c>
      <c r="P8" s="4">
        <f t="shared" si="2"/>
        <v>2.9411764705882352E-11</v>
      </c>
      <c r="Q8" s="5">
        <f t="shared" si="2"/>
        <v>3.1352941176470589E-10</v>
      </c>
    </row>
    <row r="9" spans="1:17" ht="15.75" x14ac:dyDescent="0.25">
      <c r="B9" s="18"/>
      <c r="C9" s="3">
        <v>2.9609999999999999</v>
      </c>
      <c r="D9" s="3">
        <f>1.02*10^-6</f>
        <v>1.02E-6</v>
      </c>
      <c r="E9" s="3">
        <f>7.5*10^-6</f>
        <v>7.4999999999999993E-6</v>
      </c>
      <c r="F9" s="4">
        <f t="shared" si="0"/>
        <v>3E-11</v>
      </c>
      <c r="G9" s="5">
        <f t="shared" si="0"/>
        <v>2.2058823529411762E-10</v>
      </c>
      <c r="H9" s="3">
        <v>2.641</v>
      </c>
      <c r="I9" s="3">
        <f>1*10^-6</f>
        <v>9.9999999999999995E-7</v>
      </c>
      <c r="J9" s="3">
        <f>6.16*10^-6</f>
        <v>6.1599999999999995E-6</v>
      </c>
      <c r="K9" s="4">
        <f t="shared" si="1"/>
        <v>2.9411764705882352E-11</v>
      </c>
      <c r="L9" s="5">
        <f t="shared" si="1"/>
        <v>1.8117647058823526E-10</v>
      </c>
      <c r="M9" s="3">
        <v>2.4809999999999999</v>
      </c>
      <c r="N9" s="3">
        <f>1.07*10^-6</f>
        <v>1.0699999999999999E-6</v>
      </c>
      <c r="O9" s="3">
        <f>10.1*10^-6</f>
        <v>1.01E-5</v>
      </c>
      <c r="P9" s="4">
        <f t="shared" si="2"/>
        <v>3.1470588235294116E-11</v>
      </c>
      <c r="Q9" s="5">
        <f t="shared" si="2"/>
        <v>2.9705882352941178E-10</v>
      </c>
    </row>
    <row r="10" spans="1:17" x14ac:dyDescent="0.25">
      <c r="B10" s="6" t="s">
        <v>7</v>
      </c>
      <c r="C10" s="6">
        <f>AVERAGE(C5:C9)</f>
        <v>2.9849999999999999</v>
      </c>
      <c r="D10" s="6">
        <f t="shared" ref="D10:Q10" si="3">AVERAGE(D5:D9)</f>
        <v>9.4800000000000007E-7</v>
      </c>
      <c r="E10" s="6">
        <f t="shared" si="3"/>
        <v>7.2259999999999991E-6</v>
      </c>
      <c r="F10" s="6">
        <f t="shared" si="3"/>
        <v>2.7882352941176475E-11</v>
      </c>
      <c r="G10" s="6">
        <f t="shared" si="3"/>
        <v>2.1252941176470588E-10</v>
      </c>
      <c r="H10" s="6">
        <f t="shared" si="3"/>
        <v>2.633</v>
      </c>
      <c r="I10" s="6">
        <f t="shared" si="3"/>
        <v>9.16E-7</v>
      </c>
      <c r="J10" s="6">
        <f t="shared" si="3"/>
        <v>7.0679999999999991E-6</v>
      </c>
      <c r="K10" s="6">
        <f t="shared" si="3"/>
        <v>2.6941176470588233E-11</v>
      </c>
      <c r="L10" s="6">
        <f t="shared" si="3"/>
        <v>2.0788235294117644E-10</v>
      </c>
      <c r="M10" s="6">
        <f t="shared" si="3"/>
        <v>2.4330000000000003</v>
      </c>
      <c r="N10" s="6">
        <f t="shared" si="3"/>
        <v>1.0939999999999998E-6</v>
      </c>
      <c r="O10" s="6">
        <f t="shared" si="3"/>
        <v>1.0627999999999999E-5</v>
      </c>
      <c r="P10" s="6">
        <f t="shared" si="3"/>
        <v>3.2176470588235292E-11</v>
      </c>
      <c r="Q10" s="6">
        <f t="shared" si="3"/>
        <v>3.1258823529411761E-10</v>
      </c>
    </row>
    <row r="11" spans="1:17" ht="15.75" x14ac:dyDescent="0.25">
      <c r="A11" t="s">
        <v>16</v>
      </c>
      <c r="B11" s="17">
        <v>1</v>
      </c>
      <c r="C11" s="3">
        <v>3.0409999999999999</v>
      </c>
      <c r="D11" s="3">
        <f>830*10^-9</f>
        <v>8.300000000000001E-7</v>
      </c>
      <c r="E11" s="3">
        <f>6.4*10^-6</f>
        <v>6.3999999999999997E-6</v>
      </c>
      <c r="F11" s="4">
        <f>(D11/5)/(6.8*10^3)</f>
        <v>2.4411764705882356E-11</v>
      </c>
      <c r="G11" s="5">
        <f>(E11/5)/(6.8*10^3)</f>
        <v>1.8823529411764705E-10</v>
      </c>
      <c r="H11" s="3">
        <v>2.9609999999999999</v>
      </c>
      <c r="I11" s="3">
        <f>890*10^-9</f>
        <v>8.9000000000000006E-7</v>
      </c>
      <c r="J11" s="3">
        <f>6.16*10^-6</f>
        <v>6.1599999999999995E-6</v>
      </c>
      <c r="K11" s="4">
        <f>(I11/5)/(6.8*10^3)</f>
        <v>2.6176470588235296E-11</v>
      </c>
      <c r="L11" s="5">
        <f>(J11/5)/(6.8*10^3)</f>
        <v>1.8117647058823526E-10</v>
      </c>
      <c r="M11" s="3">
        <v>2.7610000000000001</v>
      </c>
      <c r="N11" s="3">
        <f>1.08*10^-6</f>
        <v>1.08E-6</v>
      </c>
      <c r="O11" s="3">
        <f>9.5*10^-6</f>
        <v>9.4999999999999988E-6</v>
      </c>
      <c r="P11" s="4">
        <f>(N11/5)/(6.8*10^3)</f>
        <v>3.1764705882352943E-11</v>
      </c>
      <c r="Q11" s="5">
        <f>(O11/5)/(6.8*10^3)</f>
        <v>2.7941176470588231E-10</v>
      </c>
    </row>
    <row r="12" spans="1:17" ht="15.75" x14ac:dyDescent="0.25">
      <c r="B12" s="18"/>
      <c r="C12" s="3">
        <f>2.121</f>
        <v>2.121</v>
      </c>
      <c r="D12" s="3">
        <f>930*10^-9</f>
        <v>9.300000000000001E-7</v>
      </c>
      <c r="E12" s="3">
        <f>7.44*10^-6</f>
        <v>7.4399999999999999E-6</v>
      </c>
      <c r="F12" s="4">
        <f t="shared" ref="F12:G15" si="4">(D12/5)/(6.8*10^3)</f>
        <v>2.7352941176470592E-11</v>
      </c>
      <c r="G12" s="5">
        <f t="shared" si="4"/>
        <v>2.1882352941176471E-10</v>
      </c>
      <c r="H12" s="3">
        <v>2.9609999999999999</v>
      </c>
      <c r="I12" s="3">
        <f>890*10^-9</f>
        <v>8.9000000000000006E-7</v>
      </c>
      <c r="J12" s="3">
        <f>5.34*10^-6</f>
        <v>5.3399999999999997E-6</v>
      </c>
      <c r="K12" s="4">
        <f t="shared" ref="K12:L15" si="5">(I12/5)/(6.8*10^3)</f>
        <v>2.6176470588235296E-11</v>
      </c>
      <c r="L12" s="5">
        <f t="shared" si="5"/>
        <v>1.5705882352941177E-10</v>
      </c>
      <c r="M12" s="3">
        <v>2.7210000000000001</v>
      </c>
      <c r="N12" s="3">
        <f>1.07*10^-6</f>
        <v>1.0699999999999999E-6</v>
      </c>
      <c r="O12" s="3">
        <f>10.22*10^-6</f>
        <v>1.022E-5</v>
      </c>
      <c r="P12" s="4">
        <f t="shared" ref="P12:Q15" si="6">(N12/5)/(6.8*10^3)</f>
        <v>3.1470588235294116E-11</v>
      </c>
      <c r="Q12" s="5">
        <f t="shared" si="6"/>
        <v>3.005882352941177E-10</v>
      </c>
    </row>
    <row r="13" spans="1:17" ht="15.75" x14ac:dyDescent="0.25">
      <c r="B13" s="18"/>
      <c r="C13" s="3">
        <v>3.0409999999999999</v>
      </c>
      <c r="D13" s="3">
        <f>1.03*10^-6</f>
        <v>1.0299999999999999E-6</v>
      </c>
      <c r="E13" s="3">
        <f>6.12*10^-6</f>
        <v>6.1199999999999999E-6</v>
      </c>
      <c r="F13" s="4">
        <f t="shared" si="4"/>
        <v>3.029411764705882E-11</v>
      </c>
      <c r="G13" s="5">
        <f t="shared" si="4"/>
        <v>1.8E-10</v>
      </c>
      <c r="H13" s="3">
        <v>2.9609999999999999</v>
      </c>
      <c r="I13" s="3">
        <f>770*10^-9</f>
        <v>7.7000000000000004E-7</v>
      </c>
      <c r="J13" s="3">
        <f>6.8*10^-6</f>
        <v>6.7999999999999993E-6</v>
      </c>
      <c r="K13" s="4">
        <f t="shared" si="5"/>
        <v>2.2647058823529413E-11</v>
      </c>
      <c r="L13" s="5">
        <f t="shared" si="5"/>
        <v>1.9999999999999998E-10</v>
      </c>
      <c r="M13" s="3">
        <v>2.7210000000000001</v>
      </c>
      <c r="N13" s="3">
        <f>1.06*10^-6</f>
        <v>1.06E-6</v>
      </c>
      <c r="O13" s="3">
        <f>10*10^-6</f>
        <v>9.9999999999999991E-6</v>
      </c>
      <c r="P13" s="4">
        <f t="shared" si="6"/>
        <v>3.1176470588235295E-11</v>
      </c>
      <c r="Q13" s="5">
        <f t="shared" si="6"/>
        <v>2.9411764705882351E-10</v>
      </c>
    </row>
    <row r="14" spans="1:17" ht="15.75" x14ac:dyDescent="0.25">
      <c r="B14" s="18"/>
      <c r="C14" s="3">
        <v>2.081</v>
      </c>
      <c r="D14" s="3">
        <f>910*10^-9</f>
        <v>9.1000000000000008E-7</v>
      </c>
      <c r="E14" s="3">
        <f>6.08*10^-6</f>
        <v>6.0799999999999994E-6</v>
      </c>
      <c r="F14" s="4">
        <f t="shared" si="4"/>
        <v>2.6764705882352944E-11</v>
      </c>
      <c r="G14" s="5">
        <f t="shared" si="4"/>
        <v>1.7882352941176469E-10</v>
      </c>
      <c r="H14" s="3">
        <v>3.0409999999999999</v>
      </c>
      <c r="I14" s="3">
        <f>830*10^-9</f>
        <v>8.300000000000001E-7</v>
      </c>
      <c r="J14" s="3">
        <f>5.38*10^-6</f>
        <v>5.3799999999999993E-6</v>
      </c>
      <c r="K14" s="4">
        <f t="shared" si="5"/>
        <v>2.4411764705882356E-11</v>
      </c>
      <c r="L14" s="5">
        <f t="shared" si="5"/>
        <v>1.5823529411764705E-10</v>
      </c>
      <c r="M14" s="3">
        <v>2.7610000000000001</v>
      </c>
      <c r="N14" s="3">
        <f>1.11*10^-6</f>
        <v>1.11E-6</v>
      </c>
      <c r="O14" s="3">
        <f>9.36*10^-6</f>
        <v>9.3599999999999985E-6</v>
      </c>
      <c r="P14" s="4">
        <f t="shared" si="6"/>
        <v>3.2647058823529411E-11</v>
      </c>
      <c r="Q14" s="5">
        <f t="shared" si="6"/>
        <v>2.7529411764705878E-10</v>
      </c>
    </row>
    <row r="15" spans="1:17" ht="15.75" x14ac:dyDescent="0.25">
      <c r="B15" s="7"/>
      <c r="C15" s="3">
        <v>3.0409999999999999</v>
      </c>
      <c r="D15" s="3">
        <f>890*10^-9</f>
        <v>8.9000000000000006E-7</v>
      </c>
      <c r="E15" s="3">
        <f>6.54*10^-6</f>
        <v>6.5400000000000001E-6</v>
      </c>
      <c r="F15" s="4">
        <f t="shared" si="4"/>
        <v>2.6176470588235296E-11</v>
      </c>
      <c r="G15" s="5">
        <f t="shared" si="4"/>
        <v>1.9235294117647058E-10</v>
      </c>
      <c r="H15" s="3">
        <v>3.0409999999999999</v>
      </c>
      <c r="I15" s="3">
        <f>770*10^-9</f>
        <v>7.7000000000000004E-7</v>
      </c>
      <c r="J15" s="3">
        <f>6.8*10^-6</f>
        <v>6.7999999999999993E-6</v>
      </c>
      <c r="K15" s="4">
        <f t="shared" si="5"/>
        <v>2.2647058823529413E-11</v>
      </c>
      <c r="L15" s="5">
        <f t="shared" si="5"/>
        <v>1.9999999999999998E-10</v>
      </c>
      <c r="M15" s="3">
        <v>2.681</v>
      </c>
      <c r="N15" s="3">
        <f>1.15*10^-6</f>
        <v>1.1499999999999998E-6</v>
      </c>
      <c r="O15" s="3">
        <f>9.42*10^-6</f>
        <v>9.4199999999999996E-6</v>
      </c>
      <c r="P15" s="4">
        <f t="shared" si="6"/>
        <v>3.38235294117647E-11</v>
      </c>
      <c r="Q15" s="5">
        <f t="shared" si="6"/>
        <v>2.7705882352941174E-10</v>
      </c>
    </row>
    <row r="16" spans="1:17" x14ac:dyDescent="0.25">
      <c r="B16" s="8" t="s">
        <v>7</v>
      </c>
      <c r="C16" s="9">
        <f>AVERAGE(C11:C15)</f>
        <v>2.665</v>
      </c>
      <c r="D16" s="6">
        <f t="shared" ref="D16:Q16" si="7">AVERAGE(D11:D15)</f>
        <v>9.1800000000000004E-7</v>
      </c>
      <c r="E16" s="6">
        <f t="shared" si="7"/>
        <v>6.5159999999999991E-6</v>
      </c>
      <c r="F16" s="6">
        <f t="shared" si="7"/>
        <v>2.7E-11</v>
      </c>
      <c r="G16" s="6">
        <f t="shared" si="7"/>
        <v>1.9164705882352939E-10</v>
      </c>
      <c r="H16" s="6">
        <f t="shared" si="7"/>
        <v>2.9929999999999999</v>
      </c>
      <c r="I16" s="6">
        <f t="shared" si="7"/>
        <v>8.2999999999999999E-7</v>
      </c>
      <c r="J16" s="9">
        <f t="shared" si="7"/>
        <v>6.0959999999999989E-6</v>
      </c>
      <c r="K16" s="6">
        <f t="shared" si="7"/>
        <v>2.4411764705882353E-11</v>
      </c>
      <c r="L16" s="6">
        <f t="shared" si="7"/>
        <v>1.7929411764705883E-10</v>
      </c>
      <c r="M16" s="9">
        <f t="shared" si="7"/>
        <v>2.7290000000000001</v>
      </c>
      <c r="N16" s="6">
        <f t="shared" si="7"/>
        <v>1.0939999999999998E-6</v>
      </c>
      <c r="O16" s="9">
        <f t="shared" si="7"/>
        <v>9.7000000000000003E-6</v>
      </c>
      <c r="P16" s="6">
        <f t="shared" si="7"/>
        <v>3.2176470588235292E-11</v>
      </c>
      <c r="Q16" s="6">
        <f t="shared" si="7"/>
        <v>2.8529411764705885E-10</v>
      </c>
    </row>
    <row r="17" spans="1:17" ht="15.75" x14ac:dyDescent="0.25">
      <c r="A17" t="s">
        <v>17</v>
      </c>
      <c r="B17" s="17">
        <v>1</v>
      </c>
      <c r="C17" s="3">
        <v>1.7609999999999999</v>
      </c>
      <c r="D17" s="3">
        <f>1.16*10^-6</f>
        <v>1.1599999999999999E-6</v>
      </c>
      <c r="E17" s="3">
        <f>7.44*10^-6</f>
        <v>7.4399999999999999E-6</v>
      </c>
      <c r="F17" s="4">
        <f>(D17/5)/(6.8*10^3)</f>
        <v>3.4117647058823527E-11</v>
      </c>
      <c r="G17" s="5">
        <f>(E17/5)/(6.8*10^3)</f>
        <v>2.1882352941176471E-10</v>
      </c>
      <c r="H17" s="3">
        <v>1.8009999999999999</v>
      </c>
      <c r="I17" s="3">
        <f>1.28*10^-6</f>
        <v>1.28E-6</v>
      </c>
      <c r="J17" s="3">
        <f>6.66*10^-6</f>
        <v>6.6599999999999998E-6</v>
      </c>
      <c r="K17" s="4">
        <f>(I17/5)/(6.8*10^3)</f>
        <v>3.7647058823529413E-11</v>
      </c>
      <c r="L17" s="5">
        <f>(J17/5)/(6.8*10^3)</f>
        <v>1.9588235294117645E-10</v>
      </c>
      <c r="M17" s="3">
        <v>1.5409999999999999</v>
      </c>
      <c r="N17" s="3">
        <f>1.44*10^-6</f>
        <v>1.44E-6</v>
      </c>
      <c r="O17" s="3">
        <f>7.76*10^-6</f>
        <v>7.7600000000000002E-6</v>
      </c>
      <c r="P17" s="4">
        <f>(N17/5)/(6.8*10^3)</f>
        <v>4.2352941176470588E-11</v>
      </c>
      <c r="Q17" s="5">
        <f>(O17/5)/(6.8*10^3)</f>
        <v>2.2823529411764707E-10</v>
      </c>
    </row>
    <row r="18" spans="1:17" ht="15.75" x14ac:dyDescent="0.25">
      <c r="B18" s="18"/>
      <c r="C18" s="3">
        <v>1.7210000000000001</v>
      </c>
      <c r="D18" s="3">
        <f>1.29*10^-6</f>
        <v>1.2899999999999999E-6</v>
      </c>
      <c r="E18" s="3">
        <f>6.24*10^-6</f>
        <v>6.2399999999999995E-6</v>
      </c>
      <c r="F18" s="4">
        <f t="shared" ref="F18:G21" si="8">(D18/5)/(6.8*10^3)</f>
        <v>3.7941176470588234E-11</v>
      </c>
      <c r="G18" s="5">
        <f t="shared" si="8"/>
        <v>1.8352941176470587E-10</v>
      </c>
      <c r="H18" s="3">
        <v>1.8009999999999999</v>
      </c>
      <c r="I18" s="3">
        <f>1.1*10^-6</f>
        <v>1.1000000000000001E-6</v>
      </c>
      <c r="J18" s="3">
        <f>7.74*10^-6</f>
        <v>7.7400000000000004E-6</v>
      </c>
      <c r="K18" s="4">
        <f t="shared" ref="K18:L21" si="9">(I18/5)/(6.8*10^3)</f>
        <v>3.2352941176470591E-11</v>
      </c>
      <c r="L18" s="5">
        <f t="shared" si="9"/>
        <v>2.2764705882352942E-10</v>
      </c>
      <c r="M18" s="3">
        <v>1.5209999999999999</v>
      </c>
      <c r="N18" s="3">
        <f>1.49*10^-6</f>
        <v>1.4899999999999999E-6</v>
      </c>
      <c r="O18" s="3">
        <f>8.14*10^-6</f>
        <v>8.14E-6</v>
      </c>
      <c r="P18" s="4">
        <f t="shared" ref="P18:Q21" si="10">(N18/5)/(6.8*10^3)</f>
        <v>4.3823529411764704E-11</v>
      </c>
      <c r="Q18" s="5">
        <f t="shared" si="10"/>
        <v>2.3941176470588234E-10</v>
      </c>
    </row>
    <row r="19" spans="1:17" ht="15.75" x14ac:dyDescent="0.25">
      <c r="B19" s="18"/>
      <c r="C19" s="3">
        <v>1.681</v>
      </c>
      <c r="D19" s="3">
        <f>1.23*10^-6</f>
        <v>1.2299999999999999E-6</v>
      </c>
      <c r="E19" s="3">
        <f>6.5*10^-6</f>
        <v>6.4999999999999996E-6</v>
      </c>
      <c r="F19" s="4">
        <f t="shared" si="8"/>
        <v>3.6176470588235284E-11</v>
      </c>
      <c r="G19" s="5">
        <f t="shared" si="8"/>
        <v>1.9117647058823527E-10</v>
      </c>
      <c r="H19" s="3">
        <v>1.7609999999999999</v>
      </c>
      <c r="I19" s="3">
        <f>1.21*10^-6</f>
        <v>1.2099999999999998E-6</v>
      </c>
      <c r="J19" s="3">
        <f>5.9*10^-6</f>
        <v>5.9000000000000003E-6</v>
      </c>
      <c r="K19" s="4">
        <f t="shared" si="9"/>
        <v>3.5588235294117643E-11</v>
      </c>
      <c r="L19" s="5">
        <f t="shared" si="9"/>
        <v>1.7352941176470591E-10</v>
      </c>
      <c r="M19" s="3">
        <v>1.4810000000000001</v>
      </c>
      <c r="N19" s="3">
        <f>1.36*10^-6</f>
        <v>1.3600000000000001E-6</v>
      </c>
      <c r="O19" s="3">
        <f>7.22*10^-6</f>
        <v>7.2199999999999995E-6</v>
      </c>
      <c r="P19" s="4">
        <f t="shared" si="10"/>
        <v>3.9999999999999998E-11</v>
      </c>
      <c r="Q19" s="5">
        <f t="shared" si="10"/>
        <v>2.1235294117647056E-10</v>
      </c>
    </row>
    <row r="20" spans="1:17" ht="15.75" x14ac:dyDescent="0.25">
      <c r="B20" s="18"/>
      <c r="C20" s="3">
        <v>1.7809999999999999</v>
      </c>
      <c r="D20" s="3">
        <f>1.32*10^-6</f>
        <v>1.3200000000000001E-6</v>
      </c>
      <c r="E20" s="3">
        <f>6.42*10^-6</f>
        <v>6.4199999999999995E-6</v>
      </c>
      <c r="F20" s="4">
        <f t="shared" si="8"/>
        <v>3.8823529411764709E-11</v>
      </c>
      <c r="G20" s="5">
        <f t="shared" si="8"/>
        <v>1.8882352941176468E-10</v>
      </c>
      <c r="H20" s="3">
        <v>1.7809999999999999</v>
      </c>
      <c r="I20" s="3">
        <f>1.29*10^-6</f>
        <v>1.2899999999999999E-6</v>
      </c>
      <c r="J20" s="3">
        <f>5.8*10^-6</f>
        <v>5.7999999999999995E-6</v>
      </c>
      <c r="K20" s="4">
        <f t="shared" si="9"/>
        <v>3.7941176470588234E-11</v>
      </c>
      <c r="L20" s="5">
        <f t="shared" si="9"/>
        <v>1.7058823529411764E-10</v>
      </c>
      <c r="M20" s="3">
        <v>1.5409999999999999</v>
      </c>
      <c r="N20" s="3">
        <f>1.24*10^-6</f>
        <v>1.24E-6</v>
      </c>
      <c r="O20" s="3">
        <f>8.76*10^-6</f>
        <v>8.7599999999999991E-6</v>
      </c>
      <c r="P20" s="4">
        <f t="shared" si="10"/>
        <v>3.6470588235294118E-11</v>
      </c>
      <c r="Q20" s="5">
        <f t="shared" si="10"/>
        <v>2.5764705882352942E-10</v>
      </c>
    </row>
    <row r="21" spans="1:17" ht="15.75" x14ac:dyDescent="0.25">
      <c r="B21" s="7"/>
      <c r="C21" s="3">
        <v>1.7410000000000001</v>
      </c>
      <c r="D21" s="3">
        <f>1.11*10^-6</f>
        <v>1.11E-6</v>
      </c>
      <c r="E21" s="3">
        <f>6.32*10^-6</f>
        <v>6.3199999999999996E-6</v>
      </c>
      <c r="F21" s="4">
        <f t="shared" si="8"/>
        <v>3.2647058823529411E-11</v>
      </c>
      <c r="G21" s="5">
        <f t="shared" si="8"/>
        <v>1.8588235294117646E-10</v>
      </c>
      <c r="H21" s="3">
        <v>1.7210000000000001</v>
      </c>
      <c r="I21" s="3">
        <f>1.33*10^-6</f>
        <v>1.33E-6</v>
      </c>
      <c r="J21" s="3">
        <f>6.32*10^-6</f>
        <v>6.3199999999999996E-6</v>
      </c>
      <c r="K21" s="4">
        <f t="shared" si="9"/>
        <v>3.9117647058823523E-11</v>
      </c>
      <c r="L21" s="5">
        <f t="shared" si="9"/>
        <v>1.8588235294117646E-10</v>
      </c>
      <c r="M21" s="3">
        <v>1.4610000000000001</v>
      </c>
      <c r="N21" s="3">
        <f>1.24*10^-6</f>
        <v>1.24E-6</v>
      </c>
      <c r="O21" s="3">
        <f>7.76*10^-6</f>
        <v>7.7600000000000002E-6</v>
      </c>
      <c r="P21" s="4">
        <f t="shared" si="10"/>
        <v>3.6470588235294118E-11</v>
      </c>
      <c r="Q21" s="5">
        <f t="shared" si="10"/>
        <v>2.2823529411764707E-10</v>
      </c>
    </row>
    <row r="22" spans="1:17" x14ac:dyDescent="0.25">
      <c r="B22" s="6" t="s">
        <v>7</v>
      </c>
      <c r="C22" s="6">
        <f>AVERAGE(C17:C21)</f>
        <v>1.7370000000000001</v>
      </c>
      <c r="D22" s="6">
        <f t="shared" ref="D22:G22" si="11">AVERAGE(D17:D21)</f>
        <v>1.2219999999999999E-6</v>
      </c>
      <c r="E22" s="6">
        <f t="shared" si="11"/>
        <v>6.5839999999999991E-6</v>
      </c>
      <c r="F22" s="6">
        <f t="shared" si="11"/>
        <v>3.5941176470588234E-11</v>
      </c>
      <c r="G22" s="6">
        <f t="shared" si="11"/>
        <v>1.936470588235294E-10</v>
      </c>
      <c r="H22" s="6">
        <f>AVERAGE(H17:H21)</f>
        <v>1.7729999999999997</v>
      </c>
      <c r="I22" s="6">
        <f t="shared" ref="I22:L22" si="12">AVERAGE(I17:I21)</f>
        <v>1.2419999999999999E-6</v>
      </c>
      <c r="J22" s="6">
        <f t="shared" si="12"/>
        <v>6.4839999999999992E-6</v>
      </c>
      <c r="K22" s="6">
        <f t="shared" si="12"/>
        <v>3.6529411764705882E-11</v>
      </c>
      <c r="L22" s="6">
        <f t="shared" si="12"/>
        <v>1.9070588235294116E-10</v>
      </c>
      <c r="M22" s="6">
        <f>AVERAGE(M17:M21)</f>
        <v>1.5089999999999999</v>
      </c>
      <c r="N22" s="6">
        <f t="shared" ref="N22:Q22" si="13">AVERAGE(N17:N21)</f>
        <v>1.3539999999999999E-6</v>
      </c>
      <c r="O22" s="6">
        <f t="shared" si="13"/>
        <v>7.9279999999999993E-6</v>
      </c>
      <c r="P22" s="6">
        <f t="shared" si="13"/>
        <v>3.9823529411764705E-11</v>
      </c>
      <c r="Q22" s="6">
        <f t="shared" si="13"/>
        <v>2.3317647058823528E-10</v>
      </c>
    </row>
    <row r="23" spans="1:17" ht="15.75" x14ac:dyDescent="0.25">
      <c r="A23" s="14"/>
      <c r="B23" s="19"/>
      <c r="C23" s="12"/>
      <c r="D23" s="12"/>
      <c r="E23" s="12"/>
      <c r="F23" s="13"/>
      <c r="G23" s="13"/>
      <c r="H23" s="12"/>
      <c r="I23" s="12"/>
      <c r="J23" s="12"/>
      <c r="K23" s="13"/>
      <c r="L23" s="13"/>
      <c r="M23" s="12"/>
      <c r="N23" s="12"/>
      <c r="O23" s="12"/>
      <c r="P23" s="13"/>
      <c r="Q23" s="13"/>
    </row>
    <row r="24" spans="1:17" ht="15.75" x14ac:dyDescent="0.25">
      <c r="A24" s="14"/>
      <c r="B24" s="12"/>
      <c r="C24" s="12"/>
      <c r="D24" s="12"/>
      <c r="E24" s="12"/>
      <c r="F24" s="13"/>
      <c r="G24" s="13"/>
      <c r="H24" s="12"/>
      <c r="I24" s="12"/>
      <c r="J24" s="12"/>
      <c r="K24" s="13"/>
      <c r="L24" s="13"/>
      <c r="M24" s="12"/>
      <c r="N24" s="12"/>
      <c r="O24" s="12"/>
      <c r="P24" s="13"/>
      <c r="Q24" s="13"/>
    </row>
    <row r="25" spans="1:17" ht="15.75" x14ac:dyDescent="0.25">
      <c r="A25" s="14"/>
      <c r="B25" s="12"/>
      <c r="C25" s="12"/>
      <c r="D25" s="12"/>
      <c r="E25" s="12"/>
      <c r="F25" s="13"/>
      <c r="G25" s="13"/>
      <c r="H25" s="12"/>
      <c r="I25" s="12"/>
      <c r="J25" s="12"/>
      <c r="K25" s="13"/>
      <c r="L25" s="13"/>
      <c r="M25" s="12"/>
      <c r="N25" s="12"/>
      <c r="O25" s="12"/>
      <c r="P25" s="13"/>
      <c r="Q25" s="13"/>
    </row>
    <row r="26" spans="1:17" ht="15.75" x14ac:dyDescent="0.25">
      <c r="A26" s="14"/>
      <c r="B26" s="12"/>
      <c r="C26" s="12"/>
      <c r="D26" s="12"/>
      <c r="E26" s="12"/>
      <c r="F26" s="13"/>
      <c r="G26" s="13"/>
      <c r="H26" s="12"/>
      <c r="I26" s="12"/>
      <c r="J26" s="12"/>
      <c r="K26" s="13"/>
      <c r="L26" s="13"/>
      <c r="M26" s="12"/>
      <c r="N26" s="12"/>
      <c r="O26" s="12"/>
      <c r="P26" s="13"/>
      <c r="Q26" s="13"/>
    </row>
    <row r="27" spans="1:17" ht="15.75" x14ac:dyDescent="0.25">
      <c r="A27" s="14"/>
      <c r="B27" s="12"/>
      <c r="C27" s="12"/>
      <c r="D27" s="12"/>
      <c r="E27" s="12"/>
      <c r="F27" s="13"/>
      <c r="G27" s="13"/>
      <c r="H27" s="12"/>
      <c r="I27" s="12"/>
      <c r="J27" s="12"/>
      <c r="K27" s="13"/>
      <c r="L27" s="13"/>
      <c r="M27" s="12"/>
      <c r="N27" s="12"/>
      <c r="O27" s="12"/>
      <c r="P27" s="13"/>
      <c r="Q27" s="13"/>
    </row>
    <row r="28" spans="1:17" x14ac:dyDescent="0.2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17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7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1:17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17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</row>
  </sheetData>
  <mergeCells count="4">
    <mergeCell ref="B3:B4"/>
    <mergeCell ref="C3:G3"/>
    <mergeCell ref="H3:L3"/>
    <mergeCell ref="M3:Q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opLeftCell="A28" workbookViewId="0">
      <selection activeCell="N22" sqref="N22"/>
    </sheetView>
  </sheetViews>
  <sheetFormatPr defaultColWidth="8.85546875" defaultRowHeight="15" x14ac:dyDescent="0.25"/>
  <cols>
    <col min="1" max="1" width="15.140625" bestFit="1" customWidth="1"/>
    <col min="4" max="5" width="12.42578125" bestFit="1" customWidth="1"/>
    <col min="9" max="10" width="12.42578125" bestFit="1" customWidth="1"/>
    <col min="14" max="14" width="13.7109375" bestFit="1" customWidth="1"/>
    <col min="15" max="15" width="12.42578125" bestFit="1" customWidth="1"/>
  </cols>
  <sheetData>
    <row r="1" spans="1:17" x14ac:dyDescent="0.25">
      <c r="A1" t="s">
        <v>10</v>
      </c>
      <c r="B1" t="s">
        <v>11</v>
      </c>
      <c r="C1" t="s">
        <v>27</v>
      </c>
      <c r="D1" t="s">
        <v>13</v>
      </c>
      <c r="E1" t="s">
        <v>14</v>
      </c>
      <c r="G1" t="s">
        <v>28</v>
      </c>
    </row>
    <row r="3" spans="1:17" ht="15.75" x14ac:dyDescent="0.25">
      <c r="B3" s="24" t="s">
        <v>0</v>
      </c>
      <c r="C3" s="26" t="s">
        <v>1</v>
      </c>
      <c r="D3" s="27"/>
      <c r="E3" s="27"/>
      <c r="F3" s="27"/>
      <c r="G3" s="28"/>
      <c r="H3" s="29" t="s">
        <v>8</v>
      </c>
      <c r="I3" s="27"/>
      <c r="J3" s="27"/>
      <c r="K3" s="27"/>
      <c r="L3" s="28"/>
      <c r="M3" s="29" t="s">
        <v>9</v>
      </c>
      <c r="N3" s="27"/>
      <c r="O3" s="27"/>
      <c r="P3" s="27"/>
      <c r="Q3" s="28"/>
    </row>
    <row r="4" spans="1:17" ht="15.75" x14ac:dyDescent="0.25">
      <c r="B4" s="25"/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2</v>
      </c>
      <c r="I4" s="1" t="s">
        <v>3</v>
      </c>
      <c r="J4" s="1" t="s">
        <v>4</v>
      </c>
      <c r="K4" s="1" t="s">
        <v>5</v>
      </c>
      <c r="L4" s="1" t="s">
        <v>6</v>
      </c>
      <c r="M4" s="1" t="s">
        <v>2</v>
      </c>
      <c r="N4" s="1" t="s">
        <v>3</v>
      </c>
      <c r="O4" s="1" t="s">
        <v>4</v>
      </c>
      <c r="P4" s="1" t="s">
        <v>5</v>
      </c>
      <c r="Q4" s="10" t="s">
        <v>6</v>
      </c>
    </row>
    <row r="5" spans="1:17" ht="15.75" x14ac:dyDescent="0.25">
      <c r="A5" t="s">
        <v>15</v>
      </c>
      <c r="B5" s="17">
        <v>1</v>
      </c>
      <c r="C5" s="3">
        <v>3.3610000000000002</v>
      </c>
      <c r="D5" s="3">
        <f>910*10^-9</f>
        <v>9.1000000000000008E-7</v>
      </c>
      <c r="E5" s="3">
        <f>1.72*10^-6</f>
        <v>1.7199999999999998E-6</v>
      </c>
      <c r="F5" s="4">
        <f>(D5/5)/(6.8*10^3)</f>
        <v>2.6764705882352944E-11</v>
      </c>
      <c r="G5" s="5">
        <f>(E5/5)/(6.8*10^3)</f>
        <v>5.0588235294117643E-11</v>
      </c>
      <c r="H5" s="3">
        <v>3.3610000000000002</v>
      </c>
      <c r="I5" s="3">
        <f>1.03*10^-6</f>
        <v>1.0299999999999999E-6</v>
      </c>
      <c r="J5" s="3">
        <f>1.72*10^-6</f>
        <v>1.7199999999999998E-6</v>
      </c>
      <c r="K5" s="4">
        <f>(I5/5)/(6.8*10^3)</f>
        <v>3.029411764705882E-11</v>
      </c>
      <c r="L5" s="5">
        <f>(J5/5)/(6.8*10^3)</f>
        <v>5.0588235294117643E-11</v>
      </c>
      <c r="M5" s="3">
        <v>2.8410000000000002</v>
      </c>
      <c r="N5" s="3">
        <f>1.47*10^-6</f>
        <v>1.4699999999999999E-6</v>
      </c>
      <c r="O5" s="3">
        <f>16.46*10^-6</f>
        <v>1.6460000000000002E-5</v>
      </c>
      <c r="P5" s="4">
        <f>(N5/5)/(6.8*10^3)</f>
        <v>4.323529411764705E-11</v>
      </c>
      <c r="Q5" s="11">
        <f>(O5/5)/(6.8*10^3)</f>
        <v>4.8411764705882363E-10</v>
      </c>
    </row>
    <row r="6" spans="1:17" ht="15.75" x14ac:dyDescent="0.25">
      <c r="B6" s="18"/>
      <c r="C6" s="3">
        <v>3.4409999999999998</v>
      </c>
      <c r="D6" s="3">
        <f>1.09*10^-6</f>
        <v>1.0899999999999999E-6</v>
      </c>
      <c r="E6" s="3">
        <f>1.74*10^-6</f>
        <v>1.7399999999999999E-6</v>
      </c>
      <c r="F6" s="4">
        <f t="shared" ref="F6:G9" si="0">(D6/5)/(6.8*10^3)</f>
        <v>3.2058823529411763E-11</v>
      </c>
      <c r="G6" s="5">
        <f t="shared" si="0"/>
        <v>5.1176470588235291E-11</v>
      </c>
      <c r="H6" s="3">
        <v>3.4409999999999998</v>
      </c>
      <c r="I6" s="3">
        <f>800*10^-9</f>
        <v>8.0000000000000007E-7</v>
      </c>
      <c r="J6" s="3">
        <f>1.68*10^-6</f>
        <v>1.6799999999999998E-6</v>
      </c>
      <c r="K6" s="4">
        <f t="shared" ref="K6:L9" si="1">(I6/5)/(6.8*10^3)</f>
        <v>2.3529411764705882E-11</v>
      </c>
      <c r="L6" s="5">
        <f t="shared" si="1"/>
        <v>4.9411764705882341E-11</v>
      </c>
      <c r="M6" s="3">
        <v>2.8010000000000002</v>
      </c>
      <c r="N6" s="3">
        <f>1.85*10^-6</f>
        <v>1.8500000000000001E-6</v>
      </c>
      <c r="O6" s="3">
        <f>15.6*10^-6</f>
        <v>1.56E-5</v>
      </c>
      <c r="P6" s="4">
        <f t="shared" ref="P6:Q9" si="2">(N6/5)/(6.8*10^3)</f>
        <v>5.4411764705882356E-11</v>
      </c>
      <c r="Q6" s="5">
        <f t="shared" si="2"/>
        <v>4.5882352941176465E-10</v>
      </c>
    </row>
    <row r="7" spans="1:17" ht="15.75" x14ac:dyDescent="0.25">
      <c r="B7" s="18"/>
      <c r="C7" s="3">
        <v>3.4409999999999998</v>
      </c>
      <c r="D7" s="3">
        <f>910*10^-9</f>
        <v>9.1000000000000008E-7</v>
      </c>
      <c r="E7" s="3">
        <f>1.72*10^-6</f>
        <v>1.7199999999999998E-6</v>
      </c>
      <c r="F7" s="4">
        <f t="shared" si="0"/>
        <v>2.6764705882352944E-11</v>
      </c>
      <c r="G7" s="5">
        <f t="shared" si="0"/>
        <v>5.0588235294117643E-11</v>
      </c>
      <c r="H7" s="3">
        <v>3.4409999999999998</v>
      </c>
      <c r="I7" s="3">
        <f>830*10^-9</f>
        <v>8.300000000000001E-7</v>
      </c>
      <c r="J7" s="3">
        <f>1.62*10^-6</f>
        <v>1.6199999999999999E-6</v>
      </c>
      <c r="K7" s="4">
        <f t="shared" si="1"/>
        <v>2.4411764705882356E-11</v>
      </c>
      <c r="L7" s="5">
        <f t="shared" si="1"/>
        <v>4.7647058823529411E-11</v>
      </c>
      <c r="M7" s="3">
        <v>2.7210000000000001</v>
      </c>
      <c r="N7" s="3">
        <f>2.01*10^-6</f>
        <v>2.0099999999999998E-6</v>
      </c>
      <c r="O7" s="3">
        <f>14.9*10^-6</f>
        <v>1.49E-5</v>
      </c>
      <c r="P7" s="4">
        <f t="shared" si="2"/>
        <v>5.9117647058823531E-11</v>
      </c>
      <c r="Q7" s="5">
        <f t="shared" si="2"/>
        <v>4.3823529411764702E-10</v>
      </c>
    </row>
    <row r="8" spans="1:17" ht="15.75" x14ac:dyDescent="0.25">
      <c r="B8" s="18"/>
      <c r="C8" s="3">
        <v>3.3610000000000002</v>
      </c>
      <c r="D8" s="3">
        <f>1.16*10^-6</f>
        <v>1.1599999999999999E-6</v>
      </c>
      <c r="E8" s="3">
        <f>1.64*10^-6</f>
        <v>1.6399999999999998E-6</v>
      </c>
      <c r="F8" s="4">
        <f t="shared" si="0"/>
        <v>3.4117647058823527E-11</v>
      </c>
      <c r="G8" s="5">
        <f t="shared" si="0"/>
        <v>4.8235294117647052E-11</v>
      </c>
      <c r="H8" s="3">
        <v>3.4809999999999999</v>
      </c>
      <c r="I8" s="3">
        <f>960*10^-9</f>
        <v>9.6000000000000013E-7</v>
      </c>
      <c r="J8" s="3">
        <f>1.76*10^-6</f>
        <v>1.7599999999999999E-6</v>
      </c>
      <c r="K8" s="4">
        <f t="shared" si="1"/>
        <v>2.8235294117647063E-11</v>
      </c>
      <c r="L8" s="5">
        <f t="shared" si="1"/>
        <v>5.1764705882352938E-11</v>
      </c>
      <c r="M8" s="3">
        <v>2.8010000000000002</v>
      </c>
      <c r="N8" s="3">
        <f>2.01*10^-6</f>
        <v>2.0099999999999998E-6</v>
      </c>
      <c r="O8" s="3">
        <f>13.5*10^-6</f>
        <v>1.3499999999999999E-5</v>
      </c>
      <c r="P8" s="4">
        <f t="shared" si="2"/>
        <v>5.9117647058823531E-11</v>
      </c>
      <c r="Q8" s="5">
        <f t="shared" si="2"/>
        <v>3.9705882352941174E-10</v>
      </c>
    </row>
    <row r="9" spans="1:17" ht="15.75" x14ac:dyDescent="0.25">
      <c r="B9" s="18"/>
      <c r="C9" s="3">
        <v>3.4009999999999998</v>
      </c>
      <c r="D9" s="3">
        <f>830*10^-9</f>
        <v>8.300000000000001E-7</v>
      </c>
      <c r="E9" s="3">
        <f>1.7*10^-6</f>
        <v>1.6999999999999998E-6</v>
      </c>
      <c r="F9" s="4">
        <f t="shared" si="0"/>
        <v>2.4411764705882356E-11</v>
      </c>
      <c r="G9" s="5">
        <f t="shared" si="0"/>
        <v>4.9999999999999995E-11</v>
      </c>
      <c r="H9" s="3">
        <v>3.4409999999999998</v>
      </c>
      <c r="I9" s="3">
        <f>910*10^-9</f>
        <v>9.1000000000000008E-7</v>
      </c>
      <c r="J9" s="3">
        <f>1.68*10^-6</f>
        <v>1.6799999999999998E-6</v>
      </c>
      <c r="K9" s="4">
        <f t="shared" si="1"/>
        <v>2.6764705882352944E-11</v>
      </c>
      <c r="L9" s="5">
        <f t="shared" si="1"/>
        <v>4.9411764705882341E-11</v>
      </c>
      <c r="M9" s="3">
        <v>2.8010000000000002</v>
      </c>
      <c r="N9" s="3">
        <f>1.98*10^-6</f>
        <v>1.9800000000000001E-6</v>
      </c>
      <c r="O9" s="3">
        <f>16.1*10^-6</f>
        <v>1.6100000000000002E-5</v>
      </c>
      <c r="P9" s="4">
        <f t="shared" si="2"/>
        <v>5.8235294117647063E-11</v>
      </c>
      <c r="Q9" s="5">
        <f t="shared" si="2"/>
        <v>4.7352941176470596E-10</v>
      </c>
    </row>
    <row r="10" spans="1:17" x14ac:dyDescent="0.25">
      <c r="B10" s="6" t="s">
        <v>7</v>
      </c>
      <c r="C10" s="6">
        <f>AVERAGE(C5:C9)</f>
        <v>3.4009999999999998</v>
      </c>
      <c r="D10" s="6">
        <f t="shared" ref="D10:Q10" si="3">AVERAGE(D5:D9)</f>
        <v>9.8000000000000015E-7</v>
      </c>
      <c r="E10" s="6">
        <f t="shared" si="3"/>
        <v>1.7039999999999999E-6</v>
      </c>
      <c r="F10" s="6">
        <f t="shared" si="3"/>
        <v>2.8823529411764708E-11</v>
      </c>
      <c r="G10" s="6">
        <f t="shared" si="3"/>
        <v>5.0117647058823524E-11</v>
      </c>
      <c r="H10" s="6">
        <f t="shared" si="3"/>
        <v>3.4329999999999998</v>
      </c>
      <c r="I10" s="6">
        <f t="shared" si="3"/>
        <v>9.0599999999999999E-7</v>
      </c>
      <c r="J10" s="6">
        <f t="shared" si="3"/>
        <v>1.6919999999999996E-6</v>
      </c>
      <c r="K10" s="6">
        <f t="shared" si="3"/>
        <v>2.6647058823529412E-11</v>
      </c>
      <c r="L10" s="6">
        <f t="shared" si="3"/>
        <v>4.9764705882352939E-11</v>
      </c>
      <c r="M10" s="6">
        <f t="shared" si="3"/>
        <v>2.7930000000000001</v>
      </c>
      <c r="N10" s="6">
        <f t="shared" si="3"/>
        <v>1.8639999999999999E-6</v>
      </c>
      <c r="O10" s="6">
        <f t="shared" si="3"/>
        <v>1.5311999999999998E-5</v>
      </c>
      <c r="P10" s="6">
        <f t="shared" si="3"/>
        <v>5.4823529411764705E-11</v>
      </c>
      <c r="Q10" s="6">
        <f t="shared" si="3"/>
        <v>4.5035294117647062E-10</v>
      </c>
    </row>
    <row r="11" spans="1:17" ht="15.75" x14ac:dyDescent="0.25">
      <c r="A11" t="s">
        <v>16</v>
      </c>
      <c r="B11" s="17">
        <v>1</v>
      </c>
      <c r="C11" s="3">
        <v>2.5209999999999999</v>
      </c>
      <c r="D11" s="3">
        <f>1.57*10^-6</f>
        <v>1.57E-6</v>
      </c>
      <c r="E11" s="3">
        <f>6.06*10^-6</f>
        <v>6.0599999999999996E-6</v>
      </c>
      <c r="F11" s="4">
        <f>(D11/5)/(6.8*10^3)</f>
        <v>4.6176470588235289E-11</v>
      </c>
      <c r="G11" s="5">
        <f>(E11/5)/(6.8*10^3)</f>
        <v>1.7823529411764706E-10</v>
      </c>
      <c r="H11" s="3">
        <v>2.601</v>
      </c>
      <c r="I11" s="3">
        <f>1.38*10^-6</f>
        <v>1.3799999999999999E-6</v>
      </c>
      <c r="J11" s="3">
        <f>4.28*10^-6</f>
        <v>4.2799999999999997E-6</v>
      </c>
      <c r="K11" s="4">
        <f>(I11/5)/(6.8*10^3)</f>
        <v>4.0588235294117645E-11</v>
      </c>
      <c r="L11" s="5">
        <f>(J11/5)/(6.8*10^3)</f>
        <v>1.2588235294117646E-10</v>
      </c>
      <c r="M11" s="3">
        <v>2.161</v>
      </c>
      <c r="N11" s="3">
        <f>1.56*10^-6</f>
        <v>1.5599999999999999E-6</v>
      </c>
      <c r="O11" s="3">
        <f>8.22*10^-6</f>
        <v>8.2200000000000009E-6</v>
      </c>
      <c r="P11" s="4">
        <f>(N11/5)/(6.8*10^3)</f>
        <v>4.5882352941176468E-11</v>
      </c>
      <c r="Q11" s="5">
        <f>(O11/5)/(6.8*10^3)</f>
        <v>2.4176470588235296E-10</v>
      </c>
    </row>
    <row r="12" spans="1:17" ht="15.75" x14ac:dyDescent="0.25">
      <c r="B12" s="18"/>
      <c r="C12" s="3">
        <v>2.4809999999999999</v>
      </c>
      <c r="D12" s="3">
        <f>1.45*10^-6</f>
        <v>1.4499999999999999E-6</v>
      </c>
      <c r="E12" s="3">
        <f>5.92*10^-6</f>
        <v>5.9200000000000001E-6</v>
      </c>
      <c r="F12" s="4">
        <f t="shared" ref="F12:G15" si="4">(D12/5)/(6.8*10^3)</f>
        <v>4.2647058823529409E-11</v>
      </c>
      <c r="G12" s="5">
        <f t="shared" si="4"/>
        <v>1.7411764705882353E-10</v>
      </c>
      <c r="H12" s="3">
        <v>2.601</v>
      </c>
      <c r="I12" s="3">
        <f>1.24*10^-6</f>
        <v>1.24E-6</v>
      </c>
      <c r="J12" s="3">
        <f>5.08*10^-6</f>
        <v>5.0799999999999996E-6</v>
      </c>
      <c r="K12" s="4">
        <f t="shared" ref="K12:L15" si="5">(I12/5)/(6.8*10^3)</f>
        <v>3.6470588235294118E-11</v>
      </c>
      <c r="L12" s="5">
        <f t="shared" si="5"/>
        <v>1.4941176470588234E-10</v>
      </c>
      <c r="M12" s="3">
        <v>2.161</v>
      </c>
      <c r="N12" s="3">
        <f>1.6*10^-6</f>
        <v>1.5999999999999999E-6</v>
      </c>
      <c r="O12" s="3">
        <f>7.8*10^-6</f>
        <v>7.7999999999999999E-6</v>
      </c>
      <c r="P12" s="4">
        <f t="shared" ref="P12:Q15" si="6">(N12/5)/(6.8*10^3)</f>
        <v>4.7058823529411763E-11</v>
      </c>
      <c r="Q12" s="5">
        <f t="shared" si="6"/>
        <v>2.2941176470588233E-10</v>
      </c>
    </row>
    <row r="13" spans="1:17" ht="15.75" x14ac:dyDescent="0.25">
      <c r="B13" s="18"/>
      <c r="C13" s="3">
        <v>2.5209999999999999</v>
      </c>
      <c r="D13" s="3">
        <f>1.4*10^-6</f>
        <v>1.3999999999999999E-6</v>
      </c>
      <c r="E13" s="3">
        <f>5.82*10^-6</f>
        <v>5.8200000000000002E-6</v>
      </c>
      <c r="F13" s="4">
        <f t="shared" si="4"/>
        <v>4.1176470588235286E-11</v>
      </c>
      <c r="G13" s="5">
        <f t="shared" si="4"/>
        <v>1.7117647058823529E-10</v>
      </c>
      <c r="H13" s="3">
        <v>2.601</v>
      </c>
      <c r="I13" s="3">
        <f>1.44*10^-6</f>
        <v>1.44E-6</v>
      </c>
      <c r="J13" s="3">
        <f>4.96*10^-6</f>
        <v>4.9599999999999999E-6</v>
      </c>
      <c r="K13" s="4">
        <f t="shared" si="5"/>
        <v>4.2352941176470588E-11</v>
      </c>
      <c r="L13" s="5">
        <f t="shared" si="5"/>
        <v>1.4588235294117647E-10</v>
      </c>
      <c r="M13" s="3">
        <v>2.081</v>
      </c>
      <c r="N13" s="3">
        <f>1.51*10^-6</f>
        <v>1.5099999999999999E-6</v>
      </c>
      <c r="O13" s="3">
        <f>10.48*10^-6</f>
        <v>1.048E-5</v>
      </c>
      <c r="P13" s="4">
        <f t="shared" si="6"/>
        <v>4.4411764705882352E-11</v>
      </c>
      <c r="Q13" s="5">
        <f t="shared" si="6"/>
        <v>3.0823529411764705E-10</v>
      </c>
    </row>
    <row r="14" spans="1:17" ht="15.75" x14ac:dyDescent="0.25">
      <c r="B14" s="18"/>
      <c r="C14" s="3">
        <v>2.5209999999999999</v>
      </c>
      <c r="D14" s="3">
        <f>1.6*10^-6</f>
        <v>1.5999999999999999E-6</v>
      </c>
      <c r="E14" s="3">
        <f>5.34*10^-6</f>
        <v>5.3399999999999997E-6</v>
      </c>
      <c r="F14" s="4">
        <f t="shared" si="4"/>
        <v>4.7058823529411763E-11</v>
      </c>
      <c r="G14" s="5">
        <f t="shared" si="4"/>
        <v>1.5705882352941177E-10</v>
      </c>
      <c r="H14" s="3">
        <v>2.601</v>
      </c>
      <c r="I14" s="3">
        <f>1.51*10^-6</f>
        <v>1.5099999999999999E-6</v>
      </c>
      <c r="J14" s="3">
        <f>4.58*10^-6</f>
        <v>4.5800000000000002E-6</v>
      </c>
      <c r="K14" s="4">
        <f t="shared" si="5"/>
        <v>4.4411764705882352E-11</v>
      </c>
      <c r="L14" s="5">
        <f t="shared" si="5"/>
        <v>1.3470588235294117E-10</v>
      </c>
      <c r="M14" s="3">
        <v>1.921</v>
      </c>
      <c r="N14" s="3">
        <f>1.27*10^-6</f>
        <v>1.2699999999999999E-6</v>
      </c>
      <c r="O14" s="3">
        <f>6.38*10^-6</f>
        <v>6.3799999999999999E-6</v>
      </c>
      <c r="P14" s="4">
        <f t="shared" si="6"/>
        <v>3.7352941176470586E-11</v>
      </c>
      <c r="Q14" s="5">
        <f t="shared" si="6"/>
        <v>1.876470588235294E-10</v>
      </c>
    </row>
    <row r="15" spans="1:17" ht="15.75" x14ac:dyDescent="0.25">
      <c r="B15" s="7"/>
      <c r="C15" s="3">
        <v>2.5209999999999999</v>
      </c>
      <c r="D15" s="3">
        <f>1.52*10^-6</f>
        <v>1.5199999999999998E-6</v>
      </c>
      <c r="E15" s="3">
        <f>5.64*10^-6</f>
        <v>5.6399999999999994E-6</v>
      </c>
      <c r="F15" s="4">
        <f t="shared" si="4"/>
        <v>4.4705882352941173E-11</v>
      </c>
      <c r="G15" s="5">
        <f t="shared" si="4"/>
        <v>1.6588235294117645E-10</v>
      </c>
      <c r="H15" s="3">
        <v>2.5609999999999999</v>
      </c>
      <c r="I15" s="3">
        <f>1.36*10^-6</f>
        <v>1.3600000000000001E-6</v>
      </c>
      <c r="J15" s="3">
        <f>4.82*10^-6</f>
        <v>4.8200000000000004E-6</v>
      </c>
      <c r="K15" s="4">
        <f t="shared" si="5"/>
        <v>3.9999999999999998E-11</v>
      </c>
      <c r="L15" s="5">
        <f t="shared" si="5"/>
        <v>1.4176470588235294E-10</v>
      </c>
      <c r="M15" s="3">
        <v>2.181</v>
      </c>
      <c r="N15" s="3">
        <f>1.67*10^-6</f>
        <v>1.6699999999999999E-6</v>
      </c>
      <c r="O15" s="3">
        <f>8.09*10^-6</f>
        <v>8.0899999999999988E-6</v>
      </c>
      <c r="P15" s="4">
        <f t="shared" si="6"/>
        <v>4.9117647058823527E-11</v>
      </c>
      <c r="Q15" s="5">
        <f t="shared" si="6"/>
        <v>2.3794117647058818E-10</v>
      </c>
    </row>
    <row r="16" spans="1:17" x14ac:dyDescent="0.25">
      <c r="B16" s="8" t="s">
        <v>7</v>
      </c>
      <c r="C16" s="9">
        <f>AVERAGE(C11:C15)</f>
        <v>2.5130000000000003</v>
      </c>
      <c r="D16" s="6">
        <f t="shared" ref="D16:Q16" si="7">AVERAGE(D11:D15)</f>
        <v>1.508E-6</v>
      </c>
      <c r="E16" s="6">
        <f t="shared" si="7"/>
        <v>5.7559999999999996E-6</v>
      </c>
      <c r="F16" s="6">
        <f t="shared" si="7"/>
        <v>4.4352941176470581E-11</v>
      </c>
      <c r="G16" s="6">
        <f t="shared" si="7"/>
        <v>1.6929411764705884E-10</v>
      </c>
      <c r="H16" s="6">
        <f t="shared" si="7"/>
        <v>2.593</v>
      </c>
      <c r="I16" s="6">
        <f t="shared" si="7"/>
        <v>1.3859999999999999E-6</v>
      </c>
      <c r="J16" s="9">
        <f t="shared" si="7"/>
        <v>4.7439999999999998E-6</v>
      </c>
      <c r="K16" s="6">
        <f t="shared" si="7"/>
        <v>4.0764705882352938E-11</v>
      </c>
      <c r="L16" s="6">
        <f t="shared" si="7"/>
        <v>1.3952941176470589E-10</v>
      </c>
      <c r="M16" s="9">
        <f t="shared" si="7"/>
        <v>2.101</v>
      </c>
      <c r="N16" s="6">
        <f t="shared" si="7"/>
        <v>1.5219999999999998E-6</v>
      </c>
      <c r="O16" s="9">
        <f t="shared" si="7"/>
        <v>8.1939999999999998E-6</v>
      </c>
      <c r="P16" s="6">
        <f t="shared" si="7"/>
        <v>4.4764705882352937E-11</v>
      </c>
      <c r="Q16" s="6">
        <f t="shared" si="7"/>
        <v>2.4099999999999999E-10</v>
      </c>
    </row>
    <row r="17" spans="1:17" ht="15.75" x14ac:dyDescent="0.25">
      <c r="A17" s="21" t="s">
        <v>17</v>
      </c>
      <c r="B17" s="17">
        <v>1</v>
      </c>
      <c r="C17" s="3">
        <v>1.2809999999999999</v>
      </c>
      <c r="D17" s="3">
        <f>910*10^-9</f>
        <v>9.1000000000000008E-7</v>
      </c>
      <c r="E17" s="3">
        <f>2.94*10^-6</f>
        <v>2.9399999999999998E-6</v>
      </c>
      <c r="F17" s="4">
        <f>(D17/5)/(6.8*10^3)</f>
        <v>2.6764705882352944E-11</v>
      </c>
      <c r="G17" s="5">
        <f>(E17/5)/(6.8*10^3)</f>
        <v>8.64705882352941E-11</v>
      </c>
      <c r="H17" s="3">
        <v>1.5609999999999999</v>
      </c>
      <c r="I17" s="3">
        <f>1.94*10^-6</f>
        <v>1.9400000000000001E-6</v>
      </c>
      <c r="J17" s="3">
        <f>7.94*10^-6</f>
        <v>7.9400000000000002E-6</v>
      </c>
      <c r="K17" s="4">
        <f>(I17/5)/(6.8*10^3)</f>
        <v>5.7058823529411768E-11</v>
      </c>
      <c r="L17" s="5">
        <f>(J17/5)/(6.8*10^3)</f>
        <v>2.3352941176470591E-10</v>
      </c>
      <c r="M17" s="3">
        <v>1.321</v>
      </c>
      <c r="N17" s="3">
        <f>1.66*10^-6</f>
        <v>1.6599999999999998E-6</v>
      </c>
      <c r="O17" s="3">
        <f>12.06*10^-6</f>
        <v>1.206E-5</v>
      </c>
      <c r="P17" s="4">
        <f>(N17/5)/(6.8*10^3)</f>
        <v>4.88235294117647E-11</v>
      </c>
      <c r="Q17" s="5">
        <f>(O17/5)/(6.8*10^3)</f>
        <v>3.5470588235294116E-10</v>
      </c>
    </row>
    <row r="18" spans="1:17" ht="15.75" x14ac:dyDescent="0.25">
      <c r="B18" s="18"/>
      <c r="C18" s="3">
        <v>2.081</v>
      </c>
      <c r="D18" s="3">
        <f>910*10^-9</f>
        <v>9.1000000000000008E-7</v>
      </c>
      <c r="E18" s="3">
        <f>3.8*10^-6</f>
        <v>3.7999999999999996E-6</v>
      </c>
      <c r="F18" s="4">
        <f t="shared" ref="F18:G21" si="8">(D18/5)/(6.8*10^3)</f>
        <v>2.6764705882352944E-11</v>
      </c>
      <c r="G18" s="5">
        <f t="shared" si="8"/>
        <v>1.1176470588235293E-10</v>
      </c>
      <c r="H18" s="3">
        <v>1.101</v>
      </c>
      <c r="I18" s="3">
        <f>1.54*10^-6</f>
        <v>1.5399999999999999E-6</v>
      </c>
      <c r="J18" s="3">
        <f>9.74*10^-6</f>
        <v>9.7399999999999999E-6</v>
      </c>
      <c r="K18" s="4">
        <f t="shared" ref="K18:L21" si="9">(I18/5)/(6.8*10^3)</f>
        <v>4.5294117647058814E-11</v>
      </c>
      <c r="L18" s="5">
        <f t="shared" si="9"/>
        <v>2.8647058823529411E-10</v>
      </c>
      <c r="M18" s="3">
        <v>1.141</v>
      </c>
      <c r="N18" s="3">
        <f>2.77*10^-6</f>
        <v>2.7699999999999997E-6</v>
      </c>
      <c r="O18" s="3">
        <f>12.76*10^-6</f>
        <v>1.276E-5</v>
      </c>
      <c r="P18" s="4">
        <f t="shared" ref="P18:Q21" si="10">(N18/5)/(6.8*10^3)</f>
        <v>8.1470588235294105E-11</v>
      </c>
      <c r="Q18" s="5">
        <f t="shared" si="10"/>
        <v>3.752941176470588E-10</v>
      </c>
    </row>
    <row r="19" spans="1:17" ht="15.75" x14ac:dyDescent="0.25">
      <c r="B19" s="18"/>
      <c r="C19" s="3">
        <v>2.161</v>
      </c>
      <c r="D19" s="3">
        <f>820*10^-9</f>
        <v>8.2000000000000009E-7</v>
      </c>
      <c r="E19" s="3">
        <f>4.06*10^-6</f>
        <v>4.0599999999999992E-6</v>
      </c>
      <c r="F19" s="4">
        <f t="shared" si="8"/>
        <v>2.4117647058823533E-11</v>
      </c>
      <c r="G19" s="5">
        <f t="shared" si="8"/>
        <v>1.1941176470588232E-10</v>
      </c>
      <c r="H19" s="3">
        <v>1.2210000000000001</v>
      </c>
      <c r="I19" s="3">
        <f>1.48*10^-6</f>
        <v>1.48E-6</v>
      </c>
      <c r="J19" s="3">
        <f>10.76*10^-6</f>
        <v>1.0759999999999999E-5</v>
      </c>
      <c r="K19" s="4">
        <f t="shared" si="9"/>
        <v>4.3529411764705884E-11</v>
      </c>
      <c r="L19" s="5">
        <f t="shared" si="9"/>
        <v>3.1647058823529411E-10</v>
      </c>
      <c r="M19" s="3">
        <v>1.101</v>
      </c>
      <c r="N19" s="3">
        <f>1.907*10^-6</f>
        <v>1.9069999999999999E-6</v>
      </c>
      <c r="O19" s="3">
        <f>8.94*10^-6</f>
        <v>8.9399999999999991E-6</v>
      </c>
      <c r="P19" s="4">
        <f t="shared" si="10"/>
        <v>5.6088235294117643E-11</v>
      </c>
      <c r="Q19" s="5">
        <f t="shared" si="10"/>
        <v>2.629411764705882E-10</v>
      </c>
    </row>
    <row r="20" spans="1:17" ht="15.75" x14ac:dyDescent="0.25">
      <c r="B20" s="18"/>
      <c r="C20" s="3">
        <v>1.7609999999999999</v>
      </c>
      <c r="D20" s="3">
        <f>1.78*10^-6</f>
        <v>1.7799999999999999E-6</v>
      </c>
      <c r="E20" s="3">
        <f>4.5*10^-6</f>
        <v>4.5000000000000001E-6</v>
      </c>
      <c r="F20" s="4">
        <f t="shared" si="8"/>
        <v>5.235294117647058E-11</v>
      </c>
      <c r="G20" s="5">
        <f t="shared" si="8"/>
        <v>1.3235294117647061E-10</v>
      </c>
      <c r="H20" s="3">
        <v>1.411</v>
      </c>
      <c r="I20" s="3">
        <f>2.35*10^-6</f>
        <v>2.3499999999999999E-6</v>
      </c>
      <c r="J20" s="3">
        <f>9.84*10^-6</f>
        <v>9.839999999999999E-6</v>
      </c>
      <c r="K20" s="4">
        <f t="shared" si="9"/>
        <v>6.9117647058823536E-11</v>
      </c>
      <c r="L20" s="5">
        <f t="shared" si="9"/>
        <v>2.8941176470588227E-10</v>
      </c>
      <c r="M20" s="3">
        <v>1.161</v>
      </c>
      <c r="N20" s="3">
        <f>1.43*10^-6</f>
        <v>1.4299999999999999E-6</v>
      </c>
      <c r="O20" s="3">
        <f>12.04*10^-6</f>
        <v>1.2039999999999998E-5</v>
      </c>
      <c r="P20" s="4">
        <f t="shared" si="10"/>
        <v>4.2058823529411761E-11</v>
      </c>
      <c r="Q20" s="5">
        <f t="shared" si="10"/>
        <v>3.5411764705882346E-10</v>
      </c>
    </row>
    <row r="21" spans="1:17" ht="15.75" x14ac:dyDescent="0.25">
      <c r="B21" s="7"/>
      <c r="C21" s="3">
        <v>1.7609999999999999</v>
      </c>
      <c r="D21" s="3">
        <f>640*10^-9</f>
        <v>6.4000000000000001E-7</v>
      </c>
      <c r="E21" s="3">
        <f>4.36*10^-6</f>
        <v>4.3599999999999998E-6</v>
      </c>
      <c r="F21" s="4">
        <f t="shared" si="8"/>
        <v>1.8823529411764707E-11</v>
      </c>
      <c r="G21" s="5">
        <f t="shared" si="8"/>
        <v>1.2823529411764705E-10</v>
      </c>
      <c r="H21" s="3">
        <v>1.2410000000000001</v>
      </c>
      <c r="I21" s="3">
        <f>1.44*10^-6</f>
        <v>1.44E-6</v>
      </c>
      <c r="J21" s="3">
        <f>9.04*10^-6</f>
        <v>9.0399999999999982E-6</v>
      </c>
      <c r="K21" s="4">
        <f t="shared" si="9"/>
        <v>4.2352941176470588E-11</v>
      </c>
      <c r="L21" s="5">
        <f t="shared" si="9"/>
        <v>2.6588235294117642E-10</v>
      </c>
      <c r="M21" s="3">
        <v>1.321</v>
      </c>
      <c r="N21" s="3">
        <f>2.43*10^-6</f>
        <v>2.43E-6</v>
      </c>
      <c r="O21" s="3">
        <f>11.46*10^-6</f>
        <v>1.146E-5</v>
      </c>
      <c r="P21" s="4">
        <f t="shared" si="10"/>
        <v>7.1470588235294113E-11</v>
      </c>
      <c r="Q21" s="5">
        <f t="shared" si="10"/>
        <v>3.370588235294118E-10</v>
      </c>
    </row>
    <row r="22" spans="1:17" x14ac:dyDescent="0.25">
      <c r="B22" s="8" t="s">
        <v>7</v>
      </c>
      <c r="C22" s="6">
        <f>AVERAGE(C17:C21)</f>
        <v>1.8089999999999999</v>
      </c>
      <c r="D22" s="6">
        <f t="shared" ref="D22:G22" si="11">AVERAGE(D17:D21)</f>
        <v>1.012E-6</v>
      </c>
      <c r="E22" s="6">
        <f t="shared" si="11"/>
        <v>3.9319999999999998E-6</v>
      </c>
      <c r="F22" s="6">
        <f t="shared" si="11"/>
        <v>2.9764705882352937E-11</v>
      </c>
      <c r="G22" s="6">
        <f t="shared" si="11"/>
        <v>1.1564705882352939E-10</v>
      </c>
      <c r="H22" s="6">
        <f>AVERAGE(H17:H21)</f>
        <v>1.3069999999999999</v>
      </c>
      <c r="I22" s="6">
        <f t="shared" ref="I22:L22" si="12">AVERAGE(I17:I21)</f>
        <v>1.7499999999999998E-6</v>
      </c>
      <c r="J22" s="6">
        <f t="shared" si="12"/>
        <v>9.4639999999999995E-6</v>
      </c>
      <c r="K22" s="6">
        <f t="shared" si="12"/>
        <v>5.1470588235294124E-11</v>
      </c>
      <c r="L22" s="6">
        <f t="shared" si="12"/>
        <v>2.7835294117647059E-10</v>
      </c>
      <c r="M22" s="6">
        <f>AVERAGE(M17:M21)</f>
        <v>1.2090000000000001</v>
      </c>
      <c r="N22" s="6">
        <f t="shared" ref="N22:Q22" si="13">AVERAGE(N17:N21)</f>
        <v>2.0393999999999999E-6</v>
      </c>
      <c r="O22" s="6">
        <f t="shared" si="13"/>
        <v>1.1452000000000001E-5</v>
      </c>
      <c r="P22" s="6">
        <f t="shared" si="13"/>
        <v>5.9982352941176463E-11</v>
      </c>
      <c r="Q22" s="6">
        <f t="shared" si="13"/>
        <v>3.3682352941176466E-10</v>
      </c>
    </row>
    <row r="23" spans="1:17" ht="15.75" x14ac:dyDescent="0.25">
      <c r="A23" t="s">
        <v>18</v>
      </c>
      <c r="B23" s="17">
        <v>1</v>
      </c>
      <c r="C23" s="3">
        <f>200*10^-3</f>
        <v>0.2</v>
      </c>
      <c r="D23" s="3">
        <f>5.35*10^-3</f>
        <v>5.3499999999999997E-3</v>
      </c>
      <c r="E23" s="3">
        <f>5.6*10^-3</f>
        <v>5.5999999999999999E-3</v>
      </c>
      <c r="F23" s="4">
        <f>(D23/5)/(6.8*10^3)</f>
        <v>1.573529411764706E-7</v>
      </c>
      <c r="G23" s="5">
        <f>(E23/5)/(6.8*10^3)</f>
        <v>1.6470588235294117E-7</v>
      </c>
      <c r="H23" s="3">
        <f>184*10^-3</f>
        <v>0.184</v>
      </c>
      <c r="I23" s="3">
        <f>4.8*10^-3</f>
        <v>4.7999999999999996E-3</v>
      </c>
      <c r="J23" s="3">
        <f>5.7*10^-3</f>
        <v>5.7000000000000002E-3</v>
      </c>
      <c r="K23" s="4">
        <f>(I23/5)/(6.8*10^3)</f>
        <v>1.4117647058823527E-7</v>
      </c>
      <c r="L23" s="5">
        <f>(J23/5)/(6.8*10^3)</f>
        <v>1.6764705882352942E-7</v>
      </c>
      <c r="M23" s="3">
        <f>464*10^-3</f>
        <v>0.46400000000000002</v>
      </c>
      <c r="N23" s="3">
        <f>6.3*10^-3</f>
        <v>6.3E-3</v>
      </c>
      <c r="O23" s="3">
        <f>6.5*10^-3</f>
        <v>6.5000000000000006E-3</v>
      </c>
      <c r="P23" s="4">
        <f>(N23/5)/(6.8*10^3)</f>
        <v>1.8529411764705884E-7</v>
      </c>
      <c r="Q23" s="5">
        <f>(O23/5)/(6.8*10^3)</f>
        <v>1.9117647058823532E-7</v>
      </c>
    </row>
    <row r="24" spans="1:17" ht="15.75" x14ac:dyDescent="0.25">
      <c r="B24" s="18"/>
      <c r="C24" s="3">
        <f>192*10^-3</f>
        <v>0.192</v>
      </c>
      <c r="D24" s="3">
        <f>5.4*10^-3</f>
        <v>5.4000000000000003E-3</v>
      </c>
      <c r="E24" s="3">
        <f>5.3*10^-3</f>
        <v>5.3E-3</v>
      </c>
      <c r="F24" s="4">
        <f t="shared" ref="F24:G27" si="14">(D24/5)/(6.8*10^3)</f>
        <v>1.5882352941176472E-7</v>
      </c>
      <c r="G24" s="5">
        <f t="shared" si="14"/>
        <v>1.5588235294117648E-7</v>
      </c>
      <c r="H24" s="3">
        <f>184*10^-3</f>
        <v>0.184</v>
      </c>
      <c r="I24" s="3">
        <f>4.65*10^-3</f>
        <v>4.6500000000000005E-3</v>
      </c>
      <c r="J24" s="3">
        <f>5.2*10^-3</f>
        <v>5.2000000000000006E-3</v>
      </c>
      <c r="K24" s="4">
        <f t="shared" ref="K24:L27" si="15">(I24/5)/(6.8*10^3)</f>
        <v>1.3676470588235296E-7</v>
      </c>
      <c r="L24" s="5">
        <f t="shared" si="15"/>
        <v>1.5294117647058826E-7</v>
      </c>
      <c r="M24" s="3">
        <f t="shared" ref="M24:M27" si="16">464*10^-3</f>
        <v>0.46400000000000002</v>
      </c>
      <c r="N24" s="3">
        <f>6.3*10^-3</f>
        <v>6.3E-3</v>
      </c>
      <c r="O24" s="3">
        <f>6.6*10^-3</f>
        <v>6.6E-3</v>
      </c>
      <c r="P24" s="4">
        <f t="shared" ref="P24:Q27" si="17">(N24/5)/(6.8*10^3)</f>
        <v>1.8529411764705884E-7</v>
      </c>
      <c r="Q24" s="5">
        <f t="shared" si="17"/>
        <v>1.9411764705882353E-7</v>
      </c>
    </row>
    <row r="25" spans="1:17" ht="15.75" x14ac:dyDescent="0.25">
      <c r="B25" s="18"/>
      <c r="C25" s="3">
        <f>192*10^-3</f>
        <v>0.192</v>
      </c>
      <c r="D25" s="3">
        <f>7.75*10^-3</f>
        <v>7.7499999999999999E-3</v>
      </c>
      <c r="E25" s="3">
        <f>5.6*10^-3</f>
        <v>5.5999999999999999E-3</v>
      </c>
      <c r="F25" s="4">
        <f t="shared" si="14"/>
        <v>2.2794117647058823E-7</v>
      </c>
      <c r="G25" s="5">
        <f t="shared" si="14"/>
        <v>1.6470588235294117E-7</v>
      </c>
      <c r="H25" s="3">
        <f>184*10^-3</f>
        <v>0.184</v>
      </c>
      <c r="I25" s="3">
        <f>5.25*10^-3</f>
        <v>5.2500000000000003E-3</v>
      </c>
      <c r="J25" s="3">
        <f>5.3*10^-3</f>
        <v>5.3E-3</v>
      </c>
      <c r="K25" s="4">
        <f t="shared" si="15"/>
        <v>1.5441176470588238E-7</v>
      </c>
      <c r="L25" s="5">
        <f t="shared" si="15"/>
        <v>1.5588235294117648E-7</v>
      </c>
      <c r="M25" s="3">
        <f t="shared" si="16"/>
        <v>0.46400000000000002</v>
      </c>
      <c r="N25" s="3">
        <f>6.3*10^-3</f>
        <v>6.3E-3</v>
      </c>
      <c r="O25" s="3">
        <f>6.6*10^-3</f>
        <v>6.6E-3</v>
      </c>
      <c r="P25" s="4">
        <f t="shared" si="17"/>
        <v>1.8529411764705884E-7</v>
      </c>
      <c r="Q25" s="5">
        <f t="shared" si="17"/>
        <v>1.9411764705882353E-7</v>
      </c>
    </row>
    <row r="26" spans="1:17" ht="15.75" x14ac:dyDescent="0.25">
      <c r="B26" s="18"/>
      <c r="C26" s="3">
        <f>200*10^-3</f>
        <v>0.2</v>
      </c>
      <c r="D26" s="3">
        <f>5.4*10^-3</f>
        <v>5.4000000000000003E-3</v>
      </c>
      <c r="E26" s="3">
        <f>5.6*10^-3</f>
        <v>5.5999999999999999E-3</v>
      </c>
      <c r="F26" s="4">
        <f t="shared" si="14"/>
        <v>1.5882352941176472E-7</v>
      </c>
      <c r="G26" s="5">
        <f t="shared" si="14"/>
        <v>1.6470588235294117E-7</v>
      </c>
      <c r="H26" s="3">
        <f>176*10^-3</f>
        <v>0.17599999999999999</v>
      </c>
      <c r="I26" s="3">
        <f>5.4*10^-3</f>
        <v>5.4000000000000003E-3</v>
      </c>
      <c r="J26" s="3">
        <f>5.5*10^-3</f>
        <v>5.4999999999999997E-3</v>
      </c>
      <c r="K26" s="4">
        <f t="shared" si="15"/>
        <v>1.5882352941176472E-7</v>
      </c>
      <c r="L26" s="5">
        <f t="shared" si="15"/>
        <v>1.6176470588235291E-7</v>
      </c>
      <c r="M26" s="3">
        <f t="shared" si="16"/>
        <v>0.46400000000000002</v>
      </c>
      <c r="N26" s="3">
        <f>6.4*10^-3</f>
        <v>6.4000000000000003E-3</v>
      </c>
      <c r="O26" s="3">
        <f>6.7*10^-3</f>
        <v>6.7000000000000002E-3</v>
      </c>
      <c r="P26" s="4">
        <f t="shared" si="17"/>
        <v>1.8823529411764708E-7</v>
      </c>
      <c r="Q26" s="5">
        <f t="shared" si="17"/>
        <v>1.9705882352941178E-7</v>
      </c>
    </row>
    <row r="27" spans="1:17" ht="15.75" x14ac:dyDescent="0.25">
      <c r="B27" s="7"/>
      <c r="C27" s="3">
        <f>200*10^-3</f>
        <v>0.2</v>
      </c>
      <c r="D27" s="3">
        <f>5.35*10^-3</f>
        <v>5.3499999999999997E-3</v>
      </c>
      <c r="E27" s="3">
        <f>5.5*10^-3</f>
        <v>5.4999999999999997E-3</v>
      </c>
      <c r="F27" s="4">
        <f t="shared" si="14"/>
        <v>1.573529411764706E-7</v>
      </c>
      <c r="G27" s="5">
        <f t="shared" si="14"/>
        <v>1.6176470588235291E-7</v>
      </c>
      <c r="H27" s="3">
        <f>176*10^-3</f>
        <v>0.17599999999999999</v>
      </c>
      <c r="I27" s="3">
        <f>5.35*10^-3</f>
        <v>5.3499999999999997E-3</v>
      </c>
      <c r="J27" s="3">
        <f>5.4*10^-3</f>
        <v>5.4000000000000003E-3</v>
      </c>
      <c r="K27" s="4">
        <f t="shared" si="15"/>
        <v>1.573529411764706E-7</v>
      </c>
      <c r="L27" s="5">
        <f t="shared" si="15"/>
        <v>1.5882352941176472E-7</v>
      </c>
      <c r="M27" s="3">
        <f t="shared" si="16"/>
        <v>0.46400000000000002</v>
      </c>
      <c r="N27" s="3">
        <f>6.35*10^-3</f>
        <v>6.3499999999999997E-3</v>
      </c>
      <c r="O27" s="3">
        <f>6.4*10^-3</f>
        <v>6.4000000000000003E-3</v>
      </c>
      <c r="P27" s="4">
        <f t="shared" si="17"/>
        <v>1.8676470588235293E-7</v>
      </c>
      <c r="Q27" s="5">
        <f t="shared" si="17"/>
        <v>1.8823529411764708E-7</v>
      </c>
    </row>
    <row r="28" spans="1:17" x14ac:dyDescent="0.25">
      <c r="B28" s="8" t="s">
        <v>7</v>
      </c>
      <c r="C28" s="6">
        <f>AVERAGE(C23:C27)</f>
        <v>0.1968</v>
      </c>
      <c r="D28" s="6">
        <f t="shared" ref="D28:G28" si="18">AVERAGE(D23:D27)</f>
        <v>5.8499999999999993E-3</v>
      </c>
      <c r="E28" s="6">
        <f t="shared" si="18"/>
        <v>5.5199999999999997E-3</v>
      </c>
      <c r="F28" s="6">
        <f t="shared" si="18"/>
        <v>1.7205882352941178E-7</v>
      </c>
      <c r="G28" s="6">
        <f t="shared" si="18"/>
        <v>1.6235294117647058E-7</v>
      </c>
      <c r="H28" s="6">
        <f>AVERAGE(H23:H27)</f>
        <v>0.18079999999999999</v>
      </c>
      <c r="I28" s="6">
        <f t="shared" ref="I28:L28" si="19">AVERAGE(I23:I27)</f>
        <v>5.0899999999999999E-3</v>
      </c>
      <c r="J28" s="6">
        <f t="shared" si="19"/>
        <v>5.4199999999999995E-3</v>
      </c>
      <c r="K28" s="6">
        <f t="shared" si="19"/>
        <v>1.4970588235294118E-7</v>
      </c>
      <c r="L28" s="6">
        <f t="shared" si="19"/>
        <v>1.5941176470588236E-7</v>
      </c>
      <c r="M28" s="6">
        <f>AVERAGE(M23:M27)</f>
        <v>0.46400000000000008</v>
      </c>
      <c r="N28" s="6">
        <f t="shared" ref="N28:Q28" si="20">AVERAGE(N23:N27)</f>
        <v>6.3299999999999997E-3</v>
      </c>
      <c r="O28" s="6">
        <f t="shared" si="20"/>
        <v>6.5600000000000007E-3</v>
      </c>
      <c r="P28" s="6">
        <f t="shared" si="20"/>
        <v>1.8617647058823531E-7</v>
      </c>
      <c r="Q28" s="6">
        <f t="shared" si="20"/>
        <v>1.9294117647058825E-7</v>
      </c>
    </row>
  </sheetData>
  <mergeCells count="4">
    <mergeCell ref="B3:B4"/>
    <mergeCell ref="C3:G3"/>
    <mergeCell ref="H3:L3"/>
    <mergeCell ref="M3:Q3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opLeftCell="A16" zoomScale="70" zoomScaleNormal="70" workbookViewId="0">
      <selection activeCell="R28" sqref="R28:R30"/>
    </sheetView>
  </sheetViews>
  <sheetFormatPr defaultColWidth="8.85546875" defaultRowHeight="15" x14ac:dyDescent="0.25"/>
  <cols>
    <col min="1" max="1" width="14.85546875" bestFit="1" customWidth="1"/>
    <col min="8" max="8" width="15.85546875" bestFit="1" customWidth="1"/>
    <col min="9" max="12" width="12" bestFit="1" customWidth="1"/>
    <col min="14" max="14" width="15.28515625" bestFit="1" customWidth="1"/>
    <col min="15" max="18" width="12" bestFit="1" customWidth="1"/>
  </cols>
  <sheetData>
    <row r="1" spans="1:18" x14ac:dyDescent="0.25">
      <c r="A1" t="s">
        <v>41</v>
      </c>
      <c r="B1" t="s">
        <v>31</v>
      </c>
      <c r="C1" t="s">
        <v>32</v>
      </c>
      <c r="D1" t="s">
        <v>36</v>
      </c>
      <c r="E1" t="s">
        <v>37</v>
      </c>
      <c r="H1" t="s">
        <v>44</v>
      </c>
      <c r="I1" t="s">
        <v>31</v>
      </c>
      <c r="J1" t="s">
        <v>32</v>
      </c>
      <c r="K1" t="s">
        <v>36</v>
      </c>
      <c r="L1" t="s">
        <v>37</v>
      </c>
      <c r="N1" t="s">
        <v>47</v>
      </c>
      <c r="O1" t="s">
        <v>31</v>
      </c>
      <c r="P1" t="s">
        <v>32</v>
      </c>
      <c r="Q1" t="s">
        <v>36</v>
      </c>
      <c r="R1" t="s">
        <v>37</v>
      </c>
    </row>
    <row r="2" spans="1:18" x14ac:dyDescent="0.25">
      <c r="A2">
        <v>0</v>
      </c>
      <c r="B2">
        <f>'Before Washing'!B8</f>
        <v>4.1609999999999996</v>
      </c>
      <c r="C2">
        <f>'Before Washing'!B14</f>
        <v>3.8729999999999998</v>
      </c>
      <c r="D2">
        <f>'Before Washing'!B20</f>
        <v>4.0010000000000003</v>
      </c>
      <c r="E2">
        <f>'Before Washing'!B44</f>
        <v>3.7050000000000005</v>
      </c>
      <c r="H2" t="s">
        <v>33</v>
      </c>
      <c r="I2">
        <f>'Before Washing'!C8</f>
        <v>4.32E-7</v>
      </c>
      <c r="J2">
        <f>'Before Washing'!C14</f>
        <v>4.0400000000000002E-7</v>
      </c>
      <c r="K2">
        <f>'Before Washing'!C20</f>
        <v>5.44E-7</v>
      </c>
      <c r="L2">
        <f>'Before Washing'!C44</f>
        <v>5.6200000000000008E-7</v>
      </c>
      <c r="N2" t="s">
        <v>33</v>
      </c>
      <c r="O2">
        <f>'Before Washing'!D8</f>
        <v>1.6160000000000001E-6</v>
      </c>
      <c r="P2">
        <f>'Before Washing'!D14</f>
        <v>1.5319999999999999E-6</v>
      </c>
      <c r="Q2">
        <f>'Before Washing'!D20</f>
        <v>3.2320000000000001E-6</v>
      </c>
      <c r="R2">
        <f>'Before Washing'!D44</f>
        <v>1.3999999999999999E-6</v>
      </c>
    </row>
    <row r="3" spans="1:18" x14ac:dyDescent="0.25">
      <c r="A3">
        <v>1</v>
      </c>
      <c r="B3">
        <f>'15min wash'!C10</f>
        <v>3.0409999999999999</v>
      </c>
      <c r="C3">
        <f>'15min wash'!C16</f>
        <v>3.8729999999999998</v>
      </c>
      <c r="D3">
        <f>'30min wash'!C10</f>
        <v>2.9849999999999999</v>
      </c>
      <c r="E3">
        <f>'45min wash '!C10</f>
        <v>3.4009999999999998</v>
      </c>
      <c r="H3" t="s">
        <v>34</v>
      </c>
      <c r="I3">
        <f>'15min wash'!D10</f>
        <v>1.1739999999999999E-6</v>
      </c>
      <c r="J3">
        <f>'15min wash'!D16</f>
        <v>4.0400000000000002E-7</v>
      </c>
      <c r="K3">
        <f>'30min wash'!D10</f>
        <v>9.4800000000000007E-7</v>
      </c>
      <c r="L3">
        <f>'45min wash '!D10</f>
        <v>9.8000000000000015E-7</v>
      </c>
      <c r="N3" t="s">
        <v>34</v>
      </c>
      <c r="O3">
        <f>'15min wash'!E10</f>
        <v>1.2836E-5</v>
      </c>
      <c r="P3">
        <f>'15min wash'!E16</f>
        <v>1.5319999999999999E-6</v>
      </c>
      <c r="Q3">
        <f>'30min wash'!E10</f>
        <v>7.2259999999999991E-6</v>
      </c>
      <c r="R3">
        <f>'45min wash '!E10</f>
        <v>1.7039999999999999E-6</v>
      </c>
    </row>
    <row r="4" spans="1:18" x14ac:dyDescent="0.25">
      <c r="A4">
        <v>5</v>
      </c>
      <c r="B4">
        <v>0</v>
      </c>
      <c r="C4">
        <v>0</v>
      </c>
      <c r="D4">
        <f>'30min wash'!C16</f>
        <v>2.665</v>
      </c>
      <c r="E4">
        <f>'45min wash '!C16</f>
        <v>2.5130000000000003</v>
      </c>
      <c r="H4" t="s">
        <v>35</v>
      </c>
      <c r="I4">
        <v>0</v>
      </c>
      <c r="J4">
        <v>0</v>
      </c>
      <c r="K4">
        <f>'30min wash'!D16</f>
        <v>9.1800000000000004E-7</v>
      </c>
      <c r="L4">
        <f>'45min wash '!D16</f>
        <v>1.508E-6</v>
      </c>
      <c r="N4" t="s">
        <v>35</v>
      </c>
      <c r="O4">
        <v>0</v>
      </c>
      <c r="P4">
        <v>0</v>
      </c>
      <c r="Q4">
        <f>'30min wash'!E16</f>
        <v>6.5159999999999991E-6</v>
      </c>
      <c r="R4">
        <f>'45min wash '!E16</f>
        <v>5.7559999999999996E-6</v>
      </c>
    </row>
    <row r="5" spans="1:18" x14ac:dyDescent="0.25">
      <c r="A5">
        <v>10</v>
      </c>
      <c r="B5">
        <v>0</v>
      </c>
      <c r="C5">
        <v>0</v>
      </c>
      <c r="D5">
        <f>'30min wash'!C22</f>
        <v>1.7370000000000001</v>
      </c>
      <c r="E5">
        <f>'45min wash '!C22</f>
        <v>1.8089999999999999</v>
      </c>
      <c r="H5" t="s">
        <v>38</v>
      </c>
      <c r="I5">
        <v>0</v>
      </c>
      <c r="J5">
        <v>0</v>
      </c>
      <c r="K5">
        <f>'30min wash'!D22</f>
        <v>1.2219999999999999E-6</v>
      </c>
      <c r="L5">
        <f>'45min wash '!D22</f>
        <v>1.012E-6</v>
      </c>
      <c r="N5" t="s">
        <v>38</v>
      </c>
      <c r="O5">
        <v>0</v>
      </c>
      <c r="P5">
        <v>0</v>
      </c>
      <c r="Q5">
        <f>'30min wash'!E22</f>
        <v>6.5839999999999991E-6</v>
      </c>
      <c r="R5">
        <f>'45min wash '!E22</f>
        <v>3.9319999999999998E-6</v>
      </c>
    </row>
    <row r="6" spans="1:18" x14ac:dyDescent="0.25">
      <c r="A6">
        <v>15</v>
      </c>
      <c r="B6">
        <v>0</v>
      </c>
      <c r="C6">
        <v>0</v>
      </c>
      <c r="D6">
        <v>0</v>
      </c>
      <c r="E6">
        <v>0</v>
      </c>
      <c r="H6" t="s">
        <v>39</v>
      </c>
      <c r="I6">
        <v>0</v>
      </c>
      <c r="J6">
        <v>0</v>
      </c>
      <c r="K6">
        <v>0</v>
      </c>
      <c r="L6">
        <v>0</v>
      </c>
      <c r="N6" t="s">
        <v>39</v>
      </c>
      <c r="O6">
        <v>0</v>
      </c>
      <c r="P6">
        <v>0</v>
      </c>
      <c r="Q6">
        <v>0</v>
      </c>
      <c r="R6">
        <v>0</v>
      </c>
    </row>
    <row r="7" spans="1:18" x14ac:dyDescent="0.25">
      <c r="A7">
        <v>20</v>
      </c>
      <c r="B7">
        <v>0</v>
      </c>
      <c r="C7">
        <v>0</v>
      </c>
      <c r="D7">
        <v>0</v>
      </c>
      <c r="E7">
        <v>0</v>
      </c>
      <c r="H7" t="s">
        <v>40</v>
      </c>
      <c r="I7">
        <v>0</v>
      </c>
      <c r="J7">
        <v>0</v>
      </c>
      <c r="K7">
        <v>0</v>
      </c>
      <c r="L7">
        <v>0</v>
      </c>
      <c r="N7" t="s">
        <v>40</v>
      </c>
      <c r="O7">
        <v>0</v>
      </c>
      <c r="P7">
        <v>0</v>
      </c>
      <c r="Q7">
        <v>0</v>
      </c>
      <c r="R7">
        <v>0</v>
      </c>
    </row>
    <row r="8" spans="1:18" x14ac:dyDescent="0.25">
      <c r="A8" t="s">
        <v>50</v>
      </c>
      <c r="B8" s="23">
        <f>((B2-B3)/B2)</f>
        <v>0.26916606584955532</v>
      </c>
      <c r="C8" s="23">
        <f t="shared" ref="C8:E8" si="0">((C2-C3)/C2)</f>
        <v>0</v>
      </c>
      <c r="D8" s="23">
        <f t="shared" si="0"/>
        <v>0.25393651587103233</v>
      </c>
      <c r="E8" s="23">
        <f t="shared" si="0"/>
        <v>8.2051282051282232E-2</v>
      </c>
      <c r="H8" t="s">
        <v>50</v>
      </c>
      <c r="I8" s="23">
        <f>((I2-I3)/I2)</f>
        <v>-1.7175925925925921</v>
      </c>
      <c r="J8" s="23">
        <f t="shared" ref="J8:L8" si="1">((J2-J3)/J2)</f>
        <v>0</v>
      </c>
      <c r="K8" s="23">
        <f t="shared" si="1"/>
        <v>-0.74264705882352955</v>
      </c>
      <c r="L8" s="23">
        <f t="shared" si="1"/>
        <v>-0.74377224199288261</v>
      </c>
      <c r="N8" t="s">
        <v>50</v>
      </c>
      <c r="O8" s="23">
        <f>((O2-O3)/O2)</f>
        <v>-6.9430693069306937</v>
      </c>
      <c r="P8" s="23">
        <f t="shared" ref="P8:R8" si="2">((P2-P3)/P2)</f>
        <v>0</v>
      </c>
      <c r="Q8" s="23">
        <f t="shared" si="2"/>
        <v>-1.235767326732673</v>
      </c>
      <c r="R8" s="23">
        <f t="shared" si="2"/>
        <v>-0.21714285714285714</v>
      </c>
    </row>
    <row r="9" spans="1:18" x14ac:dyDescent="0.25">
      <c r="D9" s="23">
        <f>(D3-D4)/D3</f>
        <v>0.10720268006700162</v>
      </c>
      <c r="E9" s="23">
        <f>(E3-E4)/E3</f>
        <v>0.26109967656571581</v>
      </c>
      <c r="K9" s="23">
        <f>(K3-K4)/K3</f>
        <v>3.1645569620253194E-2</v>
      </c>
      <c r="L9" s="23">
        <f>(L3-L4)/L3</f>
        <v>-0.53877551020408143</v>
      </c>
      <c r="Q9" s="23">
        <f>(Q3-Q4)/Q3</f>
        <v>9.8256296706338231E-2</v>
      </c>
      <c r="R9" s="23">
        <f>(R3-R4)/R3</f>
        <v>-2.3779342723004695</v>
      </c>
    </row>
    <row r="10" spans="1:18" x14ac:dyDescent="0.25">
      <c r="D10" s="23">
        <f>(D4-D5)/D4</f>
        <v>0.34821763602251404</v>
      </c>
      <c r="E10" s="23">
        <f>(E4-E5)/E4</f>
        <v>0.28014325507361731</v>
      </c>
      <c r="K10" s="23">
        <f>(K4-K5)/K4</f>
        <v>-0.33115468409586041</v>
      </c>
      <c r="L10" s="23">
        <f>(L4-L5)/L4</f>
        <v>0.32891246684350134</v>
      </c>
      <c r="Q10" s="23">
        <f>(Q4-Q5)/Q4</f>
        <v>-1.0435850214855746E-2</v>
      </c>
      <c r="R10" s="23">
        <f>(R4-R5)/R4</f>
        <v>0.31688672689367614</v>
      </c>
    </row>
    <row r="11" spans="1:18" x14ac:dyDescent="0.25">
      <c r="A11" t="s">
        <v>42</v>
      </c>
      <c r="B11" t="s">
        <v>31</v>
      </c>
      <c r="C11" t="s">
        <v>32</v>
      </c>
      <c r="D11" t="s">
        <v>36</v>
      </c>
      <c r="E11" t="s">
        <v>37</v>
      </c>
      <c r="H11" t="s">
        <v>45</v>
      </c>
      <c r="I11" t="s">
        <v>31</v>
      </c>
      <c r="J11" t="s">
        <v>32</v>
      </c>
      <c r="K11" t="s">
        <v>36</v>
      </c>
      <c r="L11" t="s">
        <v>37</v>
      </c>
      <c r="N11" t="s">
        <v>48</v>
      </c>
      <c r="O11" t="s">
        <v>31</v>
      </c>
      <c r="P11" t="s">
        <v>32</v>
      </c>
      <c r="Q11" t="s">
        <v>36</v>
      </c>
      <c r="R11" t="s">
        <v>37</v>
      </c>
    </row>
    <row r="12" spans="1:18" x14ac:dyDescent="0.25">
      <c r="A12" t="s">
        <v>33</v>
      </c>
      <c r="B12">
        <f>'Before Washing'!G8</f>
        <v>4.1609999999999996</v>
      </c>
      <c r="C12">
        <f>'Before Washing'!G14</f>
        <v>3.8890000000000002</v>
      </c>
      <c r="D12">
        <f>'Before Washing'!G20</f>
        <v>4.0170000000000003</v>
      </c>
      <c r="E12">
        <f>'Before Washing'!G44</f>
        <v>3.7130000000000001</v>
      </c>
      <c r="H12" t="s">
        <v>33</v>
      </c>
      <c r="I12">
        <f>'Before Washing'!H8</f>
        <v>4.3599999999999999E-7</v>
      </c>
      <c r="J12">
        <f>'Before Washing'!H14</f>
        <v>4.0800000000000005E-7</v>
      </c>
      <c r="K12">
        <f>'Before Washing'!H20</f>
        <v>5.06E-7</v>
      </c>
      <c r="L12">
        <f>'Before Washing'!H44</f>
        <v>5.5400000000000001E-7</v>
      </c>
      <c r="N12" t="s">
        <v>33</v>
      </c>
      <c r="O12">
        <f>'Before Washing'!I8</f>
        <v>1.6279999999999997E-6</v>
      </c>
      <c r="P12">
        <f>'Before Washing'!I14</f>
        <v>1.516E-6</v>
      </c>
      <c r="Q12">
        <f>'Before Washing'!I20</f>
        <v>3.2400000000000003E-6</v>
      </c>
      <c r="R12">
        <f>'Before Washing'!I44</f>
        <v>1.6359999999999999E-6</v>
      </c>
    </row>
    <row r="13" spans="1:18" x14ac:dyDescent="0.25">
      <c r="A13" t="s">
        <v>34</v>
      </c>
      <c r="B13">
        <f>'15min wash'!H10</f>
        <v>2.9609999999999999</v>
      </c>
      <c r="C13">
        <f>'15min wash'!H16</f>
        <v>3.8890000000000002</v>
      </c>
      <c r="D13">
        <f>'30min wash'!H10</f>
        <v>2.633</v>
      </c>
      <c r="E13">
        <f>'45min wash '!H10</f>
        <v>3.4329999999999998</v>
      </c>
      <c r="H13" t="s">
        <v>34</v>
      </c>
      <c r="I13">
        <f>'15min wash'!I10</f>
        <v>1.452E-6</v>
      </c>
      <c r="J13">
        <f>'15min wash'!I16</f>
        <v>4.0800000000000005E-7</v>
      </c>
      <c r="K13">
        <f>'30min wash'!I10</f>
        <v>9.16E-7</v>
      </c>
      <c r="L13">
        <f>'45min wash '!I10</f>
        <v>9.0599999999999999E-7</v>
      </c>
      <c r="N13" t="s">
        <v>34</v>
      </c>
      <c r="O13">
        <f>'15min wash'!J10</f>
        <v>1.1064000000000001E-5</v>
      </c>
      <c r="P13">
        <f>'15min wash'!I16</f>
        <v>4.0800000000000005E-7</v>
      </c>
      <c r="Q13">
        <f>'30min wash'!J10</f>
        <v>7.0679999999999991E-6</v>
      </c>
      <c r="R13">
        <f>'45min wash '!J10</f>
        <v>1.6919999999999996E-6</v>
      </c>
    </row>
    <row r="14" spans="1:18" x14ac:dyDescent="0.25">
      <c r="A14" t="s">
        <v>35</v>
      </c>
      <c r="B14">
        <v>0</v>
      </c>
      <c r="C14">
        <v>0</v>
      </c>
      <c r="D14">
        <f>'30min wash'!H16</f>
        <v>2.9929999999999999</v>
      </c>
      <c r="E14">
        <f>'45min wash '!H16</f>
        <v>2.593</v>
      </c>
      <c r="H14" t="s">
        <v>35</v>
      </c>
      <c r="I14">
        <v>0</v>
      </c>
      <c r="J14">
        <v>0</v>
      </c>
      <c r="K14">
        <f>'30min wash'!I16</f>
        <v>8.2999999999999999E-7</v>
      </c>
      <c r="L14">
        <f>'45min wash '!I16</f>
        <v>1.3859999999999999E-6</v>
      </c>
      <c r="N14" t="s">
        <v>35</v>
      </c>
      <c r="O14">
        <v>0</v>
      </c>
      <c r="P14">
        <v>0</v>
      </c>
      <c r="Q14">
        <f>'30min wash'!J16</f>
        <v>6.0959999999999989E-6</v>
      </c>
      <c r="R14">
        <f>'45min wash '!J16</f>
        <v>4.7439999999999998E-6</v>
      </c>
    </row>
    <row r="15" spans="1:18" x14ac:dyDescent="0.25">
      <c r="A15" t="s">
        <v>38</v>
      </c>
      <c r="B15">
        <v>0</v>
      </c>
      <c r="C15">
        <v>0</v>
      </c>
      <c r="D15">
        <f>'30min wash'!H22</f>
        <v>1.7729999999999997</v>
      </c>
      <c r="E15">
        <f>'45min wash '!H22</f>
        <v>1.3069999999999999</v>
      </c>
      <c r="H15" t="s">
        <v>38</v>
      </c>
      <c r="I15">
        <v>0</v>
      </c>
      <c r="J15">
        <v>0</v>
      </c>
      <c r="K15">
        <f>'30min wash'!I22</f>
        <v>1.2419999999999999E-6</v>
      </c>
      <c r="L15">
        <f>'45min wash '!I22</f>
        <v>1.7499999999999998E-6</v>
      </c>
      <c r="N15" t="s">
        <v>38</v>
      </c>
      <c r="O15">
        <v>0</v>
      </c>
      <c r="P15">
        <v>0</v>
      </c>
      <c r="Q15">
        <f>'30min wash'!J22</f>
        <v>6.4839999999999992E-6</v>
      </c>
      <c r="R15">
        <f>'45min wash '!J22</f>
        <v>9.4639999999999995E-6</v>
      </c>
    </row>
    <row r="16" spans="1:18" x14ac:dyDescent="0.25">
      <c r="A16" t="s">
        <v>39</v>
      </c>
      <c r="B16">
        <v>0</v>
      </c>
      <c r="C16">
        <v>0</v>
      </c>
      <c r="D16">
        <v>0</v>
      </c>
      <c r="E16">
        <v>0</v>
      </c>
      <c r="H16" t="s">
        <v>39</v>
      </c>
      <c r="I16">
        <v>0</v>
      </c>
      <c r="J16">
        <v>0</v>
      </c>
      <c r="K16">
        <v>0</v>
      </c>
      <c r="L16">
        <v>0</v>
      </c>
      <c r="N16" t="s">
        <v>39</v>
      </c>
      <c r="O16">
        <v>0</v>
      </c>
      <c r="P16">
        <v>0</v>
      </c>
      <c r="Q16">
        <v>0</v>
      </c>
      <c r="R16">
        <v>0</v>
      </c>
    </row>
    <row r="17" spans="1:19" x14ac:dyDescent="0.25">
      <c r="A17" t="s">
        <v>40</v>
      </c>
      <c r="B17">
        <v>0</v>
      </c>
      <c r="C17">
        <v>0</v>
      </c>
      <c r="D17">
        <v>0</v>
      </c>
      <c r="E17">
        <v>0</v>
      </c>
      <c r="H17" t="s">
        <v>40</v>
      </c>
      <c r="I17">
        <v>0</v>
      </c>
      <c r="J17">
        <v>0</v>
      </c>
      <c r="K17">
        <v>0</v>
      </c>
      <c r="L17">
        <v>0</v>
      </c>
      <c r="N17" t="s">
        <v>40</v>
      </c>
      <c r="O17">
        <v>0</v>
      </c>
      <c r="P17">
        <v>0</v>
      </c>
      <c r="Q17">
        <v>0</v>
      </c>
      <c r="R17">
        <v>0</v>
      </c>
    </row>
    <row r="18" spans="1:19" x14ac:dyDescent="0.25">
      <c r="A18" t="s">
        <v>50</v>
      </c>
      <c r="B18" s="23">
        <f>((B12-B13)/B12)</f>
        <v>0.28839221341023791</v>
      </c>
      <c r="C18" s="23">
        <f t="shared" ref="C18:E18" si="3">((C12-C13)/C12)</f>
        <v>0</v>
      </c>
      <c r="D18" s="23">
        <f t="shared" si="3"/>
        <v>0.34453572317649994</v>
      </c>
      <c r="E18" s="23">
        <f t="shared" si="3"/>
        <v>7.5410719095071438E-2</v>
      </c>
      <c r="H18" t="s">
        <v>50</v>
      </c>
      <c r="I18" s="23">
        <f>((I12-I13)/I12)</f>
        <v>-2.3302752293577984</v>
      </c>
      <c r="J18" s="23">
        <f t="shared" ref="J18:L18" si="4">((J12-J13)/J12)</f>
        <v>0</v>
      </c>
      <c r="K18" s="23">
        <f t="shared" si="4"/>
        <v>-0.81027667984189722</v>
      </c>
      <c r="L18" s="23">
        <f t="shared" si="4"/>
        <v>-0.63537906137184108</v>
      </c>
      <c r="N18" t="s">
        <v>50</v>
      </c>
      <c r="O18" s="23">
        <f>((O12-O13)/O12)</f>
        <v>-5.7960687960687975</v>
      </c>
      <c r="P18" s="23">
        <f t="shared" ref="P18:R18" si="5">((P12-P13)/P12)</f>
        <v>0.73087071240105528</v>
      </c>
      <c r="Q18" s="23">
        <f t="shared" si="5"/>
        <v>-1.1814814814814809</v>
      </c>
      <c r="R18" s="23">
        <f t="shared" si="5"/>
        <v>-3.4229828850855605E-2</v>
      </c>
    </row>
    <row r="19" spans="1:19" x14ac:dyDescent="0.25">
      <c r="D19" s="23">
        <f>ABS((D13-D14)/D13)</f>
        <v>0.13672616786935049</v>
      </c>
      <c r="E19" s="23">
        <f>(E13-E14)/E13</f>
        <v>0.24468394989804831</v>
      </c>
      <c r="K19" s="23">
        <f>(K13-K14)/K13</f>
        <v>9.3886462882096067E-2</v>
      </c>
      <c r="L19" s="23">
        <f>(L13-L14)/L13</f>
        <v>-0.52980132450331119</v>
      </c>
      <c r="Q19" s="23">
        <f>(Q13-Q14)/Q13</f>
        <v>0.13752122241086592</v>
      </c>
      <c r="R19" s="23">
        <f>(R13-R14)/R13</f>
        <v>-1.803782505910166</v>
      </c>
    </row>
    <row r="20" spans="1:19" x14ac:dyDescent="0.25">
      <c r="D20" s="23">
        <f>(D14-D15)/D14</f>
        <v>0.40761777480788514</v>
      </c>
      <c r="E20" s="23">
        <f>(E14-E15)/E14</f>
        <v>0.49595063632857694</v>
      </c>
      <c r="K20" s="23">
        <f>(K14-K15)/K14</f>
        <v>-0.49638554216867464</v>
      </c>
      <c r="L20" s="23">
        <f>(L14-L15)/L14</f>
        <v>-0.26262626262626249</v>
      </c>
      <c r="Q20" s="23">
        <f>(Q14-Q15)/Q14</f>
        <v>-6.3648293963254665E-2</v>
      </c>
      <c r="R20" s="23">
        <f>(R14-R15)/R14</f>
        <v>-0.99494097807757165</v>
      </c>
    </row>
    <row r="21" spans="1:19" x14ac:dyDescent="0.25">
      <c r="A21" s="21" t="s">
        <v>43</v>
      </c>
      <c r="B21" t="s">
        <v>31</v>
      </c>
      <c r="C21" t="s">
        <v>32</v>
      </c>
      <c r="D21" t="s">
        <v>36</v>
      </c>
      <c r="E21" t="s">
        <v>37</v>
      </c>
      <c r="H21" t="s">
        <v>46</v>
      </c>
      <c r="I21" t="s">
        <v>31</v>
      </c>
      <c r="J21" t="s">
        <v>32</v>
      </c>
      <c r="K21" t="s">
        <v>36</v>
      </c>
      <c r="L21" t="s">
        <v>37</v>
      </c>
      <c r="N21" t="s">
        <v>49</v>
      </c>
      <c r="O21" t="s">
        <v>31</v>
      </c>
      <c r="P21" t="s">
        <v>32</v>
      </c>
      <c r="Q21" t="s">
        <v>36</v>
      </c>
      <c r="R21" t="s">
        <v>37</v>
      </c>
    </row>
    <row r="22" spans="1:19" x14ac:dyDescent="0.25">
      <c r="A22" t="s">
        <v>33</v>
      </c>
      <c r="B22">
        <f>'Before Washing'!L8</f>
        <v>3.6970000000000005</v>
      </c>
      <c r="C22">
        <f>'Before Washing'!L14</f>
        <v>3.8729999999999998</v>
      </c>
      <c r="D22">
        <f>'Before Washing'!L20</f>
        <v>4.0170000000000003</v>
      </c>
      <c r="E22">
        <f>'Before Washing'!L44</f>
        <v>3.7050000000000005</v>
      </c>
      <c r="H22" t="s">
        <v>33</v>
      </c>
      <c r="I22">
        <f>'Before Washing'!M8</f>
        <v>5.0000000000000008E-7</v>
      </c>
      <c r="J22">
        <f>'Before Washing'!M14</f>
        <v>4.3600000000000004E-7</v>
      </c>
      <c r="K22">
        <f>'Before Washing'!M20</f>
        <v>5.5999999999999993E-7</v>
      </c>
      <c r="L22">
        <f>'Before Washing'!M44</f>
        <v>6.1800000000000005E-7</v>
      </c>
      <c r="N22" t="s">
        <v>33</v>
      </c>
      <c r="O22">
        <f>'Before Washing'!N8</f>
        <v>1.4679999999999998E-6</v>
      </c>
      <c r="P22">
        <f>'Before Washing'!M14</f>
        <v>4.3600000000000004E-7</v>
      </c>
      <c r="Q22">
        <f>'Before Washing'!N20</f>
        <v>3.3239999999999999E-6</v>
      </c>
      <c r="R22">
        <f>'Before Washing'!N44</f>
        <v>1.46E-6</v>
      </c>
      <c r="S22">
        <v>5</v>
      </c>
    </row>
    <row r="23" spans="1:19" x14ac:dyDescent="0.25">
      <c r="A23" t="s">
        <v>34</v>
      </c>
      <c r="B23">
        <f>'15min wash'!M10</f>
        <v>2.593</v>
      </c>
      <c r="C23">
        <f>'15min wash'!M16</f>
        <v>3.8729999999999998</v>
      </c>
      <c r="D23">
        <f>'30min wash'!M10</f>
        <v>2.4330000000000003</v>
      </c>
      <c r="E23">
        <f>'45min wash '!M10</f>
        <v>2.7930000000000001</v>
      </c>
      <c r="H23" t="s">
        <v>34</v>
      </c>
      <c r="I23">
        <f>'15min wash'!N10</f>
        <v>1.9419999999999998E-6</v>
      </c>
      <c r="J23">
        <f>'15min wash'!N16</f>
        <v>4.3600000000000004E-7</v>
      </c>
      <c r="K23">
        <f>'30min wash'!N10</f>
        <v>1.0939999999999998E-6</v>
      </c>
      <c r="L23">
        <f>'45min wash '!N10</f>
        <v>1.8639999999999999E-6</v>
      </c>
      <c r="N23" t="s">
        <v>34</v>
      </c>
      <c r="O23">
        <f>'15min wash'!O10</f>
        <v>2.2923999999999999E-5</v>
      </c>
      <c r="P23">
        <f>'15min wash'!O16</f>
        <v>1.5880000000000001E-6</v>
      </c>
      <c r="Q23">
        <f>'30min wash'!O10</f>
        <v>1.0627999999999999E-5</v>
      </c>
      <c r="R23">
        <f>'45min wash '!O10</f>
        <v>1.5311999999999998E-5</v>
      </c>
      <c r="S23">
        <v>7</v>
      </c>
    </row>
    <row r="24" spans="1:19" x14ac:dyDescent="0.25">
      <c r="A24" t="s">
        <v>35</v>
      </c>
      <c r="B24">
        <v>0</v>
      </c>
      <c r="C24">
        <v>0</v>
      </c>
      <c r="D24">
        <f>'30min wash'!M16</f>
        <v>2.7290000000000001</v>
      </c>
      <c r="E24">
        <f>'45min wash '!M16</f>
        <v>2.101</v>
      </c>
      <c r="H24" t="s">
        <v>35</v>
      </c>
      <c r="I24">
        <v>0</v>
      </c>
      <c r="J24">
        <v>0</v>
      </c>
      <c r="K24">
        <f>'30min wash'!N16</f>
        <v>1.0939999999999998E-6</v>
      </c>
      <c r="L24">
        <f>'45min wash '!N16</f>
        <v>1.5219999999999998E-6</v>
      </c>
      <c r="N24" t="s">
        <v>35</v>
      </c>
      <c r="O24">
        <v>0</v>
      </c>
      <c r="P24">
        <v>0</v>
      </c>
      <c r="Q24">
        <f>'30min wash'!O16</f>
        <v>9.7000000000000003E-6</v>
      </c>
      <c r="R24">
        <f>'45min wash '!O16</f>
        <v>8.1939999999999998E-6</v>
      </c>
    </row>
    <row r="25" spans="1:19" x14ac:dyDescent="0.25">
      <c r="A25" t="s">
        <v>38</v>
      </c>
      <c r="B25">
        <v>0</v>
      </c>
      <c r="C25">
        <v>0</v>
      </c>
      <c r="D25">
        <f>'30min wash'!M22</f>
        <v>1.5089999999999999</v>
      </c>
      <c r="E25">
        <f>'45min wash '!M22</f>
        <v>1.2090000000000001</v>
      </c>
      <c r="H25" t="s">
        <v>38</v>
      </c>
      <c r="I25">
        <v>0</v>
      </c>
      <c r="J25">
        <v>0</v>
      </c>
      <c r="K25">
        <f>'30min wash'!N22</f>
        <v>1.3539999999999999E-6</v>
      </c>
      <c r="L25">
        <f>'45min wash '!N22</f>
        <v>2.0393999999999999E-6</v>
      </c>
      <c r="N25" t="s">
        <v>38</v>
      </c>
      <c r="O25">
        <v>0</v>
      </c>
      <c r="P25">
        <v>0</v>
      </c>
      <c r="Q25">
        <f>'30min wash'!O22</f>
        <v>7.9279999999999993E-6</v>
      </c>
      <c r="R25">
        <f>'45min wash '!O22</f>
        <v>1.1452000000000001E-5</v>
      </c>
    </row>
    <row r="26" spans="1:19" x14ac:dyDescent="0.25">
      <c r="A26" t="s">
        <v>39</v>
      </c>
      <c r="B26">
        <v>0</v>
      </c>
      <c r="C26">
        <v>0</v>
      </c>
      <c r="D26">
        <v>0</v>
      </c>
      <c r="E26">
        <v>0</v>
      </c>
      <c r="H26" t="s">
        <v>39</v>
      </c>
      <c r="I26">
        <v>0</v>
      </c>
      <c r="J26">
        <v>0</v>
      </c>
      <c r="K26">
        <v>0</v>
      </c>
      <c r="L26">
        <v>0</v>
      </c>
      <c r="N26" t="s">
        <v>39</v>
      </c>
      <c r="O26">
        <v>0</v>
      </c>
      <c r="P26">
        <v>0</v>
      </c>
      <c r="Q26">
        <v>0</v>
      </c>
      <c r="R26">
        <v>0</v>
      </c>
    </row>
    <row r="27" spans="1:19" x14ac:dyDescent="0.25">
      <c r="A27" t="s">
        <v>40</v>
      </c>
      <c r="B27">
        <v>0</v>
      </c>
      <c r="C27">
        <v>0</v>
      </c>
      <c r="D27">
        <v>0</v>
      </c>
      <c r="E27">
        <v>0</v>
      </c>
      <c r="H27" t="s">
        <v>40</v>
      </c>
      <c r="I27">
        <v>0</v>
      </c>
      <c r="J27">
        <v>0</v>
      </c>
      <c r="K27">
        <v>0</v>
      </c>
      <c r="L27">
        <v>0</v>
      </c>
      <c r="N27" t="s">
        <v>40</v>
      </c>
      <c r="O27">
        <v>0</v>
      </c>
      <c r="P27">
        <v>0</v>
      </c>
      <c r="Q27">
        <v>0</v>
      </c>
      <c r="R27">
        <v>0</v>
      </c>
    </row>
    <row r="28" spans="1:19" x14ac:dyDescent="0.25">
      <c r="A28" t="s">
        <v>50</v>
      </c>
      <c r="B28" s="23">
        <f>((B22-B23)/B22)</f>
        <v>0.29862050311063032</v>
      </c>
      <c r="C28" s="23">
        <f t="shared" ref="C28:E28" si="6">((C22-C23)/C22)</f>
        <v>0</v>
      </c>
      <c r="D28" s="23">
        <f t="shared" si="6"/>
        <v>0.39432412247946225</v>
      </c>
      <c r="E28" s="23">
        <f t="shared" si="6"/>
        <v>0.24615384615384622</v>
      </c>
      <c r="H28" t="s">
        <v>50</v>
      </c>
      <c r="I28" s="23">
        <f>((I22-I23)/I22)</f>
        <v>-2.883999999999999</v>
      </c>
      <c r="J28" s="23">
        <f t="shared" ref="J28:L28" si="7">((J22-J23)/J22)</f>
        <v>0</v>
      </c>
      <c r="K28" s="23">
        <f t="shared" si="7"/>
        <v>-0.95357142857142851</v>
      </c>
      <c r="L28" s="23">
        <f t="shared" si="7"/>
        <v>-2.0161812297734625</v>
      </c>
      <c r="N28" t="s">
        <v>50</v>
      </c>
      <c r="O28" s="23">
        <f>((O22-O23)/O22)</f>
        <v>-14.615803814713898</v>
      </c>
      <c r="P28" s="23">
        <f t="shared" ref="P28:R28" si="8">((P22-P23)/P22)</f>
        <v>-2.6422018348623855</v>
      </c>
      <c r="Q28" s="23">
        <f t="shared" si="8"/>
        <v>-2.1973525872442838</v>
      </c>
      <c r="R28" s="23">
        <f t="shared" si="8"/>
        <v>-9.4876712328767123</v>
      </c>
      <c r="S28" s="22">
        <f>((S23-S22)/S22)</f>
        <v>0.4</v>
      </c>
    </row>
    <row r="29" spans="1:19" x14ac:dyDescent="0.25">
      <c r="D29" s="23">
        <f>(D23-D24)/D23</f>
        <v>-0.12166050143855314</v>
      </c>
      <c r="E29" s="23">
        <f>(E23-E24)/E23</f>
        <v>0.24776226279985683</v>
      </c>
      <c r="K29" s="23">
        <f>(K23-K24)/K23</f>
        <v>0</v>
      </c>
      <c r="L29" s="23">
        <f>(L23-L24)/L23</f>
        <v>0.18347639484978545</v>
      </c>
      <c r="Q29" s="23">
        <f>(Q23-Q24)/Q23</f>
        <v>8.731652239367696E-2</v>
      </c>
      <c r="R29" s="23">
        <f>(R23-R24)/R23</f>
        <v>0.46486415882967602</v>
      </c>
    </row>
    <row r="30" spans="1:19" x14ac:dyDescent="0.25">
      <c r="D30" s="23">
        <f>(D24-D25)/D24</f>
        <v>0.44705020153902536</v>
      </c>
      <c r="E30" s="23">
        <f>(E24-E25)/E24</f>
        <v>0.42455973346025699</v>
      </c>
      <c r="K30" s="23">
        <f>(K24-K25)/K24</f>
        <v>-0.2376599634369288</v>
      </c>
      <c r="L30" s="23">
        <f>(L24-L25)/L24</f>
        <v>-0.33994743758212892</v>
      </c>
      <c r="Q30" s="23">
        <f>(Q24-Q25)/Q24</f>
        <v>0.18268041237113411</v>
      </c>
      <c r="R30" s="23">
        <f>(R24-R25)/R24</f>
        <v>-0.39760800585794503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19" zoomScale="70" zoomScaleNormal="70" workbookViewId="0">
      <selection activeCell="P52" sqref="P52:P53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Before Washing</vt:lpstr>
      <vt:lpstr>15min wash</vt:lpstr>
      <vt:lpstr>30min wash</vt:lpstr>
      <vt:lpstr>45min wash </vt:lpstr>
      <vt:lpstr>Parameter Results</vt:lpstr>
      <vt:lpstr>Compiled E-Textile Graphs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</dc:creator>
  <cp:lastModifiedBy>Olivia</cp:lastModifiedBy>
  <dcterms:created xsi:type="dcterms:W3CDTF">2018-05-17T11:42:43Z</dcterms:created>
  <dcterms:modified xsi:type="dcterms:W3CDTF">2019-03-24T13:52:56Z</dcterms:modified>
</cp:coreProperties>
</file>