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195" windowWidth="15525" windowHeight="4950" tabRatio="500" firstSheet="2" activeTab="4"/>
  </bookViews>
  <sheets>
    <sheet name="Chart1" sheetId="5" r:id="rId1"/>
    <sheet name="Before Cyclic Twisting Test" sheetId="3" r:id="rId2"/>
    <sheet name="Before -Results" sheetId="4" r:id="rId3"/>
    <sheet name="After Cyclic Twisting Test" sheetId="1" r:id="rId4"/>
    <sheet name="After - Results" sheetId="2" r:id="rId5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3" l="1"/>
  <c r="N39" i="3"/>
  <c r="N38" i="3"/>
  <c r="N37" i="3"/>
  <c r="N36" i="3"/>
  <c r="N35" i="3"/>
  <c r="M38" i="3"/>
  <c r="M37" i="3"/>
  <c r="M36" i="3"/>
  <c r="D36" i="3"/>
  <c r="D37" i="3"/>
  <c r="D38" i="3"/>
  <c r="D39" i="3"/>
  <c r="D35" i="3"/>
  <c r="M35" i="3"/>
  <c r="M40" i="3"/>
  <c r="I8" i="4"/>
  <c r="N40" i="3"/>
  <c r="J8" i="4"/>
  <c r="L40" i="3"/>
  <c r="H8" i="4"/>
  <c r="F8" i="4"/>
  <c r="G8" i="4"/>
  <c r="G40" i="3"/>
  <c r="E8" i="4"/>
  <c r="C8" i="4"/>
  <c r="D40" i="3"/>
  <c r="D8" i="4"/>
  <c r="B8" i="4"/>
  <c r="I7" i="4"/>
  <c r="J7" i="4"/>
  <c r="H7" i="4"/>
  <c r="F7" i="4"/>
  <c r="G7" i="4"/>
  <c r="E7" i="4"/>
  <c r="C7" i="4"/>
  <c r="D7" i="4"/>
  <c r="B7" i="4"/>
  <c r="I39" i="3"/>
  <c r="I38" i="3"/>
  <c r="I37" i="3"/>
  <c r="I36" i="3"/>
  <c r="I35" i="3"/>
  <c r="H37" i="3"/>
  <c r="H36" i="3"/>
  <c r="H38" i="3"/>
  <c r="H39" i="3"/>
  <c r="H35" i="3"/>
  <c r="M39" i="3"/>
  <c r="C38" i="3"/>
  <c r="C36" i="3"/>
  <c r="C37" i="3"/>
  <c r="C39" i="3"/>
  <c r="C35" i="3"/>
  <c r="N27" i="3"/>
  <c r="N26" i="3"/>
  <c r="N25" i="3"/>
  <c r="N24" i="3"/>
  <c r="N23" i="3"/>
  <c r="I27" i="3"/>
  <c r="I25" i="3"/>
  <c r="I24" i="3"/>
  <c r="I26" i="3"/>
  <c r="I23" i="3"/>
  <c r="D27" i="3"/>
  <c r="D26" i="3"/>
  <c r="D25" i="3"/>
  <c r="D24" i="3"/>
  <c r="D23" i="3"/>
  <c r="M28" i="3"/>
  <c r="M27" i="3"/>
  <c r="M26" i="3"/>
  <c r="M25" i="3"/>
  <c r="M24" i="3"/>
  <c r="M23" i="3"/>
  <c r="H26" i="3"/>
  <c r="H25" i="3"/>
  <c r="H24" i="3"/>
  <c r="H27" i="3"/>
  <c r="H23" i="3"/>
  <c r="C27" i="3"/>
  <c r="C26" i="3"/>
  <c r="C25" i="3"/>
  <c r="C24" i="3"/>
  <c r="C23" i="3"/>
  <c r="N19" i="3"/>
  <c r="N18" i="3"/>
  <c r="N17" i="3"/>
  <c r="N16" i="3"/>
  <c r="N15" i="3"/>
  <c r="I19" i="3"/>
  <c r="I18" i="3"/>
  <c r="I17" i="3"/>
  <c r="I16" i="3"/>
  <c r="I15" i="3"/>
  <c r="D19" i="3"/>
  <c r="D18" i="3"/>
  <c r="D17" i="3"/>
  <c r="D16" i="3"/>
  <c r="D15" i="3"/>
  <c r="M18" i="3"/>
  <c r="M19" i="3"/>
  <c r="M17" i="3"/>
  <c r="M16" i="3"/>
  <c r="M15" i="3"/>
  <c r="H18" i="3"/>
  <c r="H17" i="3"/>
  <c r="H16" i="3"/>
  <c r="H15" i="3"/>
  <c r="C19" i="3"/>
  <c r="C18" i="3"/>
  <c r="C17" i="3"/>
  <c r="C16" i="3"/>
  <c r="C15" i="3"/>
  <c r="I10" i="4"/>
  <c r="J10" i="4"/>
  <c r="H10" i="4"/>
  <c r="F10" i="4"/>
  <c r="G10" i="4"/>
  <c r="E10" i="4"/>
  <c r="C10" i="4"/>
  <c r="D10" i="4"/>
  <c r="B10" i="4"/>
  <c r="N47" i="3"/>
  <c r="P47" i="3"/>
  <c r="N48" i="3"/>
  <c r="P48" i="3"/>
  <c r="N49" i="3"/>
  <c r="P49" i="3"/>
  <c r="N50" i="3"/>
  <c r="P50" i="3"/>
  <c r="N51" i="3"/>
  <c r="P51" i="3"/>
  <c r="P52" i="3"/>
  <c r="M47" i="3"/>
  <c r="O47" i="3"/>
  <c r="M48" i="3"/>
  <c r="O48" i="3"/>
  <c r="M49" i="3"/>
  <c r="O49" i="3"/>
  <c r="M50" i="3"/>
  <c r="O50" i="3"/>
  <c r="M51" i="3"/>
  <c r="O51" i="3"/>
  <c r="O52" i="3"/>
  <c r="N52" i="3"/>
  <c r="M52" i="3"/>
  <c r="L52" i="3"/>
  <c r="I47" i="3"/>
  <c r="K47" i="3"/>
  <c r="I48" i="3"/>
  <c r="K48" i="3"/>
  <c r="I49" i="3"/>
  <c r="K49" i="3"/>
  <c r="I50" i="3"/>
  <c r="K50" i="3"/>
  <c r="I51" i="3"/>
  <c r="K51" i="3"/>
  <c r="K52" i="3"/>
  <c r="H47" i="3"/>
  <c r="J47" i="3"/>
  <c r="H48" i="3"/>
  <c r="J48" i="3"/>
  <c r="H49" i="3"/>
  <c r="J49" i="3"/>
  <c r="H50" i="3"/>
  <c r="J50" i="3"/>
  <c r="H51" i="3"/>
  <c r="J51" i="3"/>
  <c r="J52" i="3"/>
  <c r="I52" i="3"/>
  <c r="H52" i="3"/>
  <c r="G52" i="3"/>
  <c r="D47" i="3"/>
  <c r="F47" i="3"/>
  <c r="D48" i="3"/>
  <c r="F48" i="3"/>
  <c r="D49" i="3"/>
  <c r="F49" i="3"/>
  <c r="D50" i="3"/>
  <c r="F50" i="3"/>
  <c r="D51" i="3"/>
  <c r="F51" i="3"/>
  <c r="F52" i="3"/>
  <c r="C47" i="3"/>
  <c r="E47" i="3"/>
  <c r="C48" i="3"/>
  <c r="E48" i="3"/>
  <c r="C49" i="3"/>
  <c r="E49" i="3"/>
  <c r="C50" i="3"/>
  <c r="E50" i="3"/>
  <c r="C51" i="3"/>
  <c r="E51" i="3"/>
  <c r="E52" i="3"/>
  <c r="D52" i="3"/>
  <c r="C52" i="3"/>
  <c r="B52" i="3"/>
  <c r="I9" i="4"/>
  <c r="J9" i="4"/>
  <c r="H9" i="4"/>
  <c r="F9" i="4"/>
  <c r="G9" i="4"/>
  <c r="E9" i="4"/>
  <c r="C9" i="4"/>
  <c r="D9" i="4"/>
  <c r="B9" i="4"/>
  <c r="N45" i="3"/>
  <c r="N44" i="3"/>
  <c r="N43" i="3"/>
  <c r="N42" i="3"/>
  <c r="N41" i="3"/>
  <c r="I45" i="3"/>
  <c r="I44" i="3"/>
  <c r="I43" i="3"/>
  <c r="I42" i="3"/>
  <c r="I41" i="3"/>
  <c r="D45" i="3"/>
  <c r="D44" i="3"/>
  <c r="D42" i="3"/>
  <c r="D43" i="3"/>
  <c r="D41" i="3"/>
  <c r="M45" i="3"/>
  <c r="M44" i="3"/>
  <c r="M43" i="3"/>
  <c r="M42" i="3"/>
  <c r="M41" i="3"/>
  <c r="H45" i="3"/>
  <c r="H44" i="3"/>
  <c r="H43" i="3"/>
  <c r="H42" i="3"/>
  <c r="H41" i="3"/>
  <c r="C45" i="3"/>
  <c r="C44" i="3"/>
  <c r="C43" i="3"/>
  <c r="C42" i="3"/>
  <c r="C41" i="3"/>
  <c r="B42" i="3"/>
  <c r="B43" i="3"/>
  <c r="B44" i="3"/>
  <c r="B41" i="3"/>
  <c r="M20" i="3"/>
  <c r="I6" i="4"/>
  <c r="N20" i="3"/>
  <c r="J6" i="4"/>
  <c r="L20" i="3"/>
  <c r="H6" i="4"/>
  <c r="H20" i="3"/>
  <c r="F6" i="4"/>
  <c r="I20" i="3"/>
  <c r="G6" i="4"/>
  <c r="G20" i="3"/>
  <c r="E6" i="4"/>
  <c r="C20" i="3"/>
  <c r="C6" i="4"/>
  <c r="D20" i="3"/>
  <c r="D6" i="4"/>
  <c r="B20" i="3"/>
  <c r="B6" i="4"/>
  <c r="I5" i="4"/>
  <c r="J5" i="4"/>
  <c r="H5" i="4"/>
  <c r="I4" i="4"/>
  <c r="J4" i="4"/>
  <c r="H4" i="4"/>
  <c r="F5" i="4"/>
  <c r="G5" i="4"/>
  <c r="E5" i="4"/>
  <c r="F4" i="4"/>
  <c r="G4" i="4"/>
  <c r="E4" i="4"/>
  <c r="I13" i="3"/>
  <c r="I12" i="3"/>
  <c r="I11" i="3"/>
  <c r="I10" i="3"/>
  <c r="I9" i="3"/>
  <c r="H13" i="3"/>
  <c r="H11" i="3"/>
  <c r="H10" i="3"/>
  <c r="H12" i="3"/>
  <c r="H9" i="3"/>
  <c r="N13" i="3"/>
  <c r="M13" i="3"/>
  <c r="N12" i="3"/>
  <c r="M12" i="3"/>
  <c r="N11" i="3"/>
  <c r="M11" i="3"/>
  <c r="N10" i="3"/>
  <c r="M10" i="3"/>
  <c r="N9" i="3"/>
  <c r="M9" i="3"/>
  <c r="D13" i="3"/>
  <c r="D12" i="3"/>
  <c r="D10" i="3"/>
  <c r="D11" i="3"/>
  <c r="D9" i="3"/>
  <c r="C13" i="3"/>
  <c r="C10" i="3"/>
  <c r="C11" i="3"/>
  <c r="C12" i="3"/>
  <c r="C9" i="3"/>
  <c r="N7" i="3"/>
  <c r="N6" i="3"/>
  <c r="N5" i="3"/>
  <c r="N4" i="3"/>
  <c r="N3" i="3"/>
  <c r="I6" i="3"/>
  <c r="I7" i="3"/>
  <c r="I5" i="3"/>
  <c r="I4" i="3"/>
  <c r="I3" i="3"/>
  <c r="H6" i="3"/>
  <c r="H5" i="3"/>
  <c r="H7" i="3"/>
  <c r="H4" i="3"/>
  <c r="H3" i="3"/>
  <c r="M7" i="3"/>
  <c r="M6" i="3"/>
  <c r="M5" i="3"/>
  <c r="M4" i="3"/>
  <c r="M3" i="3"/>
  <c r="D7" i="3"/>
  <c r="D6" i="3"/>
  <c r="D5" i="3"/>
  <c r="D4" i="3"/>
  <c r="D3" i="3"/>
  <c r="C7" i="3"/>
  <c r="C6" i="3"/>
  <c r="C5" i="3"/>
  <c r="C4" i="3"/>
  <c r="C3" i="3"/>
  <c r="C14" i="3"/>
  <c r="C5" i="4"/>
  <c r="D14" i="3"/>
  <c r="D5" i="4"/>
  <c r="B14" i="3"/>
  <c r="B5" i="4"/>
  <c r="C8" i="3"/>
  <c r="C4" i="4"/>
  <c r="D8" i="3"/>
  <c r="D4" i="4"/>
  <c r="B4" i="4"/>
  <c r="P41" i="3"/>
  <c r="P42" i="3"/>
  <c r="P43" i="3"/>
  <c r="P44" i="3"/>
  <c r="P45" i="3"/>
  <c r="P46" i="3"/>
  <c r="O41" i="3"/>
  <c r="O42" i="3"/>
  <c r="O43" i="3"/>
  <c r="O44" i="3"/>
  <c r="O45" i="3"/>
  <c r="O46" i="3"/>
  <c r="N46" i="3"/>
  <c r="M46" i="3"/>
  <c r="L46" i="3"/>
  <c r="K41" i="3"/>
  <c r="K42" i="3"/>
  <c r="K43" i="3"/>
  <c r="K44" i="3"/>
  <c r="K45" i="3"/>
  <c r="K46" i="3"/>
  <c r="J41" i="3"/>
  <c r="J42" i="3"/>
  <c r="J43" i="3"/>
  <c r="J44" i="3"/>
  <c r="J45" i="3"/>
  <c r="J46" i="3"/>
  <c r="I46" i="3"/>
  <c r="H46" i="3"/>
  <c r="G46" i="3"/>
  <c r="F41" i="3"/>
  <c r="F42" i="3"/>
  <c r="F43" i="3"/>
  <c r="F44" i="3"/>
  <c r="F45" i="3"/>
  <c r="F46" i="3"/>
  <c r="E41" i="3"/>
  <c r="E42" i="3"/>
  <c r="E43" i="3"/>
  <c r="E44" i="3"/>
  <c r="E45" i="3"/>
  <c r="E46" i="3"/>
  <c r="D46" i="3"/>
  <c r="C46" i="3"/>
  <c r="B46" i="3"/>
  <c r="P35" i="3"/>
  <c r="P36" i="3"/>
  <c r="P37" i="3"/>
  <c r="P38" i="3"/>
  <c r="P39" i="3"/>
  <c r="P40" i="3"/>
  <c r="O35" i="3"/>
  <c r="O36" i="3"/>
  <c r="O37" i="3"/>
  <c r="O38" i="3"/>
  <c r="O39" i="3"/>
  <c r="O40" i="3"/>
  <c r="K35" i="3"/>
  <c r="K36" i="3"/>
  <c r="K37" i="3"/>
  <c r="K38" i="3"/>
  <c r="K39" i="3"/>
  <c r="K40" i="3"/>
  <c r="J35" i="3"/>
  <c r="J36" i="3"/>
  <c r="J37" i="3"/>
  <c r="J38" i="3"/>
  <c r="J39" i="3"/>
  <c r="J40" i="3"/>
  <c r="I40" i="3"/>
  <c r="H40" i="3"/>
  <c r="F35" i="3"/>
  <c r="F36" i="3"/>
  <c r="F37" i="3"/>
  <c r="F38" i="3"/>
  <c r="F39" i="3"/>
  <c r="F40" i="3"/>
  <c r="E35" i="3"/>
  <c r="E36" i="3"/>
  <c r="E37" i="3"/>
  <c r="E38" i="3"/>
  <c r="E39" i="3"/>
  <c r="E40" i="3"/>
  <c r="C40" i="3"/>
  <c r="B40" i="3"/>
  <c r="P29" i="3"/>
  <c r="P30" i="3"/>
  <c r="P31" i="3"/>
  <c r="P32" i="3"/>
  <c r="P33" i="3"/>
  <c r="P34" i="3"/>
  <c r="O29" i="3"/>
  <c r="O30" i="3"/>
  <c r="O31" i="3"/>
  <c r="O32" i="3"/>
  <c r="O33" i="3"/>
  <c r="O34" i="3"/>
  <c r="N34" i="3"/>
  <c r="M34" i="3"/>
  <c r="L34" i="3"/>
  <c r="K29" i="3"/>
  <c r="K30" i="3"/>
  <c r="K31" i="3"/>
  <c r="K32" i="3"/>
  <c r="K33" i="3"/>
  <c r="K34" i="3"/>
  <c r="J29" i="3"/>
  <c r="J30" i="3"/>
  <c r="J31" i="3"/>
  <c r="J32" i="3"/>
  <c r="J33" i="3"/>
  <c r="J34" i="3"/>
  <c r="I34" i="3"/>
  <c r="H34" i="3"/>
  <c r="G34" i="3"/>
  <c r="F29" i="3"/>
  <c r="F30" i="3"/>
  <c r="F31" i="3"/>
  <c r="F32" i="3"/>
  <c r="F33" i="3"/>
  <c r="F34" i="3"/>
  <c r="E29" i="3"/>
  <c r="E30" i="3"/>
  <c r="E31" i="3"/>
  <c r="E32" i="3"/>
  <c r="E33" i="3"/>
  <c r="E34" i="3"/>
  <c r="D34" i="3"/>
  <c r="C34" i="3"/>
  <c r="B34" i="3"/>
  <c r="P23" i="3"/>
  <c r="P24" i="3"/>
  <c r="P25" i="3"/>
  <c r="P26" i="3"/>
  <c r="P27" i="3"/>
  <c r="P28" i="3"/>
  <c r="O23" i="3"/>
  <c r="O24" i="3"/>
  <c r="O25" i="3"/>
  <c r="O26" i="3"/>
  <c r="O27" i="3"/>
  <c r="O28" i="3"/>
  <c r="N28" i="3"/>
  <c r="L28" i="3"/>
  <c r="K23" i="3"/>
  <c r="K24" i="3"/>
  <c r="K25" i="3"/>
  <c r="K26" i="3"/>
  <c r="K27" i="3"/>
  <c r="K28" i="3"/>
  <c r="J23" i="3"/>
  <c r="J24" i="3"/>
  <c r="J25" i="3"/>
  <c r="J26" i="3"/>
  <c r="J27" i="3"/>
  <c r="J28" i="3"/>
  <c r="I28" i="3"/>
  <c r="H28" i="3"/>
  <c r="G28" i="3"/>
  <c r="F23" i="3"/>
  <c r="F24" i="3"/>
  <c r="F25" i="3"/>
  <c r="F26" i="3"/>
  <c r="F27" i="3"/>
  <c r="F28" i="3"/>
  <c r="E23" i="3"/>
  <c r="E24" i="3"/>
  <c r="E25" i="3"/>
  <c r="E26" i="3"/>
  <c r="E27" i="3"/>
  <c r="E28" i="3"/>
  <c r="D28" i="3"/>
  <c r="C28" i="3"/>
  <c r="B28" i="3"/>
  <c r="P15" i="3"/>
  <c r="P16" i="3"/>
  <c r="P17" i="3"/>
  <c r="P18" i="3"/>
  <c r="P19" i="3"/>
  <c r="P20" i="3"/>
  <c r="O15" i="3"/>
  <c r="O16" i="3"/>
  <c r="O17" i="3"/>
  <c r="O18" i="3"/>
  <c r="O19" i="3"/>
  <c r="O20" i="3"/>
  <c r="K15" i="3"/>
  <c r="K16" i="3"/>
  <c r="K17" i="3"/>
  <c r="K18" i="3"/>
  <c r="K19" i="3"/>
  <c r="K20" i="3"/>
  <c r="J15" i="3"/>
  <c r="J16" i="3"/>
  <c r="J17" i="3"/>
  <c r="J18" i="3"/>
  <c r="J19" i="3"/>
  <c r="J20" i="3"/>
  <c r="F15" i="3"/>
  <c r="F16" i="3"/>
  <c r="F17" i="3"/>
  <c r="F18" i="3"/>
  <c r="F19" i="3"/>
  <c r="F20" i="3"/>
  <c r="E15" i="3"/>
  <c r="E16" i="3"/>
  <c r="E17" i="3"/>
  <c r="E18" i="3"/>
  <c r="E19" i="3"/>
  <c r="E20" i="3"/>
  <c r="P9" i="3"/>
  <c r="P10" i="3"/>
  <c r="P11" i="3"/>
  <c r="P12" i="3"/>
  <c r="P13" i="3"/>
  <c r="P14" i="3"/>
  <c r="O9" i="3"/>
  <c r="O10" i="3"/>
  <c r="O11" i="3"/>
  <c r="O12" i="3"/>
  <c r="O13" i="3"/>
  <c r="O14" i="3"/>
  <c r="N14" i="3"/>
  <c r="M14" i="3"/>
  <c r="L14" i="3"/>
  <c r="K9" i="3"/>
  <c r="K10" i="3"/>
  <c r="K11" i="3"/>
  <c r="K12" i="3"/>
  <c r="K13" i="3"/>
  <c r="K14" i="3"/>
  <c r="J9" i="3"/>
  <c r="J10" i="3"/>
  <c r="J11" i="3"/>
  <c r="J12" i="3"/>
  <c r="J13" i="3"/>
  <c r="J14" i="3"/>
  <c r="I14" i="3"/>
  <c r="H14" i="3"/>
  <c r="G14" i="3"/>
  <c r="F9" i="3"/>
  <c r="F10" i="3"/>
  <c r="F11" i="3"/>
  <c r="F12" i="3"/>
  <c r="F13" i="3"/>
  <c r="F14" i="3"/>
  <c r="E9" i="3"/>
  <c r="E10" i="3"/>
  <c r="E11" i="3"/>
  <c r="E12" i="3"/>
  <c r="E13" i="3"/>
  <c r="E14" i="3"/>
  <c r="P3" i="3"/>
  <c r="P4" i="3"/>
  <c r="P5" i="3"/>
  <c r="P6" i="3"/>
  <c r="P7" i="3"/>
  <c r="P8" i="3"/>
  <c r="O3" i="3"/>
  <c r="O4" i="3"/>
  <c r="O5" i="3"/>
  <c r="O6" i="3"/>
  <c r="O7" i="3"/>
  <c r="O8" i="3"/>
  <c r="N8" i="3"/>
  <c r="M8" i="3"/>
  <c r="L8" i="3"/>
  <c r="K3" i="3"/>
  <c r="K4" i="3"/>
  <c r="K5" i="3"/>
  <c r="K6" i="3"/>
  <c r="K7" i="3"/>
  <c r="K8" i="3"/>
  <c r="J3" i="3"/>
  <c r="J4" i="3"/>
  <c r="J5" i="3"/>
  <c r="J6" i="3"/>
  <c r="J7" i="3"/>
  <c r="J8" i="3"/>
  <c r="I8" i="3"/>
  <c r="H8" i="3"/>
  <c r="G8" i="3"/>
  <c r="F3" i="3"/>
  <c r="F4" i="3"/>
  <c r="F5" i="3"/>
  <c r="F6" i="3"/>
  <c r="F7" i="3"/>
  <c r="F8" i="3"/>
  <c r="E3" i="3"/>
  <c r="E4" i="3"/>
  <c r="E5" i="3"/>
  <c r="E6" i="3"/>
  <c r="E7" i="3"/>
  <c r="E8" i="3"/>
  <c r="B8" i="3"/>
  <c r="M41" i="1"/>
  <c r="M42" i="1"/>
  <c r="M43" i="1"/>
  <c r="M44" i="1"/>
  <c r="M45" i="1"/>
  <c r="M46" i="1"/>
  <c r="I9" i="2"/>
  <c r="N41" i="1"/>
  <c r="N42" i="1"/>
  <c r="N43" i="1"/>
  <c r="N44" i="1"/>
  <c r="N45" i="1"/>
  <c r="N46" i="1"/>
  <c r="J9" i="2"/>
  <c r="L41" i="1"/>
  <c r="L42" i="1"/>
  <c r="L43" i="1"/>
  <c r="L44" i="1"/>
  <c r="L45" i="1"/>
  <c r="L46" i="1"/>
  <c r="H9" i="2"/>
  <c r="M35" i="1"/>
  <c r="M36" i="1"/>
  <c r="M37" i="1"/>
  <c r="M38" i="1"/>
  <c r="M39" i="1"/>
  <c r="M40" i="1"/>
  <c r="I8" i="2"/>
  <c r="N35" i="1"/>
  <c r="N36" i="1"/>
  <c r="N37" i="1"/>
  <c r="N38" i="1"/>
  <c r="N39" i="1"/>
  <c r="N40" i="1"/>
  <c r="J8" i="2"/>
  <c r="L40" i="1"/>
  <c r="H8" i="2"/>
  <c r="M29" i="1"/>
  <c r="M30" i="1"/>
  <c r="M31" i="1"/>
  <c r="M32" i="1"/>
  <c r="M33" i="1"/>
  <c r="M34" i="1"/>
  <c r="I7" i="2"/>
  <c r="N29" i="1"/>
  <c r="N30" i="1"/>
  <c r="N31" i="1"/>
  <c r="N32" i="1"/>
  <c r="N33" i="1"/>
  <c r="N34" i="1"/>
  <c r="J7" i="2"/>
  <c r="L29" i="1"/>
  <c r="L30" i="1"/>
  <c r="L31" i="1"/>
  <c r="L32" i="1"/>
  <c r="L33" i="1"/>
  <c r="L34" i="1"/>
  <c r="H7" i="2"/>
  <c r="M23" i="1"/>
  <c r="M24" i="1"/>
  <c r="M25" i="1"/>
  <c r="M26" i="1"/>
  <c r="M27" i="1"/>
  <c r="M28" i="1"/>
  <c r="I6" i="2"/>
  <c r="N23" i="1"/>
  <c r="N24" i="1"/>
  <c r="N25" i="1"/>
  <c r="N26" i="1"/>
  <c r="N27" i="1"/>
  <c r="N28" i="1"/>
  <c r="J6" i="2"/>
  <c r="L23" i="1"/>
  <c r="L24" i="1"/>
  <c r="L25" i="1"/>
  <c r="L26" i="1"/>
  <c r="L27" i="1"/>
  <c r="L28" i="1"/>
  <c r="H6" i="2"/>
  <c r="M15" i="1"/>
  <c r="M16" i="1"/>
  <c r="M17" i="1"/>
  <c r="M18" i="1"/>
  <c r="M19" i="1"/>
  <c r="M20" i="1"/>
  <c r="I5" i="2"/>
  <c r="N15" i="1"/>
  <c r="N16" i="1"/>
  <c r="N17" i="1"/>
  <c r="N18" i="1"/>
  <c r="N19" i="1"/>
  <c r="N20" i="1"/>
  <c r="J5" i="2"/>
  <c r="L15" i="1"/>
  <c r="L16" i="1"/>
  <c r="L17" i="1"/>
  <c r="L18" i="1"/>
  <c r="L19" i="1"/>
  <c r="L20" i="1"/>
  <c r="H5" i="2"/>
  <c r="D9" i="1"/>
  <c r="D10" i="1"/>
  <c r="D11" i="1"/>
  <c r="D12" i="1"/>
  <c r="D13" i="1"/>
  <c r="M14" i="1"/>
  <c r="I4" i="2"/>
  <c r="N9" i="1"/>
  <c r="N10" i="1"/>
  <c r="N11" i="1"/>
  <c r="N12" i="1"/>
  <c r="N13" i="1"/>
  <c r="N14" i="1"/>
  <c r="J4" i="2"/>
  <c r="L9" i="1"/>
  <c r="L10" i="1"/>
  <c r="L11" i="1"/>
  <c r="L12" i="1"/>
  <c r="L13" i="1"/>
  <c r="L14" i="1"/>
  <c r="H4" i="2"/>
  <c r="M3" i="1"/>
  <c r="M4" i="1"/>
  <c r="M5" i="1"/>
  <c r="M6" i="1"/>
  <c r="M7" i="1"/>
  <c r="M8" i="1"/>
  <c r="I3" i="2"/>
  <c r="N3" i="1"/>
  <c r="N4" i="1"/>
  <c r="N5" i="1"/>
  <c r="N6" i="1"/>
  <c r="N7" i="1"/>
  <c r="N8" i="1"/>
  <c r="J3" i="2"/>
  <c r="L8" i="1"/>
  <c r="H3" i="2"/>
  <c r="H41" i="1"/>
  <c r="H42" i="1"/>
  <c r="H43" i="1"/>
  <c r="H44" i="1"/>
  <c r="H45" i="1"/>
  <c r="H46" i="1"/>
  <c r="F9" i="2"/>
  <c r="I41" i="1"/>
  <c r="I42" i="1"/>
  <c r="I43" i="1"/>
  <c r="I44" i="1"/>
  <c r="I45" i="1"/>
  <c r="I46" i="1"/>
  <c r="G9" i="2"/>
  <c r="G41" i="1"/>
  <c r="G42" i="1"/>
  <c r="G43" i="1"/>
  <c r="G44" i="1"/>
  <c r="G45" i="1"/>
  <c r="G46" i="1"/>
  <c r="E9" i="2"/>
  <c r="H35" i="1"/>
  <c r="H36" i="1"/>
  <c r="H37" i="1"/>
  <c r="H38" i="1"/>
  <c r="H39" i="1"/>
  <c r="H40" i="1"/>
  <c r="F8" i="2"/>
  <c r="I35" i="1"/>
  <c r="I36" i="1"/>
  <c r="I37" i="1"/>
  <c r="I38" i="1"/>
  <c r="I39" i="1"/>
  <c r="I40" i="1"/>
  <c r="G8" i="2"/>
  <c r="G40" i="1"/>
  <c r="E8" i="2"/>
  <c r="H29" i="1"/>
  <c r="H30" i="1"/>
  <c r="H31" i="1"/>
  <c r="H32" i="1"/>
  <c r="H33" i="1"/>
  <c r="H34" i="1"/>
  <c r="F7" i="2"/>
  <c r="I29" i="1"/>
  <c r="I30" i="1"/>
  <c r="I31" i="1"/>
  <c r="I32" i="1"/>
  <c r="I33" i="1"/>
  <c r="I34" i="1"/>
  <c r="G7" i="2"/>
  <c r="G29" i="1"/>
  <c r="G30" i="1"/>
  <c r="G31" i="1"/>
  <c r="G32" i="1"/>
  <c r="G33" i="1"/>
  <c r="G34" i="1"/>
  <c r="E7" i="2"/>
  <c r="H23" i="1"/>
  <c r="H24" i="1"/>
  <c r="H25" i="1"/>
  <c r="H26" i="1"/>
  <c r="H27" i="1"/>
  <c r="H28" i="1"/>
  <c r="F6" i="2"/>
  <c r="I23" i="1"/>
  <c r="I24" i="1"/>
  <c r="I25" i="1"/>
  <c r="I26" i="1"/>
  <c r="I27" i="1"/>
  <c r="I28" i="1"/>
  <c r="G6" i="2"/>
  <c r="G23" i="1"/>
  <c r="G24" i="1"/>
  <c r="G25" i="1"/>
  <c r="G26" i="1"/>
  <c r="G27" i="1"/>
  <c r="G28" i="1"/>
  <c r="E6" i="2"/>
  <c r="H15" i="1"/>
  <c r="H16" i="1"/>
  <c r="H17" i="1"/>
  <c r="H18" i="1"/>
  <c r="H19" i="1"/>
  <c r="H20" i="1"/>
  <c r="F5" i="2"/>
  <c r="I15" i="1"/>
  <c r="I16" i="1"/>
  <c r="I17" i="1"/>
  <c r="I18" i="1"/>
  <c r="I19" i="1"/>
  <c r="I20" i="1"/>
  <c r="G5" i="2"/>
  <c r="G15" i="1"/>
  <c r="G16" i="1"/>
  <c r="G17" i="1"/>
  <c r="G18" i="1"/>
  <c r="G19" i="1"/>
  <c r="G20" i="1"/>
  <c r="E5" i="2"/>
  <c r="H9" i="1"/>
  <c r="H10" i="1"/>
  <c r="H11" i="1"/>
  <c r="H12" i="1"/>
  <c r="H13" i="1"/>
  <c r="H14" i="1"/>
  <c r="F4" i="2"/>
  <c r="I9" i="1"/>
  <c r="I10" i="1"/>
  <c r="I11" i="1"/>
  <c r="I12" i="1"/>
  <c r="I13" i="1"/>
  <c r="I14" i="1"/>
  <c r="G4" i="2"/>
  <c r="G9" i="1"/>
  <c r="G10" i="1"/>
  <c r="G11" i="1"/>
  <c r="G12" i="1"/>
  <c r="G13" i="1"/>
  <c r="G14" i="1"/>
  <c r="E4" i="2"/>
  <c r="H3" i="1"/>
  <c r="H4" i="1"/>
  <c r="H5" i="1"/>
  <c r="H6" i="1"/>
  <c r="H7" i="1"/>
  <c r="H8" i="1"/>
  <c r="F3" i="2"/>
  <c r="I3" i="1"/>
  <c r="I4" i="1"/>
  <c r="I5" i="1"/>
  <c r="I6" i="1"/>
  <c r="I7" i="1"/>
  <c r="I8" i="1"/>
  <c r="G3" i="2"/>
  <c r="G7" i="1"/>
  <c r="G8" i="1"/>
  <c r="E3" i="2"/>
  <c r="C41" i="1"/>
  <c r="C42" i="1"/>
  <c r="C43" i="1"/>
  <c r="C44" i="1"/>
  <c r="C45" i="1"/>
  <c r="C46" i="1"/>
  <c r="C9" i="2"/>
  <c r="D41" i="1"/>
  <c r="D42" i="1"/>
  <c r="D43" i="1"/>
  <c r="D44" i="1"/>
  <c r="D45" i="1"/>
  <c r="D46" i="1"/>
  <c r="D9" i="2"/>
  <c r="C35" i="1"/>
  <c r="C36" i="1"/>
  <c r="C37" i="1"/>
  <c r="C38" i="1"/>
  <c r="C39" i="1"/>
  <c r="C40" i="1"/>
  <c r="C8" i="2"/>
  <c r="D35" i="1"/>
  <c r="D36" i="1"/>
  <c r="D37" i="1"/>
  <c r="D38" i="1"/>
  <c r="D39" i="1"/>
  <c r="D40" i="1"/>
  <c r="D8" i="2"/>
  <c r="C29" i="1"/>
  <c r="C30" i="1"/>
  <c r="C31" i="1"/>
  <c r="C32" i="1"/>
  <c r="C33" i="1"/>
  <c r="C34" i="1"/>
  <c r="C7" i="2"/>
  <c r="D29" i="1"/>
  <c r="D30" i="1"/>
  <c r="D31" i="1"/>
  <c r="D32" i="1"/>
  <c r="D33" i="1"/>
  <c r="D34" i="1"/>
  <c r="D7" i="2"/>
  <c r="C23" i="1"/>
  <c r="C24" i="1"/>
  <c r="C25" i="1"/>
  <c r="C26" i="1"/>
  <c r="C27" i="1"/>
  <c r="C28" i="1"/>
  <c r="C6" i="2"/>
  <c r="D23" i="1"/>
  <c r="D24" i="1"/>
  <c r="D25" i="1"/>
  <c r="D26" i="1"/>
  <c r="D27" i="1"/>
  <c r="D28" i="1"/>
  <c r="D6" i="2"/>
  <c r="C15" i="1"/>
  <c r="C16" i="1"/>
  <c r="C17" i="1"/>
  <c r="C18" i="1"/>
  <c r="C19" i="1"/>
  <c r="C20" i="1"/>
  <c r="C5" i="2"/>
  <c r="D15" i="1"/>
  <c r="D16" i="1"/>
  <c r="D17" i="1"/>
  <c r="D18" i="1"/>
  <c r="D19" i="1"/>
  <c r="D20" i="1"/>
  <c r="D5" i="2"/>
  <c r="C9" i="1"/>
  <c r="C10" i="1"/>
  <c r="C11" i="1"/>
  <c r="C12" i="1"/>
  <c r="C13" i="1"/>
  <c r="C14" i="1"/>
  <c r="C4" i="2"/>
  <c r="D14" i="1"/>
  <c r="D4" i="2"/>
  <c r="C3" i="1"/>
  <c r="C4" i="1"/>
  <c r="C5" i="1"/>
  <c r="C6" i="1"/>
  <c r="C7" i="1"/>
  <c r="C8" i="1"/>
  <c r="C3" i="2"/>
  <c r="D3" i="1"/>
  <c r="D4" i="1"/>
  <c r="D5" i="1"/>
  <c r="D6" i="1"/>
  <c r="D7" i="1"/>
  <c r="D8" i="1"/>
  <c r="D3" i="2"/>
  <c r="B41" i="1"/>
  <c r="B42" i="1"/>
  <c r="B43" i="1"/>
  <c r="B44" i="1"/>
  <c r="B45" i="1"/>
  <c r="B46" i="1"/>
  <c r="B9" i="2"/>
  <c r="B35" i="1"/>
  <c r="B36" i="1"/>
  <c r="B37" i="1"/>
  <c r="B38" i="1"/>
  <c r="B39" i="1"/>
  <c r="B40" i="1"/>
  <c r="B8" i="2"/>
  <c r="B29" i="1"/>
  <c r="B30" i="1"/>
  <c r="B31" i="1"/>
  <c r="B32" i="1"/>
  <c r="B33" i="1"/>
  <c r="B34" i="1"/>
  <c r="B7" i="2"/>
  <c r="B23" i="1"/>
  <c r="B24" i="1"/>
  <c r="B25" i="1"/>
  <c r="B26" i="1"/>
  <c r="B27" i="1"/>
  <c r="B28" i="1"/>
  <c r="B6" i="2"/>
  <c r="B15" i="1"/>
  <c r="B16" i="1"/>
  <c r="B17" i="1"/>
  <c r="B18" i="1"/>
  <c r="B19" i="1"/>
  <c r="B20" i="1"/>
  <c r="B5" i="2"/>
  <c r="B9" i="1"/>
  <c r="B10" i="1"/>
  <c r="B11" i="1"/>
  <c r="B12" i="1"/>
  <c r="B13" i="1"/>
  <c r="B14" i="1"/>
  <c r="B4" i="2"/>
  <c r="B8" i="1"/>
  <c r="B3" i="2"/>
  <c r="F10" i="1"/>
  <c r="F11" i="1"/>
  <c r="F12" i="1"/>
  <c r="F13" i="1"/>
  <c r="F9" i="1"/>
  <c r="M13" i="1"/>
  <c r="M12" i="1"/>
  <c r="M11" i="1"/>
  <c r="M10" i="1"/>
  <c r="M9" i="1"/>
  <c r="P41" i="1"/>
  <c r="P42" i="1"/>
  <c r="P43" i="1"/>
  <c r="P44" i="1"/>
  <c r="P45" i="1"/>
  <c r="P46" i="1"/>
  <c r="O41" i="1"/>
  <c r="O42" i="1"/>
  <c r="O43" i="1"/>
  <c r="O44" i="1"/>
  <c r="O45" i="1"/>
  <c r="O46" i="1"/>
  <c r="K41" i="1"/>
  <c r="K42" i="1"/>
  <c r="K43" i="1"/>
  <c r="K44" i="1"/>
  <c r="K45" i="1"/>
  <c r="K46" i="1"/>
  <c r="J41" i="1"/>
  <c r="J42" i="1"/>
  <c r="J43" i="1"/>
  <c r="J44" i="1"/>
  <c r="J45" i="1"/>
  <c r="J46" i="1"/>
  <c r="F41" i="1"/>
  <c r="F42" i="1"/>
  <c r="F43" i="1"/>
  <c r="F44" i="1"/>
  <c r="F45" i="1"/>
  <c r="F46" i="1"/>
  <c r="E41" i="1"/>
  <c r="E42" i="1"/>
  <c r="E43" i="1"/>
  <c r="E44" i="1"/>
  <c r="E45" i="1"/>
  <c r="E46" i="1"/>
  <c r="P35" i="1"/>
  <c r="P36" i="1"/>
  <c r="P37" i="1"/>
  <c r="P38" i="1"/>
  <c r="P39" i="1"/>
  <c r="P40" i="1"/>
  <c r="O35" i="1"/>
  <c r="O36" i="1"/>
  <c r="O37" i="1"/>
  <c r="O38" i="1"/>
  <c r="O39" i="1"/>
  <c r="O40" i="1"/>
  <c r="K35" i="1"/>
  <c r="K36" i="1"/>
  <c r="K37" i="1"/>
  <c r="K38" i="1"/>
  <c r="K39" i="1"/>
  <c r="K40" i="1"/>
  <c r="J35" i="1"/>
  <c r="J36" i="1"/>
  <c r="J37" i="1"/>
  <c r="J38" i="1"/>
  <c r="J39" i="1"/>
  <c r="J40" i="1"/>
  <c r="F35" i="1"/>
  <c r="F36" i="1"/>
  <c r="F37" i="1"/>
  <c r="F38" i="1"/>
  <c r="F39" i="1"/>
  <c r="F40" i="1"/>
  <c r="E35" i="1"/>
  <c r="E36" i="1"/>
  <c r="E37" i="1"/>
  <c r="E38" i="1"/>
  <c r="E39" i="1"/>
  <c r="E40" i="1"/>
  <c r="P29" i="1"/>
  <c r="P30" i="1"/>
  <c r="P31" i="1"/>
  <c r="P32" i="1"/>
  <c r="P33" i="1"/>
  <c r="P34" i="1"/>
  <c r="O29" i="1"/>
  <c r="O30" i="1"/>
  <c r="O31" i="1"/>
  <c r="O32" i="1"/>
  <c r="O33" i="1"/>
  <c r="O34" i="1"/>
  <c r="K29" i="1"/>
  <c r="K30" i="1"/>
  <c r="K31" i="1"/>
  <c r="K32" i="1"/>
  <c r="K33" i="1"/>
  <c r="K34" i="1"/>
  <c r="J29" i="1"/>
  <c r="J30" i="1"/>
  <c r="J31" i="1"/>
  <c r="J32" i="1"/>
  <c r="J33" i="1"/>
  <c r="J34" i="1"/>
  <c r="F29" i="1"/>
  <c r="F30" i="1"/>
  <c r="F31" i="1"/>
  <c r="F32" i="1"/>
  <c r="F33" i="1"/>
  <c r="F34" i="1"/>
  <c r="E29" i="1"/>
  <c r="E30" i="1"/>
  <c r="E31" i="1"/>
  <c r="E32" i="1"/>
  <c r="E33" i="1"/>
  <c r="E34" i="1"/>
  <c r="P23" i="1"/>
  <c r="P24" i="1"/>
  <c r="P25" i="1"/>
  <c r="P26" i="1"/>
  <c r="P27" i="1"/>
  <c r="P28" i="1"/>
  <c r="O23" i="1"/>
  <c r="O24" i="1"/>
  <c r="O25" i="1"/>
  <c r="O26" i="1"/>
  <c r="O27" i="1"/>
  <c r="O28" i="1"/>
  <c r="K23" i="1"/>
  <c r="K24" i="1"/>
  <c r="K25" i="1"/>
  <c r="K26" i="1"/>
  <c r="K27" i="1"/>
  <c r="K28" i="1"/>
  <c r="J23" i="1"/>
  <c r="J24" i="1"/>
  <c r="J25" i="1"/>
  <c r="J26" i="1"/>
  <c r="J27" i="1"/>
  <c r="J28" i="1"/>
  <c r="F23" i="1"/>
  <c r="F24" i="1"/>
  <c r="F25" i="1"/>
  <c r="F26" i="1"/>
  <c r="F27" i="1"/>
  <c r="F28" i="1"/>
  <c r="E23" i="1"/>
  <c r="E24" i="1"/>
  <c r="E25" i="1"/>
  <c r="E26" i="1"/>
  <c r="E27" i="1"/>
  <c r="E28" i="1"/>
  <c r="P15" i="1"/>
  <c r="P16" i="1"/>
  <c r="P17" i="1"/>
  <c r="P18" i="1"/>
  <c r="P19" i="1"/>
  <c r="P20" i="1"/>
  <c r="O15" i="1"/>
  <c r="O16" i="1"/>
  <c r="O17" i="1"/>
  <c r="O18" i="1"/>
  <c r="O19" i="1"/>
  <c r="O20" i="1"/>
  <c r="K15" i="1"/>
  <c r="K16" i="1"/>
  <c r="K17" i="1"/>
  <c r="K18" i="1"/>
  <c r="K19" i="1"/>
  <c r="K20" i="1"/>
  <c r="J15" i="1"/>
  <c r="J16" i="1"/>
  <c r="J17" i="1"/>
  <c r="J18" i="1"/>
  <c r="J19" i="1"/>
  <c r="J20" i="1"/>
  <c r="F15" i="1"/>
  <c r="F16" i="1"/>
  <c r="F17" i="1"/>
  <c r="F18" i="1"/>
  <c r="F19" i="1"/>
  <c r="F20" i="1"/>
  <c r="E15" i="1"/>
  <c r="E16" i="1"/>
  <c r="E17" i="1"/>
  <c r="E18" i="1"/>
  <c r="E19" i="1"/>
  <c r="E20" i="1"/>
  <c r="P9" i="1"/>
  <c r="P10" i="1"/>
  <c r="P11" i="1"/>
  <c r="P12" i="1"/>
  <c r="P13" i="1"/>
  <c r="P14" i="1"/>
  <c r="O9" i="1"/>
  <c r="O10" i="1"/>
  <c r="O11" i="1"/>
  <c r="O12" i="1"/>
  <c r="O13" i="1"/>
  <c r="O14" i="1"/>
  <c r="K9" i="1"/>
  <c r="K10" i="1"/>
  <c r="K11" i="1"/>
  <c r="K12" i="1"/>
  <c r="K13" i="1"/>
  <c r="K14" i="1"/>
  <c r="J9" i="1"/>
  <c r="J10" i="1"/>
  <c r="J11" i="1"/>
  <c r="J12" i="1"/>
  <c r="J13" i="1"/>
  <c r="J14" i="1"/>
  <c r="F14" i="1"/>
  <c r="E9" i="1"/>
  <c r="E10" i="1"/>
  <c r="E11" i="1"/>
  <c r="E12" i="1"/>
  <c r="E13" i="1"/>
  <c r="E14" i="1"/>
  <c r="P3" i="1"/>
  <c r="P4" i="1"/>
  <c r="P5" i="1"/>
  <c r="P6" i="1"/>
  <c r="P7" i="1"/>
  <c r="P8" i="1"/>
  <c r="O3" i="1"/>
  <c r="O4" i="1"/>
  <c r="O5" i="1"/>
  <c r="O6" i="1"/>
  <c r="O7" i="1"/>
  <c r="O8" i="1"/>
  <c r="K3" i="1"/>
  <c r="K4" i="1"/>
  <c r="K5" i="1"/>
  <c r="K6" i="1"/>
  <c r="K7" i="1"/>
  <c r="K8" i="1"/>
  <c r="J3" i="1"/>
  <c r="J4" i="1"/>
  <c r="J5" i="1"/>
  <c r="J6" i="1"/>
  <c r="J7" i="1"/>
  <c r="J8" i="1"/>
  <c r="F3" i="1"/>
  <c r="F4" i="1"/>
  <c r="F5" i="1"/>
  <c r="F6" i="1"/>
  <c r="F7" i="1"/>
  <c r="F8" i="1"/>
  <c r="E3" i="1"/>
  <c r="E4" i="1"/>
  <c r="E5" i="1"/>
  <c r="E6" i="1"/>
  <c r="E7" i="1"/>
  <c r="E8" i="1"/>
</calcChain>
</file>

<file path=xl/sharedStrings.xml><?xml version="1.0" encoding="utf-8"?>
<sst xmlns="http://schemas.openxmlformats.org/spreadsheetml/2006/main" count="146" uniqueCount="24">
  <si>
    <t>Circuit Label</t>
  </si>
  <si>
    <t>No Prox/Touch</t>
  </si>
  <si>
    <t>Proximity</t>
  </si>
  <si>
    <t>Touch</t>
  </si>
  <si>
    <t>Vmax (V)</t>
  </si>
  <si>
    <t>Rise Time (s)</t>
  </si>
  <si>
    <t>Fall Time (s)</t>
  </si>
  <si>
    <t>RiseCapacitance (F)</t>
  </si>
  <si>
    <t>Fall Capacitance (F)</t>
  </si>
  <si>
    <t>Average</t>
  </si>
  <si>
    <t>H</t>
  </si>
  <si>
    <t>E*</t>
  </si>
  <si>
    <t>D*</t>
  </si>
  <si>
    <t>C*</t>
  </si>
  <si>
    <t>B*</t>
  </si>
  <si>
    <t>A*</t>
  </si>
  <si>
    <t>F*</t>
  </si>
  <si>
    <t>B</t>
  </si>
  <si>
    <t>C</t>
  </si>
  <si>
    <t>D</t>
  </si>
  <si>
    <t>F</t>
  </si>
  <si>
    <t>G</t>
  </si>
  <si>
    <t>A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</si>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</sst>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NumberFormat="1" applyFont="1"/>
    <xf numFmtId="0" fontId="1" fillId="0" borderId="1" xfId="0" applyNumberFormat="1" applyFont="1" applyBorder="1"/>
    <xf numFmtId="0" fontId="1" fillId="0" borderId="7" xfId="0" applyNumberFormat="1" applyFont="1" applyBorder="1"/>
    <xf numFmtId="0" fontId="2" fillId="0" borderId="8" xfId="0" applyFont="1" applyBorder="1"/>
    <xf numFmtId="0" fontId="1" fillId="0" borderId="6" xfId="0" applyFont="1" applyBorder="1"/>
    <xf numFmtId="0" fontId="2" fillId="0" borderId="6" xfId="0" applyFont="1" applyBorder="1"/>
    <xf numFmtId="0" fontId="2" fillId="0" borderId="9" xfId="0" applyFont="1" applyBorder="1"/>
    <xf numFmtId="0" fontId="1" fillId="0" borderId="10" xfId="0" applyFont="1" applyBorder="1" applyAlignment="1">
      <alignment horizontal="center"/>
    </xf>
    <xf numFmtId="0" fontId="0" fillId="0" borderId="1" xfId="0" applyBorder="1"/>
    <xf numFmtId="0" fontId="1" fillId="0" borderId="11" xfId="0" applyFont="1" applyBorder="1"/>
    <xf numFmtId="11" fontId="5" fillId="0" borderId="0" xfId="0" applyNumberFormat="1" applyFont="1" applyBorder="1"/>
    <xf numFmtId="11" fontId="5" fillId="0" borderId="1" xfId="0" applyNumberFormat="1" applyFont="1" applyBorder="1"/>
    <xf numFmtId="11" fontId="0" fillId="0" borderId="2" xfId="0" applyNumberFormat="1" applyBorder="1"/>
    <xf numFmtId="11" fontId="0" fillId="0" borderId="0" xfId="0" applyNumberFormat="1" applyBorder="1"/>
    <xf numFmtId="11" fontId="0" fillId="0" borderId="1" xfId="0" applyNumberFormat="1" applyBorder="1"/>
    <xf numFmtId="11" fontId="5" fillId="0" borderId="0" xfId="0" applyNumberFormat="1" applyFont="1"/>
    <xf numFmtId="11" fontId="5" fillId="0" borderId="7" xfId="0" applyNumberFormat="1" applyFont="1" applyBorder="1"/>
    <xf numFmtId="11" fontId="1" fillId="0" borderId="0" xfId="0" applyNumberFormat="1" applyFont="1"/>
    <xf numFmtId="11" fontId="1" fillId="0" borderId="7" xfId="0" applyNumberFormat="1" applyFont="1" applyBorder="1"/>
    <xf numFmtId="11" fontId="1" fillId="0" borderId="1" xfId="0" applyNumberFormat="1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'Before Cyclic Twisting Test'!$B$1:$B$22</c:f>
              <c:strCache>
                <c:ptCount val="1"/>
                <c:pt idx="0">
                  <c:v>No Prox/Touch Vmax (V) 4.401 4.401 4.401 4.041 4.041 4.257 4.001 4.001 4.001 4.001 4.001 4.001 3.441 3.441 3.521 3.521 3.441 3.473 No Prox/Touch Vmax (V)</c:v>
                </c:pt>
              </c:strCache>
            </c:strRef>
          </c:tx>
          <c:invertIfNegative val="0"/>
          <c:cat>
            <c:strRef>
              <c:f>'Before Cyclic Twisting Test'!$A$23:$A$52</c:f>
              <c:strCache>
                <c:ptCount val="30"/>
                <c:pt idx="0">
                  <c:v>D</c:v>
                </c:pt>
                <c:pt idx="5">
                  <c:v>Average</c:v>
                </c:pt>
                <c:pt idx="6">
                  <c:v>E*</c:v>
                </c:pt>
                <c:pt idx="11">
                  <c:v>Average</c:v>
                </c:pt>
                <c:pt idx="12">
                  <c:v>F</c:v>
                </c:pt>
                <c:pt idx="17">
                  <c:v>Average</c:v>
                </c:pt>
                <c:pt idx="18">
                  <c:v>G</c:v>
                </c:pt>
                <c:pt idx="23">
                  <c:v>Average</c:v>
                </c:pt>
                <c:pt idx="24">
                  <c:v>H</c:v>
                </c:pt>
                <c:pt idx="29">
                  <c:v>Average</c:v>
                </c:pt>
              </c:strCache>
            </c:strRef>
          </c:cat>
          <c:val>
            <c:numRef>
              <c:f>'Before Cyclic Twisting Test'!$B$23:$B$52</c:f>
              <c:numCache>
                <c:formatCode>General</c:formatCode>
                <c:ptCount val="30"/>
                <c:pt idx="0">
                  <c:v>3.7610000000000001</c:v>
                </c:pt>
                <c:pt idx="1">
                  <c:v>3.7610000000000001</c:v>
                </c:pt>
                <c:pt idx="2">
                  <c:v>3.8410000000000002</c:v>
                </c:pt>
                <c:pt idx="3">
                  <c:v>3.7610000000000001</c:v>
                </c:pt>
                <c:pt idx="4">
                  <c:v>3.7610000000000001</c:v>
                </c:pt>
                <c:pt idx="5">
                  <c:v>3.7769999999999997</c:v>
                </c:pt>
                <c:pt idx="6">
                  <c:v>3.7610000000000001</c:v>
                </c:pt>
                <c:pt idx="7">
                  <c:v>3.7610000000000001</c:v>
                </c:pt>
                <c:pt idx="8">
                  <c:v>3.8410000000000002</c:v>
                </c:pt>
                <c:pt idx="9">
                  <c:v>3.7610000000000001</c:v>
                </c:pt>
                <c:pt idx="10">
                  <c:v>3.7610000000000001</c:v>
                </c:pt>
                <c:pt idx="11">
                  <c:v>3.7769999999999997</c:v>
                </c:pt>
                <c:pt idx="12">
                  <c:v>3.8809999999999998</c:v>
                </c:pt>
                <c:pt idx="13">
                  <c:v>3.8809999999999998</c:v>
                </c:pt>
                <c:pt idx="14">
                  <c:v>3.8809999999999998</c:v>
                </c:pt>
                <c:pt idx="15">
                  <c:v>3.9209999999999998</c:v>
                </c:pt>
                <c:pt idx="16">
                  <c:v>3.8809999999999998</c:v>
                </c:pt>
                <c:pt idx="17">
                  <c:v>3.8889999999999993</c:v>
                </c:pt>
                <c:pt idx="18">
                  <c:v>4.3209999999999997</c:v>
                </c:pt>
                <c:pt idx="19">
                  <c:v>4.3209999999999997</c:v>
                </c:pt>
                <c:pt idx="20">
                  <c:v>4.3209999999999997</c:v>
                </c:pt>
                <c:pt idx="21">
                  <c:v>4.3209999999999997</c:v>
                </c:pt>
                <c:pt idx="22">
                  <c:v>4.0410000000000004</c:v>
                </c:pt>
                <c:pt idx="23">
                  <c:v>4.2649999999999997</c:v>
                </c:pt>
                <c:pt idx="24">
                  <c:v>4.0410000000000004</c:v>
                </c:pt>
                <c:pt idx="25">
                  <c:v>4.0410000000000004</c:v>
                </c:pt>
                <c:pt idx="26">
                  <c:v>4.0410000000000004</c:v>
                </c:pt>
                <c:pt idx="27">
                  <c:v>4.0410000000000004</c:v>
                </c:pt>
                <c:pt idx="28">
                  <c:v>4.0410000000000004</c:v>
                </c:pt>
                <c:pt idx="29">
                  <c:v>4.0410000000000004</c:v>
                </c:pt>
              </c:numCache>
            </c:numRef>
          </c:val>
        </c:ser>
        <c:ser>
          <c:idx val="1"/>
          <c:order val="1"/>
          <c:tx>
            <c:strRef>
              <c:f>'Before Cyclic Twisting Test'!$C$1:$C$22</c:f>
              <c:strCache>
                <c:ptCount val="1"/>
                <c:pt idx="0">
                  <c:v>No Prox/Touch Rise Time (s) 0.00000032 0.00000033 0.00000033 0.00000034 0.00000034 0.000000332 0.00000034 0.00000034 0.00000034 0.00000034 0.00000033 0.000000338 0.00000063 0.0000006 0.00000061 0.00000061 0.0000006 0.00000061 No Prox/Touch Rise Time (s)</c:v>
                </c:pt>
              </c:strCache>
            </c:strRef>
          </c:tx>
          <c:invertIfNegative val="0"/>
          <c:cat>
            <c:strRef>
              <c:f>'Before Cyclic Twisting Test'!$A$23:$A$52</c:f>
              <c:strCache>
                <c:ptCount val="30"/>
                <c:pt idx="0">
                  <c:v>D</c:v>
                </c:pt>
                <c:pt idx="5">
                  <c:v>Average</c:v>
                </c:pt>
                <c:pt idx="6">
                  <c:v>E*</c:v>
                </c:pt>
                <c:pt idx="11">
                  <c:v>Average</c:v>
                </c:pt>
                <c:pt idx="12">
                  <c:v>F</c:v>
                </c:pt>
                <c:pt idx="17">
                  <c:v>Average</c:v>
                </c:pt>
                <c:pt idx="18">
                  <c:v>G</c:v>
                </c:pt>
                <c:pt idx="23">
                  <c:v>Average</c:v>
                </c:pt>
                <c:pt idx="24">
                  <c:v>H</c:v>
                </c:pt>
                <c:pt idx="29">
                  <c:v>Average</c:v>
                </c:pt>
              </c:strCache>
            </c:strRef>
          </c:cat>
          <c:val>
            <c:numRef>
              <c:f>'Before Cyclic Twisting Test'!$C$23:$C$52</c:f>
              <c:numCache>
                <c:formatCode>General</c:formatCode>
                <c:ptCount val="30"/>
                <c:pt idx="0">
                  <c:v>4.3000000000000001E-7</c:v>
                </c:pt>
                <c:pt idx="1">
                  <c:v>4.3000000000000001E-7</c:v>
                </c:pt>
                <c:pt idx="2">
                  <c:v>3.9000000000000002E-7</c:v>
                </c:pt>
                <c:pt idx="3">
                  <c:v>3.9000000000000002E-7</c:v>
                </c:pt>
                <c:pt idx="4">
                  <c:v>3.8000000000000001E-7</c:v>
                </c:pt>
                <c:pt idx="5">
                  <c:v>4.0400000000000002E-7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3.2000000000000001E-7</c:v>
                </c:pt>
                <c:pt idx="13">
                  <c:v>3.3000000000000002E-7</c:v>
                </c:pt>
                <c:pt idx="14">
                  <c:v>3.3000000000000002E-7</c:v>
                </c:pt>
                <c:pt idx="15">
                  <c:v>3.2000000000000001E-7</c:v>
                </c:pt>
                <c:pt idx="16">
                  <c:v>3.2000000000000001E-7</c:v>
                </c:pt>
                <c:pt idx="17">
                  <c:v>3.2399999999999994E-7</c:v>
                </c:pt>
                <c:pt idx="18">
                  <c:v>4.6000000000000004E-7</c:v>
                </c:pt>
                <c:pt idx="19">
                  <c:v>5.0000000000000008E-7</c:v>
                </c:pt>
                <c:pt idx="20">
                  <c:v>4.8000000000000006E-7</c:v>
                </c:pt>
                <c:pt idx="21">
                  <c:v>4.9000000000000007E-7</c:v>
                </c:pt>
                <c:pt idx="22">
                  <c:v>4.8000000000000006E-7</c:v>
                </c:pt>
                <c:pt idx="23">
                  <c:v>4.82E-7</c:v>
                </c:pt>
                <c:pt idx="24">
                  <c:v>3.2000000000000001E-7</c:v>
                </c:pt>
                <c:pt idx="25">
                  <c:v>3.2000000000000001E-7</c:v>
                </c:pt>
                <c:pt idx="26">
                  <c:v>3.1E-7</c:v>
                </c:pt>
                <c:pt idx="27">
                  <c:v>3.2000000000000001E-7</c:v>
                </c:pt>
                <c:pt idx="28">
                  <c:v>3.2000000000000001E-7</c:v>
                </c:pt>
                <c:pt idx="29">
                  <c:v>3.1800000000000002E-7</c:v>
                </c:pt>
              </c:numCache>
            </c:numRef>
          </c:val>
        </c:ser>
        <c:ser>
          <c:idx val="2"/>
          <c:order val="2"/>
          <c:tx>
            <c:strRef>
              <c:f>'Before Cyclic Twisting Test'!$D$1:$D$22</c:f>
              <c:strCache>
                <c:ptCount val="1"/>
                <c:pt idx="0">
                  <c:v>No Prox/Touch Fall Time (s) 0.0000025 0.00000246 0.00000248 0.0000025 0.00000248 0.000002484 0.00000158 0.00000158 0.00000158 0.00000156 0.00000156 0.000001572 0.00000216 0.0000021 0.00000216 0.00000216 0.00000206 0.000002128 No Prox/Touch Fall Time (s)</c:v>
                </c:pt>
              </c:strCache>
            </c:strRef>
          </c:tx>
          <c:invertIfNegative val="0"/>
          <c:cat>
            <c:strRef>
              <c:f>'Before Cyclic Twisting Test'!$A$23:$A$52</c:f>
              <c:strCache>
                <c:ptCount val="30"/>
                <c:pt idx="0">
                  <c:v>D</c:v>
                </c:pt>
                <c:pt idx="5">
                  <c:v>Average</c:v>
                </c:pt>
                <c:pt idx="6">
                  <c:v>E*</c:v>
                </c:pt>
                <c:pt idx="11">
                  <c:v>Average</c:v>
                </c:pt>
                <c:pt idx="12">
                  <c:v>F</c:v>
                </c:pt>
                <c:pt idx="17">
                  <c:v>Average</c:v>
                </c:pt>
                <c:pt idx="18">
                  <c:v>G</c:v>
                </c:pt>
                <c:pt idx="23">
                  <c:v>Average</c:v>
                </c:pt>
                <c:pt idx="24">
                  <c:v>H</c:v>
                </c:pt>
                <c:pt idx="29">
                  <c:v>Average</c:v>
                </c:pt>
              </c:strCache>
            </c:strRef>
          </c:cat>
          <c:val>
            <c:numRef>
              <c:f>'Before Cyclic Twisting Test'!$D$23:$D$52</c:f>
              <c:numCache>
                <c:formatCode>General</c:formatCode>
                <c:ptCount val="30"/>
                <c:pt idx="0">
                  <c:v>1.42E-6</c:v>
                </c:pt>
                <c:pt idx="1">
                  <c:v>1.42E-6</c:v>
                </c:pt>
                <c:pt idx="2">
                  <c:v>1.46E-6</c:v>
                </c:pt>
                <c:pt idx="3">
                  <c:v>1.3600000000000001E-6</c:v>
                </c:pt>
                <c:pt idx="4">
                  <c:v>1.3200000000000001E-6</c:v>
                </c:pt>
                <c:pt idx="5">
                  <c:v>1.3960000000000001E-6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1.48E-6</c:v>
                </c:pt>
                <c:pt idx="13">
                  <c:v>1.48E-6</c:v>
                </c:pt>
                <c:pt idx="14">
                  <c:v>1.48E-6</c:v>
                </c:pt>
                <c:pt idx="15">
                  <c:v>1.48E-6</c:v>
                </c:pt>
                <c:pt idx="16">
                  <c:v>1.48E-6</c:v>
                </c:pt>
                <c:pt idx="17">
                  <c:v>1.48E-6</c:v>
                </c:pt>
                <c:pt idx="18">
                  <c:v>2.4999999999999998E-6</c:v>
                </c:pt>
                <c:pt idx="19">
                  <c:v>2.4999999999999998E-6</c:v>
                </c:pt>
                <c:pt idx="20">
                  <c:v>2.4999999999999998E-6</c:v>
                </c:pt>
                <c:pt idx="21">
                  <c:v>3.1E-6</c:v>
                </c:pt>
                <c:pt idx="22">
                  <c:v>2.8999999999999998E-6</c:v>
                </c:pt>
                <c:pt idx="23">
                  <c:v>2.7E-6</c:v>
                </c:pt>
                <c:pt idx="24">
                  <c:v>5.1200000000000001E-6</c:v>
                </c:pt>
                <c:pt idx="25">
                  <c:v>5.0199999999999994E-6</c:v>
                </c:pt>
                <c:pt idx="26">
                  <c:v>5.0999999999999995E-6</c:v>
                </c:pt>
                <c:pt idx="27">
                  <c:v>5.1399999999999991E-6</c:v>
                </c:pt>
                <c:pt idx="28">
                  <c:v>5.1599999999999997E-6</c:v>
                </c:pt>
                <c:pt idx="29">
                  <c:v>5.1079999999999992E-6</c:v>
                </c:pt>
              </c:numCache>
            </c:numRef>
          </c:val>
        </c:ser>
        <c:ser>
          <c:idx val="3"/>
          <c:order val="3"/>
          <c:tx>
            <c:strRef>
              <c:f>'Before Cyclic Twisting Test'!$E$1:$E$22</c:f>
              <c:strCache>
                <c:ptCount val="1"/>
                <c:pt idx="0">
                  <c:v>No Prox/Touch RiseCapacitance (F) 9.41176E-12 9.70588E-12 9.70588E-12 1E-11 1E-11 9.76471E-12 1E-11 1E-11 1E-11 1E-11 9.70588E-12 9.94118E-12 1.85294E-11 1.76471E-11 1.79412E-11 1.79412E-11 1.76471E-11 1.79412E-11 No Prox/Touch RiseCapacitance (F)</c:v>
                </c:pt>
              </c:strCache>
            </c:strRef>
          </c:tx>
          <c:invertIfNegative val="0"/>
          <c:cat>
            <c:strRef>
              <c:f>'Before Cyclic Twisting Test'!$A$23:$A$52</c:f>
              <c:strCache>
                <c:ptCount val="30"/>
                <c:pt idx="0">
                  <c:v>D</c:v>
                </c:pt>
                <c:pt idx="5">
                  <c:v>Average</c:v>
                </c:pt>
                <c:pt idx="6">
                  <c:v>E*</c:v>
                </c:pt>
                <c:pt idx="11">
                  <c:v>Average</c:v>
                </c:pt>
                <c:pt idx="12">
                  <c:v>F</c:v>
                </c:pt>
                <c:pt idx="17">
                  <c:v>Average</c:v>
                </c:pt>
                <c:pt idx="18">
                  <c:v>G</c:v>
                </c:pt>
                <c:pt idx="23">
                  <c:v>Average</c:v>
                </c:pt>
                <c:pt idx="24">
                  <c:v>H</c:v>
                </c:pt>
                <c:pt idx="29">
                  <c:v>Average</c:v>
                </c:pt>
              </c:strCache>
            </c:strRef>
          </c:cat>
          <c:val>
            <c:numRef>
              <c:f>'Before Cyclic Twisting Test'!$E$23:$E$52</c:f>
              <c:numCache>
                <c:formatCode>General</c:formatCode>
                <c:ptCount val="30"/>
                <c:pt idx="0">
                  <c:v>1.2647058823529412E-11</c:v>
                </c:pt>
                <c:pt idx="1">
                  <c:v>1.2647058823529412E-11</c:v>
                </c:pt>
                <c:pt idx="2">
                  <c:v>1.1470588235294119E-11</c:v>
                </c:pt>
                <c:pt idx="3">
                  <c:v>1.1470588235294119E-11</c:v>
                </c:pt>
                <c:pt idx="4">
                  <c:v>1.1176470588235295E-11</c:v>
                </c:pt>
                <c:pt idx="5">
                  <c:v>1.1882352941176472E-11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9.4117647058823533E-12</c:v>
                </c:pt>
                <c:pt idx="13">
                  <c:v>9.7058823529411772E-12</c:v>
                </c:pt>
                <c:pt idx="14">
                  <c:v>9.7058823529411772E-12</c:v>
                </c:pt>
                <c:pt idx="15">
                  <c:v>9.4117647058823533E-12</c:v>
                </c:pt>
                <c:pt idx="16">
                  <c:v>9.4117647058823533E-12</c:v>
                </c:pt>
                <c:pt idx="17">
                  <c:v>9.5294117647058832E-12</c:v>
                </c:pt>
                <c:pt idx="18">
                  <c:v>1.3529411764705882E-11</c:v>
                </c:pt>
                <c:pt idx="19">
                  <c:v>1.4705882352941179E-11</c:v>
                </c:pt>
                <c:pt idx="20">
                  <c:v>1.4117647058823532E-11</c:v>
                </c:pt>
                <c:pt idx="21">
                  <c:v>1.4411764705882355E-11</c:v>
                </c:pt>
                <c:pt idx="22">
                  <c:v>1.4117647058823532E-11</c:v>
                </c:pt>
                <c:pt idx="23">
                  <c:v>1.4176470588235297E-11</c:v>
                </c:pt>
                <c:pt idx="24">
                  <c:v>9.4117647058823533E-12</c:v>
                </c:pt>
                <c:pt idx="25">
                  <c:v>9.4117647058823533E-12</c:v>
                </c:pt>
                <c:pt idx="26">
                  <c:v>9.1176470588235295E-12</c:v>
                </c:pt>
                <c:pt idx="27">
                  <c:v>9.4117647058823533E-12</c:v>
                </c:pt>
                <c:pt idx="28">
                  <c:v>9.4117647058823533E-12</c:v>
                </c:pt>
                <c:pt idx="29">
                  <c:v>9.3529411764705876E-12</c:v>
                </c:pt>
              </c:numCache>
            </c:numRef>
          </c:val>
        </c:ser>
        <c:ser>
          <c:idx val="4"/>
          <c:order val="4"/>
          <c:tx>
            <c:strRef>
              <c:f>'Before Cyclic Twisting Test'!$F$1:$F$22</c:f>
              <c:strCache>
                <c:ptCount val="1"/>
                <c:pt idx="0">
                  <c:v>No Prox/Touch Fall Capacitance (F) 7.35294E-11 7.23529E-11 7.29412E-11 7.35294E-11 7.29412E-11 7.30588E-11 4.64706E-11 4.64706E-11 4.64706E-11 4.58824E-11 4.58824E-11 4.62353E-11 6.35294E-11 6.17647E-11 6.35294E-11 6.35294E-11 6.05882E-11 6.25882E-11 No P</c:v>
                </c:pt>
              </c:strCache>
            </c:strRef>
          </c:tx>
          <c:invertIfNegative val="0"/>
          <c:cat>
            <c:strRef>
              <c:f>'Before Cyclic Twisting Test'!$A$23:$A$52</c:f>
              <c:strCache>
                <c:ptCount val="30"/>
                <c:pt idx="0">
                  <c:v>D</c:v>
                </c:pt>
                <c:pt idx="5">
                  <c:v>Average</c:v>
                </c:pt>
                <c:pt idx="6">
                  <c:v>E*</c:v>
                </c:pt>
                <c:pt idx="11">
                  <c:v>Average</c:v>
                </c:pt>
                <c:pt idx="12">
                  <c:v>F</c:v>
                </c:pt>
                <c:pt idx="17">
                  <c:v>Average</c:v>
                </c:pt>
                <c:pt idx="18">
                  <c:v>G</c:v>
                </c:pt>
                <c:pt idx="23">
                  <c:v>Average</c:v>
                </c:pt>
                <c:pt idx="24">
                  <c:v>H</c:v>
                </c:pt>
                <c:pt idx="29">
                  <c:v>Average</c:v>
                </c:pt>
              </c:strCache>
            </c:strRef>
          </c:cat>
          <c:val>
            <c:numRef>
              <c:f>'Before Cyclic Twisting Test'!$F$23:$F$52</c:f>
              <c:numCache>
                <c:formatCode>General</c:formatCode>
                <c:ptCount val="30"/>
                <c:pt idx="0">
                  <c:v>4.1764705882352941E-11</c:v>
                </c:pt>
                <c:pt idx="1">
                  <c:v>4.1764705882352941E-11</c:v>
                </c:pt>
                <c:pt idx="2">
                  <c:v>4.2941176470588236E-11</c:v>
                </c:pt>
                <c:pt idx="3">
                  <c:v>3.9999999999999998E-11</c:v>
                </c:pt>
                <c:pt idx="4">
                  <c:v>3.8823529411764709E-11</c:v>
                </c:pt>
                <c:pt idx="5">
                  <c:v>4.1058823529411765E-11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4.3529411764705884E-11</c:v>
                </c:pt>
                <c:pt idx="13">
                  <c:v>4.3529411764705884E-11</c:v>
                </c:pt>
                <c:pt idx="14">
                  <c:v>4.3529411764705884E-11</c:v>
                </c:pt>
                <c:pt idx="15">
                  <c:v>4.3529411764705884E-11</c:v>
                </c:pt>
                <c:pt idx="16">
                  <c:v>4.3529411764705884E-11</c:v>
                </c:pt>
                <c:pt idx="17">
                  <c:v>4.3529411764705884E-11</c:v>
                </c:pt>
                <c:pt idx="18">
                  <c:v>7.3529411764705877E-11</c:v>
                </c:pt>
                <c:pt idx="19">
                  <c:v>7.3529411764705877E-11</c:v>
                </c:pt>
                <c:pt idx="20">
                  <c:v>7.3529411764705877E-11</c:v>
                </c:pt>
                <c:pt idx="21">
                  <c:v>9.1176470588235295E-11</c:v>
                </c:pt>
                <c:pt idx="22">
                  <c:v>8.5294117647058818E-11</c:v>
                </c:pt>
                <c:pt idx="23">
                  <c:v>7.9411764705882354E-11</c:v>
                </c:pt>
                <c:pt idx="24">
                  <c:v>1.5058823529411765E-10</c:v>
                </c:pt>
                <c:pt idx="25">
                  <c:v>1.4764705882352938E-10</c:v>
                </c:pt>
                <c:pt idx="26">
                  <c:v>1.5E-10</c:v>
                </c:pt>
                <c:pt idx="27">
                  <c:v>1.5117647058823526E-10</c:v>
                </c:pt>
                <c:pt idx="28">
                  <c:v>1.5176470588235294E-10</c:v>
                </c:pt>
                <c:pt idx="29">
                  <c:v>1.5023529411764703E-10</c:v>
                </c:pt>
              </c:numCache>
            </c:numRef>
          </c:val>
        </c:ser>
        <c:ser>
          <c:idx val="5"/>
          <c:order val="5"/>
          <c:tx>
            <c:strRef>
              <c:f>'Before Cyclic Twisting Test'!$G$1:$G$22</c:f>
              <c:strCache>
                <c:ptCount val="1"/>
                <c:pt idx="0">
                  <c:v>Proximity Vmax (V) 4.001 4.001 4.001 4.001 4.401 4.081 4.001 4.001 4.001 4.001 4.001 4.001 3.521 3.521 3.601 3.601 3.601 3.569 Proximity Vmax (V)</c:v>
                </c:pt>
              </c:strCache>
            </c:strRef>
          </c:tx>
          <c:invertIfNegative val="0"/>
          <c:cat>
            <c:strRef>
              <c:f>'Before Cyclic Twisting Test'!$A$23:$A$52</c:f>
              <c:strCache>
                <c:ptCount val="30"/>
                <c:pt idx="0">
                  <c:v>D</c:v>
                </c:pt>
                <c:pt idx="5">
                  <c:v>Average</c:v>
                </c:pt>
                <c:pt idx="6">
                  <c:v>E*</c:v>
                </c:pt>
                <c:pt idx="11">
                  <c:v>Average</c:v>
                </c:pt>
                <c:pt idx="12">
                  <c:v>F</c:v>
                </c:pt>
                <c:pt idx="17">
                  <c:v>Average</c:v>
                </c:pt>
                <c:pt idx="18">
                  <c:v>G</c:v>
                </c:pt>
                <c:pt idx="23">
                  <c:v>Average</c:v>
                </c:pt>
                <c:pt idx="24">
                  <c:v>H</c:v>
                </c:pt>
                <c:pt idx="29">
                  <c:v>Average</c:v>
                </c:pt>
              </c:strCache>
            </c:strRef>
          </c:cat>
          <c:val>
            <c:numRef>
              <c:f>'Before Cyclic Twisting Test'!$G$23:$G$52</c:f>
              <c:numCache>
                <c:formatCode>General</c:formatCode>
                <c:ptCount val="30"/>
                <c:pt idx="0">
                  <c:v>3.7610000000000001</c:v>
                </c:pt>
                <c:pt idx="1">
                  <c:v>3.7610000000000001</c:v>
                </c:pt>
                <c:pt idx="2">
                  <c:v>3.7610000000000001</c:v>
                </c:pt>
                <c:pt idx="3">
                  <c:v>3.7610000000000001</c:v>
                </c:pt>
                <c:pt idx="4">
                  <c:v>3.7610000000000001</c:v>
                </c:pt>
                <c:pt idx="5">
                  <c:v>3.7610000000000001</c:v>
                </c:pt>
                <c:pt idx="6">
                  <c:v>3.7610000000000001</c:v>
                </c:pt>
                <c:pt idx="7">
                  <c:v>3.7610000000000001</c:v>
                </c:pt>
                <c:pt idx="8">
                  <c:v>3.7610000000000001</c:v>
                </c:pt>
                <c:pt idx="9">
                  <c:v>3.7610000000000001</c:v>
                </c:pt>
                <c:pt idx="10">
                  <c:v>3.7610000000000001</c:v>
                </c:pt>
                <c:pt idx="11">
                  <c:v>3.7610000000000001</c:v>
                </c:pt>
                <c:pt idx="12">
                  <c:v>3.8809999999999998</c:v>
                </c:pt>
                <c:pt idx="13">
                  <c:v>3.8809999999999998</c:v>
                </c:pt>
                <c:pt idx="14">
                  <c:v>3.8809999999999998</c:v>
                </c:pt>
                <c:pt idx="15">
                  <c:v>3.8809999999999998</c:v>
                </c:pt>
                <c:pt idx="16">
                  <c:v>3.8809999999999998</c:v>
                </c:pt>
                <c:pt idx="17">
                  <c:v>3.8809999999999993</c:v>
                </c:pt>
                <c:pt idx="18">
                  <c:v>4.0810000000000004</c:v>
                </c:pt>
                <c:pt idx="19">
                  <c:v>4.0810000000000004</c:v>
                </c:pt>
                <c:pt idx="20">
                  <c:v>4.0810000000000004</c:v>
                </c:pt>
                <c:pt idx="21">
                  <c:v>4.0810000000000004</c:v>
                </c:pt>
                <c:pt idx="22">
                  <c:v>4.2809999999999997</c:v>
                </c:pt>
                <c:pt idx="23">
                  <c:v>4.1210000000000004</c:v>
                </c:pt>
                <c:pt idx="24">
                  <c:v>4.0010000000000003</c:v>
                </c:pt>
                <c:pt idx="25">
                  <c:v>4.0010000000000003</c:v>
                </c:pt>
                <c:pt idx="26">
                  <c:v>4.0010000000000003</c:v>
                </c:pt>
                <c:pt idx="27">
                  <c:v>4.0010000000000003</c:v>
                </c:pt>
                <c:pt idx="28">
                  <c:v>4.0010000000000003</c:v>
                </c:pt>
                <c:pt idx="29">
                  <c:v>4.0010000000000003</c:v>
                </c:pt>
              </c:numCache>
            </c:numRef>
          </c:val>
        </c:ser>
        <c:ser>
          <c:idx val="6"/>
          <c:order val="6"/>
          <c:tx>
            <c:strRef>
              <c:f>'Before Cyclic Twisting Test'!$H$1:$H$22</c:f>
              <c:strCache>
                <c:ptCount val="1"/>
                <c:pt idx="0">
                  <c:v>Proximity Rise Time (s) 0.00000032 0.00000032 0.00000032 0.00000033 0.00000032 0.000000322 0.00000034 0.00000036 0.00000032 0.00000034 0.00000033 0.000000338 0.0000006 0.00000061 0.00000052 0.00000053 0.00000057 0.000000566 Proximity Rise Time (s)</c:v>
                </c:pt>
              </c:strCache>
            </c:strRef>
          </c:tx>
          <c:invertIfNegative val="0"/>
          <c:cat>
            <c:strRef>
              <c:f>'Before Cyclic Twisting Test'!$A$23:$A$52</c:f>
              <c:strCache>
                <c:ptCount val="30"/>
                <c:pt idx="0">
                  <c:v>D</c:v>
                </c:pt>
                <c:pt idx="5">
                  <c:v>Average</c:v>
                </c:pt>
                <c:pt idx="6">
                  <c:v>E*</c:v>
                </c:pt>
                <c:pt idx="11">
                  <c:v>Average</c:v>
                </c:pt>
                <c:pt idx="12">
                  <c:v>F</c:v>
                </c:pt>
                <c:pt idx="17">
                  <c:v>Average</c:v>
                </c:pt>
                <c:pt idx="18">
                  <c:v>G</c:v>
                </c:pt>
                <c:pt idx="23">
                  <c:v>Average</c:v>
                </c:pt>
                <c:pt idx="24">
                  <c:v>H</c:v>
                </c:pt>
                <c:pt idx="29">
                  <c:v>Average</c:v>
                </c:pt>
              </c:strCache>
            </c:strRef>
          </c:cat>
          <c:val>
            <c:numRef>
              <c:f>'Before Cyclic Twisting Test'!$H$23:$H$52</c:f>
              <c:numCache>
                <c:formatCode>General</c:formatCode>
                <c:ptCount val="30"/>
                <c:pt idx="0">
                  <c:v>3.8000000000000001E-7</c:v>
                </c:pt>
                <c:pt idx="1">
                  <c:v>3.7E-7</c:v>
                </c:pt>
                <c:pt idx="2">
                  <c:v>3.9000000000000002E-7</c:v>
                </c:pt>
                <c:pt idx="3">
                  <c:v>3.9000000000000002E-7</c:v>
                </c:pt>
                <c:pt idx="4">
                  <c:v>3.8000000000000001E-7</c:v>
                </c:pt>
                <c:pt idx="5">
                  <c:v>3.8200000000000006E-7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3.3000000000000002E-7</c:v>
                </c:pt>
                <c:pt idx="13">
                  <c:v>3.3000000000000002E-7</c:v>
                </c:pt>
                <c:pt idx="14">
                  <c:v>3.2000000000000001E-7</c:v>
                </c:pt>
                <c:pt idx="15">
                  <c:v>3.3000000000000002E-7</c:v>
                </c:pt>
                <c:pt idx="16">
                  <c:v>3.3000000000000002E-7</c:v>
                </c:pt>
                <c:pt idx="17">
                  <c:v>3.2799999999999997E-7</c:v>
                </c:pt>
                <c:pt idx="18">
                  <c:v>4.9000000000000007E-7</c:v>
                </c:pt>
                <c:pt idx="19">
                  <c:v>5.0999999999999999E-7</c:v>
                </c:pt>
                <c:pt idx="20">
                  <c:v>4.7000000000000005E-7</c:v>
                </c:pt>
                <c:pt idx="21">
                  <c:v>5.0000000000000008E-7</c:v>
                </c:pt>
                <c:pt idx="22">
                  <c:v>5.2E-7</c:v>
                </c:pt>
                <c:pt idx="23">
                  <c:v>4.9800000000000014E-7</c:v>
                </c:pt>
                <c:pt idx="24">
                  <c:v>3.2000000000000001E-7</c:v>
                </c:pt>
                <c:pt idx="25">
                  <c:v>3.2000000000000001E-7</c:v>
                </c:pt>
                <c:pt idx="26">
                  <c:v>3.3000000000000002E-7</c:v>
                </c:pt>
                <c:pt idx="27">
                  <c:v>3.3000000000000002E-7</c:v>
                </c:pt>
                <c:pt idx="28">
                  <c:v>3.2000000000000001E-7</c:v>
                </c:pt>
                <c:pt idx="29">
                  <c:v>3.2400000000000004E-7</c:v>
                </c:pt>
              </c:numCache>
            </c:numRef>
          </c:val>
        </c:ser>
        <c:ser>
          <c:idx val="7"/>
          <c:order val="7"/>
          <c:tx>
            <c:strRef>
              <c:f>'Before Cyclic Twisting Test'!$I$1:$I$22</c:f>
              <c:strCache>
                <c:ptCount val="1"/>
                <c:pt idx="0">
                  <c:v>Proximity Fall Time (s) 0.0000025 0.00000254 0.00000248 0.00000248 0.00000248 0.000002496 0.00000158 0.00000154 0.00000156 0.00000158 0.00000156 0.000001564 0.00000214 0.00000196 0.0000015 0.00000152 0.00000154 0.000001732 Proximity Fall Time (s)</c:v>
                </c:pt>
              </c:strCache>
            </c:strRef>
          </c:tx>
          <c:invertIfNegative val="0"/>
          <c:cat>
            <c:strRef>
              <c:f>'Before Cyclic Twisting Test'!$A$23:$A$52</c:f>
              <c:strCache>
                <c:ptCount val="30"/>
                <c:pt idx="0">
                  <c:v>D</c:v>
                </c:pt>
                <c:pt idx="5">
                  <c:v>Average</c:v>
                </c:pt>
                <c:pt idx="6">
                  <c:v>E*</c:v>
                </c:pt>
                <c:pt idx="11">
                  <c:v>Average</c:v>
                </c:pt>
                <c:pt idx="12">
                  <c:v>F</c:v>
                </c:pt>
                <c:pt idx="17">
                  <c:v>Average</c:v>
                </c:pt>
                <c:pt idx="18">
                  <c:v>G</c:v>
                </c:pt>
                <c:pt idx="23">
                  <c:v>Average</c:v>
                </c:pt>
                <c:pt idx="24">
                  <c:v>H</c:v>
                </c:pt>
                <c:pt idx="29">
                  <c:v>Average</c:v>
                </c:pt>
              </c:strCache>
            </c:strRef>
          </c:cat>
          <c:val>
            <c:numRef>
              <c:f>'Before Cyclic Twisting Test'!$I$23:$I$52</c:f>
              <c:numCache>
                <c:formatCode>General</c:formatCode>
                <c:ptCount val="30"/>
                <c:pt idx="0">
                  <c:v>1.3600000000000001E-6</c:v>
                </c:pt>
                <c:pt idx="1">
                  <c:v>1.3400000000000001E-6</c:v>
                </c:pt>
                <c:pt idx="2">
                  <c:v>1.3799999999999999E-6</c:v>
                </c:pt>
                <c:pt idx="3">
                  <c:v>1.3600000000000001E-6</c:v>
                </c:pt>
                <c:pt idx="4">
                  <c:v>1.3400000000000001E-6</c:v>
                </c:pt>
                <c:pt idx="5">
                  <c:v>1.356E-6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1.5199999999999998E-6</c:v>
                </c:pt>
                <c:pt idx="13">
                  <c:v>1.5399999999999999E-6</c:v>
                </c:pt>
                <c:pt idx="14">
                  <c:v>1.5199999999999998E-6</c:v>
                </c:pt>
                <c:pt idx="15">
                  <c:v>1.5E-6</c:v>
                </c:pt>
                <c:pt idx="16">
                  <c:v>1.5199999999999998E-6</c:v>
                </c:pt>
                <c:pt idx="17">
                  <c:v>1.5199999999999998E-6</c:v>
                </c:pt>
                <c:pt idx="18">
                  <c:v>1.9199999999999998E-6</c:v>
                </c:pt>
                <c:pt idx="19">
                  <c:v>1.8799999999999998E-6</c:v>
                </c:pt>
                <c:pt idx="20">
                  <c:v>1.9199999999999998E-6</c:v>
                </c:pt>
                <c:pt idx="21">
                  <c:v>1.9199999999999998E-6</c:v>
                </c:pt>
                <c:pt idx="22">
                  <c:v>3.54E-6</c:v>
                </c:pt>
                <c:pt idx="23">
                  <c:v>2.2359999999999999E-6</c:v>
                </c:pt>
                <c:pt idx="24">
                  <c:v>4.9800000000000006E-6</c:v>
                </c:pt>
                <c:pt idx="25">
                  <c:v>4.9800000000000006E-6</c:v>
                </c:pt>
                <c:pt idx="26">
                  <c:v>5.0799999999999996E-6</c:v>
                </c:pt>
                <c:pt idx="27">
                  <c:v>5.0199999999999994E-6</c:v>
                </c:pt>
                <c:pt idx="28">
                  <c:v>4.9599999999999999E-6</c:v>
                </c:pt>
                <c:pt idx="29">
                  <c:v>5.0039999999999999E-6</c:v>
                </c:pt>
              </c:numCache>
            </c:numRef>
          </c:val>
        </c:ser>
        <c:ser>
          <c:idx val="8"/>
          <c:order val="8"/>
          <c:tx>
            <c:strRef>
              <c:f>'Before Cyclic Twisting Test'!$J$1:$J$22</c:f>
              <c:strCache>
                <c:ptCount val="1"/>
                <c:pt idx="0">
                  <c:v>Proximity RiseCapacitance (F) 9.41176E-12 9.41176E-12 9.41176E-12 9.70588E-12 9.41176E-12 9.47059E-12 1E-11 1.05882E-11 9.41176E-12 1E-11 9.70588E-12 9.94118E-12 1.76471E-11 1.79412E-11 1.52941E-11 1.55882E-11 1.67647E-11 1.66471E-11 Proximity RiseCapacit</c:v>
                </c:pt>
              </c:strCache>
            </c:strRef>
          </c:tx>
          <c:invertIfNegative val="0"/>
          <c:cat>
            <c:strRef>
              <c:f>'Before Cyclic Twisting Test'!$A$23:$A$52</c:f>
              <c:strCache>
                <c:ptCount val="30"/>
                <c:pt idx="0">
                  <c:v>D</c:v>
                </c:pt>
                <c:pt idx="5">
                  <c:v>Average</c:v>
                </c:pt>
                <c:pt idx="6">
                  <c:v>E*</c:v>
                </c:pt>
                <c:pt idx="11">
                  <c:v>Average</c:v>
                </c:pt>
                <c:pt idx="12">
                  <c:v>F</c:v>
                </c:pt>
                <c:pt idx="17">
                  <c:v>Average</c:v>
                </c:pt>
                <c:pt idx="18">
                  <c:v>G</c:v>
                </c:pt>
                <c:pt idx="23">
                  <c:v>Average</c:v>
                </c:pt>
                <c:pt idx="24">
                  <c:v>H</c:v>
                </c:pt>
                <c:pt idx="29">
                  <c:v>Average</c:v>
                </c:pt>
              </c:strCache>
            </c:strRef>
          </c:cat>
          <c:val>
            <c:numRef>
              <c:f>'Before Cyclic Twisting Test'!$J$23:$J$52</c:f>
              <c:numCache>
                <c:formatCode>General</c:formatCode>
                <c:ptCount val="30"/>
                <c:pt idx="0">
                  <c:v>1.1176470588235295E-11</c:v>
                </c:pt>
                <c:pt idx="1">
                  <c:v>1.0882352941176471E-11</c:v>
                </c:pt>
                <c:pt idx="2">
                  <c:v>1.1470588235294119E-11</c:v>
                </c:pt>
                <c:pt idx="3">
                  <c:v>1.1470588235294119E-11</c:v>
                </c:pt>
                <c:pt idx="4">
                  <c:v>1.1176470588235295E-11</c:v>
                </c:pt>
                <c:pt idx="5">
                  <c:v>1.1235294117647061E-11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9.7058823529411772E-12</c:v>
                </c:pt>
                <c:pt idx="13">
                  <c:v>9.7058823529411772E-12</c:v>
                </c:pt>
                <c:pt idx="14">
                  <c:v>9.4117647058823533E-12</c:v>
                </c:pt>
                <c:pt idx="15">
                  <c:v>9.7058823529411772E-12</c:v>
                </c:pt>
                <c:pt idx="16">
                  <c:v>9.7058823529411772E-12</c:v>
                </c:pt>
                <c:pt idx="17">
                  <c:v>9.6470588235294114E-12</c:v>
                </c:pt>
                <c:pt idx="18">
                  <c:v>1.4411764705882355E-11</c:v>
                </c:pt>
                <c:pt idx="19">
                  <c:v>1.5E-11</c:v>
                </c:pt>
                <c:pt idx="20">
                  <c:v>1.3823529411764708E-11</c:v>
                </c:pt>
                <c:pt idx="21">
                  <c:v>1.4705882352941179E-11</c:v>
                </c:pt>
                <c:pt idx="22">
                  <c:v>1.5294117647058824E-11</c:v>
                </c:pt>
                <c:pt idx="23">
                  <c:v>1.4647058823529412E-11</c:v>
                </c:pt>
                <c:pt idx="24">
                  <c:v>9.4117647058823533E-12</c:v>
                </c:pt>
                <c:pt idx="25">
                  <c:v>9.4117647058823533E-12</c:v>
                </c:pt>
                <c:pt idx="26">
                  <c:v>9.7058823529411772E-12</c:v>
                </c:pt>
                <c:pt idx="27">
                  <c:v>9.7058823529411772E-12</c:v>
                </c:pt>
                <c:pt idx="28">
                  <c:v>9.4117647058823533E-12</c:v>
                </c:pt>
                <c:pt idx="29">
                  <c:v>9.5294117647058832E-12</c:v>
                </c:pt>
              </c:numCache>
            </c:numRef>
          </c:val>
        </c:ser>
        <c:ser>
          <c:idx val="9"/>
          <c:order val="9"/>
          <c:tx>
            <c:strRef>
              <c:f>'Before Cyclic Twisting Test'!$K$1:$K$22</c:f>
              <c:strCache>
                <c:ptCount val="1"/>
                <c:pt idx="0">
                  <c:v>Proximity Fall Capacitance (F) 7.35294E-11 7.47059E-11 7.29412E-11 7.29412E-11 7.29412E-11 7.34118E-11 4.64706E-11 4.52941E-11 4.58824E-11 4.64706E-11 4.58824E-11 4.6E-11 6.29412E-11 5.76471E-11 4.41176E-11 4.47059E-11 4.52941E-11 5.09412E-11 Proximity Fa</c:v>
                </c:pt>
              </c:strCache>
            </c:strRef>
          </c:tx>
          <c:invertIfNegative val="0"/>
          <c:cat>
            <c:strRef>
              <c:f>'Before Cyclic Twisting Test'!$A$23:$A$52</c:f>
              <c:strCache>
                <c:ptCount val="30"/>
                <c:pt idx="0">
                  <c:v>D</c:v>
                </c:pt>
                <c:pt idx="5">
                  <c:v>Average</c:v>
                </c:pt>
                <c:pt idx="6">
                  <c:v>E*</c:v>
                </c:pt>
                <c:pt idx="11">
                  <c:v>Average</c:v>
                </c:pt>
                <c:pt idx="12">
                  <c:v>F</c:v>
                </c:pt>
                <c:pt idx="17">
                  <c:v>Average</c:v>
                </c:pt>
                <c:pt idx="18">
                  <c:v>G</c:v>
                </c:pt>
                <c:pt idx="23">
                  <c:v>Average</c:v>
                </c:pt>
                <c:pt idx="24">
                  <c:v>H</c:v>
                </c:pt>
                <c:pt idx="29">
                  <c:v>Average</c:v>
                </c:pt>
              </c:strCache>
            </c:strRef>
          </c:cat>
          <c:val>
            <c:numRef>
              <c:f>'Before Cyclic Twisting Test'!$K$23:$K$52</c:f>
              <c:numCache>
                <c:formatCode>General</c:formatCode>
                <c:ptCount val="30"/>
                <c:pt idx="0">
                  <c:v>3.9999999999999998E-11</c:v>
                </c:pt>
                <c:pt idx="1">
                  <c:v>3.9411764705882356E-11</c:v>
                </c:pt>
                <c:pt idx="2">
                  <c:v>4.0588235294117645E-11</c:v>
                </c:pt>
                <c:pt idx="3">
                  <c:v>3.9999999999999998E-11</c:v>
                </c:pt>
                <c:pt idx="4">
                  <c:v>3.9411764705882356E-11</c:v>
                </c:pt>
                <c:pt idx="5">
                  <c:v>3.9882352941176469E-11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4.4705882352941173E-11</c:v>
                </c:pt>
                <c:pt idx="13">
                  <c:v>4.5294117647058814E-11</c:v>
                </c:pt>
                <c:pt idx="14">
                  <c:v>4.4705882352941173E-11</c:v>
                </c:pt>
                <c:pt idx="15">
                  <c:v>4.4117647058823525E-11</c:v>
                </c:pt>
                <c:pt idx="16">
                  <c:v>4.4705882352941173E-11</c:v>
                </c:pt>
                <c:pt idx="17">
                  <c:v>4.4705882352941166E-11</c:v>
                </c:pt>
                <c:pt idx="18">
                  <c:v>5.6470588235294107E-11</c:v>
                </c:pt>
                <c:pt idx="19">
                  <c:v>5.5294117647058818E-11</c:v>
                </c:pt>
                <c:pt idx="20">
                  <c:v>5.6470588235294107E-11</c:v>
                </c:pt>
                <c:pt idx="21">
                  <c:v>5.6470588235294107E-11</c:v>
                </c:pt>
                <c:pt idx="22">
                  <c:v>1.0411764705882353E-10</c:v>
                </c:pt>
                <c:pt idx="23">
                  <c:v>6.5764705882352922E-11</c:v>
                </c:pt>
                <c:pt idx="24">
                  <c:v>1.4647058823529413E-10</c:v>
                </c:pt>
                <c:pt idx="25">
                  <c:v>1.4647058823529413E-10</c:v>
                </c:pt>
                <c:pt idx="26">
                  <c:v>1.4941176470588234E-10</c:v>
                </c:pt>
                <c:pt idx="27">
                  <c:v>1.4764705882352938E-10</c:v>
                </c:pt>
                <c:pt idx="28">
                  <c:v>1.4588235294117647E-10</c:v>
                </c:pt>
                <c:pt idx="29">
                  <c:v>1.471764705882353E-10</c:v>
                </c:pt>
              </c:numCache>
            </c:numRef>
          </c:val>
        </c:ser>
        <c:ser>
          <c:idx val="10"/>
          <c:order val="10"/>
          <c:tx>
            <c:strRef>
              <c:f>'Before Cyclic Twisting Test'!$L$1:$L$22</c:f>
              <c:strCache>
                <c:ptCount val="1"/>
                <c:pt idx="0">
                  <c:v>Touch Vmax (V) 3.961 3.921 3.921 3.961 3.961 3.945 3.841 3.841 3.801 3.801 3.801 3.817 3.601 3.601 3.601 3.601 3.521 3.585 Touch Vmax (V)</c:v>
                </c:pt>
              </c:strCache>
            </c:strRef>
          </c:tx>
          <c:invertIfNegative val="0"/>
          <c:cat>
            <c:strRef>
              <c:f>'Before Cyclic Twisting Test'!$A$23:$A$52</c:f>
              <c:strCache>
                <c:ptCount val="30"/>
                <c:pt idx="0">
                  <c:v>D</c:v>
                </c:pt>
                <c:pt idx="5">
                  <c:v>Average</c:v>
                </c:pt>
                <c:pt idx="6">
                  <c:v>E*</c:v>
                </c:pt>
                <c:pt idx="11">
                  <c:v>Average</c:v>
                </c:pt>
                <c:pt idx="12">
                  <c:v>F</c:v>
                </c:pt>
                <c:pt idx="17">
                  <c:v>Average</c:v>
                </c:pt>
                <c:pt idx="18">
                  <c:v>G</c:v>
                </c:pt>
                <c:pt idx="23">
                  <c:v>Average</c:v>
                </c:pt>
                <c:pt idx="24">
                  <c:v>H</c:v>
                </c:pt>
                <c:pt idx="29">
                  <c:v>Average</c:v>
                </c:pt>
              </c:strCache>
            </c:strRef>
          </c:cat>
          <c:val>
            <c:numRef>
              <c:f>'Before Cyclic Twisting Test'!$L$23:$L$52</c:f>
              <c:numCache>
                <c:formatCode>General</c:formatCode>
                <c:ptCount val="30"/>
                <c:pt idx="0">
                  <c:v>3.601</c:v>
                </c:pt>
                <c:pt idx="1">
                  <c:v>3.601</c:v>
                </c:pt>
                <c:pt idx="2">
                  <c:v>3.601</c:v>
                </c:pt>
                <c:pt idx="3">
                  <c:v>3.601</c:v>
                </c:pt>
                <c:pt idx="4">
                  <c:v>3.601</c:v>
                </c:pt>
                <c:pt idx="5">
                  <c:v>3.601</c:v>
                </c:pt>
                <c:pt idx="6">
                  <c:v>3.601</c:v>
                </c:pt>
                <c:pt idx="7">
                  <c:v>3.601</c:v>
                </c:pt>
                <c:pt idx="8">
                  <c:v>3.601</c:v>
                </c:pt>
                <c:pt idx="9">
                  <c:v>3.601</c:v>
                </c:pt>
                <c:pt idx="10">
                  <c:v>3.601</c:v>
                </c:pt>
                <c:pt idx="11">
                  <c:v>3.601</c:v>
                </c:pt>
                <c:pt idx="12">
                  <c:v>3.7610000000000001</c:v>
                </c:pt>
                <c:pt idx="13">
                  <c:v>3.7610000000000001</c:v>
                </c:pt>
                <c:pt idx="14">
                  <c:v>3.7610000000000001</c:v>
                </c:pt>
                <c:pt idx="15">
                  <c:v>3.7610000000000001</c:v>
                </c:pt>
                <c:pt idx="16">
                  <c:v>3.7210000000000001</c:v>
                </c:pt>
                <c:pt idx="17">
                  <c:v>3.7530000000000001</c:v>
                </c:pt>
                <c:pt idx="18">
                  <c:v>4.0010000000000003</c:v>
                </c:pt>
                <c:pt idx="19">
                  <c:v>4.0010000000000003</c:v>
                </c:pt>
                <c:pt idx="20">
                  <c:v>4.0010000000000003</c:v>
                </c:pt>
                <c:pt idx="21">
                  <c:v>4.0010000000000003</c:v>
                </c:pt>
                <c:pt idx="22">
                  <c:v>4.0010000000000003</c:v>
                </c:pt>
                <c:pt idx="23">
                  <c:v>4.0010000000000003</c:v>
                </c:pt>
                <c:pt idx="24">
                  <c:v>3.8809999999999998</c:v>
                </c:pt>
                <c:pt idx="25">
                  <c:v>3.8410000000000002</c:v>
                </c:pt>
                <c:pt idx="26">
                  <c:v>3.8410000000000002</c:v>
                </c:pt>
                <c:pt idx="27">
                  <c:v>3.8410000000000002</c:v>
                </c:pt>
                <c:pt idx="28">
                  <c:v>3.8410000000000002</c:v>
                </c:pt>
                <c:pt idx="29">
                  <c:v>3.8490000000000002</c:v>
                </c:pt>
              </c:numCache>
            </c:numRef>
          </c:val>
        </c:ser>
        <c:ser>
          <c:idx val="11"/>
          <c:order val="11"/>
          <c:tx>
            <c:strRef>
              <c:f>'Before Cyclic Twisting Test'!$M$1:$M$22</c:f>
              <c:strCache>
                <c:ptCount val="1"/>
                <c:pt idx="0">
                  <c:v>Touch Rise Time (s) 0.00000093 0.00000095 0.00000098 0.00000097 0.00000092 0.00000095 0.00000119 0.00000121 0.00000109 0.00000113 0.00000113 0.000001572 0.0000005 0.00000069 0.00000052 0.00000062 0.00000052 0.00000057 Touch Rise Time (s)</c:v>
                </c:pt>
              </c:strCache>
            </c:strRef>
          </c:tx>
          <c:invertIfNegative val="0"/>
          <c:cat>
            <c:strRef>
              <c:f>'Before Cyclic Twisting Test'!$A$23:$A$52</c:f>
              <c:strCache>
                <c:ptCount val="30"/>
                <c:pt idx="0">
                  <c:v>D</c:v>
                </c:pt>
                <c:pt idx="5">
                  <c:v>Average</c:v>
                </c:pt>
                <c:pt idx="6">
                  <c:v>E*</c:v>
                </c:pt>
                <c:pt idx="11">
                  <c:v>Average</c:v>
                </c:pt>
                <c:pt idx="12">
                  <c:v>F</c:v>
                </c:pt>
                <c:pt idx="17">
                  <c:v>Average</c:v>
                </c:pt>
                <c:pt idx="18">
                  <c:v>G</c:v>
                </c:pt>
                <c:pt idx="23">
                  <c:v>Average</c:v>
                </c:pt>
                <c:pt idx="24">
                  <c:v>H</c:v>
                </c:pt>
                <c:pt idx="29">
                  <c:v>Average</c:v>
                </c:pt>
              </c:strCache>
            </c:strRef>
          </c:cat>
          <c:val>
            <c:numRef>
              <c:f>'Before Cyclic Twisting Test'!$M$23:$M$52</c:f>
              <c:numCache>
                <c:formatCode>General</c:formatCode>
                <c:ptCount val="30"/>
                <c:pt idx="0">
                  <c:v>3.8000000000000001E-7</c:v>
                </c:pt>
                <c:pt idx="1">
                  <c:v>4.3000000000000001E-7</c:v>
                </c:pt>
                <c:pt idx="2">
                  <c:v>4.3000000000000001E-7</c:v>
                </c:pt>
                <c:pt idx="3">
                  <c:v>4.4000000000000002E-7</c:v>
                </c:pt>
                <c:pt idx="4">
                  <c:v>3.9000000000000002E-7</c:v>
                </c:pt>
                <c:pt idx="5">
                  <c:v>4.1400000000000003E-7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1.0899999999999999E-6</c:v>
                </c:pt>
                <c:pt idx="13">
                  <c:v>1.1299999999999998E-6</c:v>
                </c:pt>
                <c:pt idx="14">
                  <c:v>1.1299999999999998E-6</c:v>
                </c:pt>
                <c:pt idx="15">
                  <c:v>1.2099999999999998E-6</c:v>
                </c:pt>
                <c:pt idx="16">
                  <c:v>1.22E-6</c:v>
                </c:pt>
                <c:pt idx="17">
                  <c:v>1.156E-6</c:v>
                </c:pt>
                <c:pt idx="18">
                  <c:v>4.9000000000000007E-7</c:v>
                </c:pt>
                <c:pt idx="19">
                  <c:v>4.9000000000000007E-7</c:v>
                </c:pt>
                <c:pt idx="20">
                  <c:v>5.2E-7</c:v>
                </c:pt>
                <c:pt idx="21">
                  <c:v>5.0999999999999999E-7</c:v>
                </c:pt>
                <c:pt idx="22">
                  <c:v>5.2E-7</c:v>
                </c:pt>
                <c:pt idx="23">
                  <c:v>5.0600000000000011E-7</c:v>
                </c:pt>
                <c:pt idx="24">
                  <c:v>1.1299999999999998E-6</c:v>
                </c:pt>
                <c:pt idx="25">
                  <c:v>1.04E-6</c:v>
                </c:pt>
                <c:pt idx="26">
                  <c:v>1.11E-6</c:v>
                </c:pt>
                <c:pt idx="27">
                  <c:v>1.06E-6</c:v>
                </c:pt>
                <c:pt idx="28">
                  <c:v>1.06E-6</c:v>
                </c:pt>
                <c:pt idx="29">
                  <c:v>1.0799999999999998E-6</c:v>
                </c:pt>
              </c:numCache>
            </c:numRef>
          </c:val>
        </c:ser>
        <c:ser>
          <c:idx val="12"/>
          <c:order val="12"/>
          <c:tx>
            <c:strRef>
              <c:f>'Before Cyclic Twisting Test'!$N$1:$N$22</c:f>
              <c:strCache>
                <c:ptCount val="1"/>
                <c:pt idx="0">
                  <c:v>Touch Fall Time (s) 0.00000536 0.0000053 0.00000534 0.00000552 0.00000542 0.000005388 0.00000598 0.00000588 0.00000628 0.00000644 0.0000067 0.000006256 0.00000158 0.00000158 0.00000154 0.00000162 0.00000154 0.000001572 Touch Fall Time (s)</c:v>
                </c:pt>
              </c:strCache>
            </c:strRef>
          </c:tx>
          <c:invertIfNegative val="0"/>
          <c:cat>
            <c:strRef>
              <c:f>'Before Cyclic Twisting Test'!$A$23:$A$52</c:f>
              <c:strCache>
                <c:ptCount val="30"/>
                <c:pt idx="0">
                  <c:v>D</c:v>
                </c:pt>
                <c:pt idx="5">
                  <c:v>Average</c:v>
                </c:pt>
                <c:pt idx="6">
                  <c:v>E*</c:v>
                </c:pt>
                <c:pt idx="11">
                  <c:v>Average</c:v>
                </c:pt>
                <c:pt idx="12">
                  <c:v>F</c:v>
                </c:pt>
                <c:pt idx="17">
                  <c:v>Average</c:v>
                </c:pt>
                <c:pt idx="18">
                  <c:v>G</c:v>
                </c:pt>
                <c:pt idx="23">
                  <c:v>Average</c:v>
                </c:pt>
                <c:pt idx="24">
                  <c:v>H</c:v>
                </c:pt>
                <c:pt idx="29">
                  <c:v>Average</c:v>
                </c:pt>
              </c:strCache>
            </c:strRef>
          </c:cat>
          <c:val>
            <c:numRef>
              <c:f>'Before Cyclic Twisting Test'!$N$23:$N$52</c:f>
              <c:numCache>
                <c:formatCode>General</c:formatCode>
                <c:ptCount val="30"/>
                <c:pt idx="0">
                  <c:v>1.3799999999999999E-6</c:v>
                </c:pt>
                <c:pt idx="1">
                  <c:v>1.3E-6</c:v>
                </c:pt>
                <c:pt idx="2">
                  <c:v>1.3400000000000001E-6</c:v>
                </c:pt>
                <c:pt idx="3">
                  <c:v>1.3200000000000001E-6</c:v>
                </c:pt>
                <c:pt idx="4">
                  <c:v>1.3200000000000001E-6</c:v>
                </c:pt>
                <c:pt idx="5">
                  <c:v>1.3319999999999999E-6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5.2199999999999991E-6</c:v>
                </c:pt>
                <c:pt idx="13">
                  <c:v>4.9999999999999996E-6</c:v>
                </c:pt>
                <c:pt idx="14">
                  <c:v>5.0999999999999995E-6</c:v>
                </c:pt>
                <c:pt idx="15">
                  <c:v>5.5399999999999995E-6</c:v>
                </c:pt>
                <c:pt idx="16">
                  <c:v>5.4999999999999999E-6</c:v>
                </c:pt>
                <c:pt idx="17">
                  <c:v>5.2719999999999997E-6</c:v>
                </c:pt>
                <c:pt idx="18">
                  <c:v>1.9800000000000001E-6</c:v>
                </c:pt>
                <c:pt idx="19">
                  <c:v>2.1399999999999998E-6</c:v>
                </c:pt>
                <c:pt idx="20">
                  <c:v>1.9999999999999999E-6</c:v>
                </c:pt>
                <c:pt idx="21">
                  <c:v>1.9800000000000001E-6</c:v>
                </c:pt>
                <c:pt idx="22">
                  <c:v>2.1600000000000001E-6</c:v>
                </c:pt>
                <c:pt idx="23">
                  <c:v>2.0519999999999996E-6</c:v>
                </c:pt>
                <c:pt idx="24">
                  <c:v>1.33E-5</c:v>
                </c:pt>
                <c:pt idx="25">
                  <c:v>1.2359999999999999E-5</c:v>
                </c:pt>
                <c:pt idx="26">
                  <c:v>1.256E-5</c:v>
                </c:pt>
                <c:pt idx="27">
                  <c:v>1.2639999999999999E-5</c:v>
                </c:pt>
                <c:pt idx="28">
                  <c:v>1.2639999999999999E-5</c:v>
                </c:pt>
                <c:pt idx="29">
                  <c:v>1.27E-5</c:v>
                </c:pt>
              </c:numCache>
            </c:numRef>
          </c:val>
        </c:ser>
        <c:ser>
          <c:idx val="13"/>
          <c:order val="13"/>
          <c:tx>
            <c:strRef>
              <c:f>'Before Cyclic Twisting Test'!$O$1:$O$22</c:f>
              <c:strCache>
                <c:ptCount val="1"/>
                <c:pt idx="0">
                  <c:v>Touch RiseCapacitance (F) 2.73529E-11 2.79412E-11 2.88235E-11 2.85294E-11 2.70588E-11 2.79412E-11 4.64706E-11 4.64706E-11 4.64706E-11 4.58824E-11 4.58824E-11 4.62353E-11 1.47059E-11 2.02941E-11 1.52941E-11 1.82353E-11 1.52941E-11 1.67647E-11 Touch RiseCap</c:v>
                </c:pt>
              </c:strCache>
            </c:strRef>
          </c:tx>
          <c:invertIfNegative val="0"/>
          <c:cat>
            <c:strRef>
              <c:f>'Before Cyclic Twisting Test'!$A$23:$A$52</c:f>
              <c:strCache>
                <c:ptCount val="30"/>
                <c:pt idx="0">
                  <c:v>D</c:v>
                </c:pt>
                <c:pt idx="5">
                  <c:v>Average</c:v>
                </c:pt>
                <c:pt idx="6">
                  <c:v>E*</c:v>
                </c:pt>
                <c:pt idx="11">
                  <c:v>Average</c:v>
                </c:pt>
                <c:pt idx="12">
                  <c:v>F</c:v>
                </c:pt>
                <c:pt idx="17">
                  <c:v>Average</c:v>
                </c:pt>
                <c:pt idx="18">
                  <c:v>G</c:v>
                </c:pt>
                <c:pt idx="23">
                  <c:v>Average</c:v>
                </c:pt>
                <c:pt idx="24">
                  <c:v>H</c:v>
                </c:pt>
                <c:pt idx="29">
                  <c:v>Average</c:v>
                </c:pt>
              </c:strCache>
            </c:strRef>
          </c:cat>
          <c:val>
            <c:numRef>
              <c:f>'Before Cyclic Twisting Test'!$O$23:$O$52</c:f>
              <c:numCache>
                <c:formatCode>General</c:formatCode>
                <c:ptCount val="30"/>
                <c:pt idx="0">
                  <c:v>1.1176470588235295E-11</c:v>
                </c:pt>
                <c:pt idx="1">
                  <c:v>1.2647058823529412E-11</c:v>
                </c:pt>
                <c:pt idx="2">
                  <c:v>1.2647058823529412E-11</c:v>
                </c:pt>
                <c:pt idx="3">
                  <c:v>1.2941176470588236E-11</c:v>
                </c:pt>
                <c:pt idx="4">
                  <c:v>1.1470588235294119E-11</c:v>
                </c:pt>
                <c:pt idx="5">
                  <c:v>1.2176470588235293E-11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3.2058823529411763E-11</c:v>
                </c:pt>
                <c:pt idx="13">
                  <c:v>3.3235294117647052E-11</c:v>
                </c:pt>
                <c:pt idx="14">
                  <c:v>3.3235294117647052E-11</c:v>
                </c:pt>
                <c:pt idx="15">
                  <c:v>3.5588235294117643E-11</c:v>
                </c:pt>
                <c:pt idx="16">
                  <c:v>3.588235294117647E-11</c:v>
                </c:pt>
                <c:pt idx="17">
                  <c:v>3.3999999999999992E-11</c:v>
                </c:pt>
                <c:pt idx="18">
                  <c:v>1.4411764705882355E-11</c:v>
                </c:pt>
                <c:pt idx="19">
                  <c:v>1.4411764705882355E-11</c:v>
                </c:pt>
                <c:pt idx="20">
                  <c:v>1.5294117647058824E-11</c:v>
                </c:pt>
                <c:pt idx="21">
                  <c:v>1.5E-11</c:v>
                </c:pt>
                <c:pt idx="22">
                  <c:v>1.5294117647058824E-11</c:v>
                </c:pt>
                <c:pt idx="23">
                  <c:v>1.4882352941176472E-11</c:v>
                </c:pt>
                <c:pt idx="24">
                  <c:v>3.3235294117647052E-11</c:v>
                </c:pt>
                <c:pt idx="25">
                  <c:v>3.0588235294117647E-11</c:v>
                </c:pt>
                <c:pt idx="26">
                  <c:v>3.2647058823529411E-11</c:v>
                </c:pt>
                <c:pt idx="27">
                  <c:v>3.1176470588235295E-11</c:v>
                </c:pt>
                <c:pt idx="28">
                  <c:v>3.1176470588235295E-11</c:v>
                </c:pt>
                <c:pt idx="29">
                  <c:v>3.1764705882352943E-11</c:v>
                </c:pt>
              </c:numCache>
            </c:numRef>
          </c:val>
        </c:ser>
        <c:ser>
          <c:idx val="14"/>
          <c:order val="14"/>
          <c:tx>
            <c:strRef>
              <c:f>'Before Cyclic Twisting Test'!$P$1:$P$22</c:f>
              <c:strCache>
                <c:ptCount val="1"/>
                <c:pt idx="0">
                  <c:v>Touch Fall Capacitance (F) 1.57647E-10 1.55882E-10 1.57059E-10 1.62353E-10 1.59412E-10 1.58471E-10 1.75882E-10 1.72941E-10 1.84706E-10 1.89412E-10 1.97059E-10 1.84E-10 4.64706E-11 4.64706E-11 4.52941E-11 4.76471E-11 4.52941E-11 4.62353E-11 Touch Fall Capa</c:v>
                </c:pt>
              </c:strCache>
            </c:strRef>
          </c:tx>
          <c:invertIfNegative val="0"/>
          <c:cat>
            <c:strRef>
              <c:f>'Before Cyclic Twisting Test'!$A$23:$A$52</c:f>
              <c:strCache>
                <c:ptCount val="30"/>
                <c:pt idx="0">
                  <c:v>D</c:v>
                </c:pt>
                <c:pt idx="5">
                  <c:v>Average</c:v>
                </c:pt>
                <c:pt idx="6">
                  <c:v>E*</c:v>
                </c:pt>
                <c:pt idx="11">
                  <c:v>Average</c:v>
                </c:pt>
                <c:pt idx="12">
                  <c:v>F</c:v>
                </c:pt>
                <c:pt idx="17">
                  <c:v>Average</c:v>
                </c:pt>
                <c:pt idx="18">
                  <c:v>G</c:v>
                </c:pt>
                <c:pt idx="23">
                  <c:v>Average</c:v>
                </c:pt>
                <c:pt idx="24">
                  <c:v>H</c:v>
                </c:pt>
                <c:pt idx="29">
                  <c:v>Average</c:v>
                </c:pt>
              </c:strCache>
            </c:strRef>
          </c:cat>
          <c:val>
            <c:numRef>
              <c:f>'Before Cyclic Twisting Test'!$P$23:$P$52</c:f>
              <c:numCache>
                <c:formatCode>General</c:formatCode>
                <c:ptCount val="30"/>
                <c:pt idx="0">
                  <c:v>4.0588235294117645E-11</c:v>
                </c:pt>
                <c:pt idx="1">
                  <c:v>3.8235294117647061E-11</c:v>
                </c:pt>
                <c:pt idx="2">
                  <c:v>3.9411764705882356E-11</c:v>
                </c:pt>
                <c:pt idx="3">
                  <c:v>3.8823529411764709E-11</c:v>
                </c:pt>
                <c:pt idx="4">
                  <c:v>3.8823529411764709E-11</c:v>
                </c:pt>
                <c:pt idx="5">
                  <c:v>3.9176470588235293E-11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1.5352941176470587E-10</c:v>
                </c:pt>
                <c:pt idx="13">
                  <c:v>1.4705882352941175E-10</c:v>
                </c:pt>
                <c:pt idx="14">
                  <c:v>1.5E-10</c:v>
                </c:pt>
                <c:pt idx="15">
                  <c:v>1.6294117647058821E-10</c:v>
                </c:pt>
                <c:pt idx="16">
                  <c:v>1.6176470588235295E-10</c:v>
                </c:pt>
                <c:pt idx="17">
                  <c:v>1.5505882352941175E-10</c:v>
                </c:pt>
                <c:pt idx="18">
                  <c:v>5.8235294117647063E-11</c:v>
                </c:pt>
                <c:pt idx="19">
                  <c:v>6.2941176470588232E-11</c:v>
                </c:pt>
                <c:pt idx="20">
                  <c:v>5.8823529411764704E-11</c:v>
                </c:pt>
                <c:pt idx="21">
                  <c:v>5.8235294117647063E-11</c:v>
                </c:pt>
                <c:pt idx="22">
                  <c:v>6.3529411764705886E-11</c:v>
                </c:pt>
                <c:pt idx="23">
                  <c:v>6.0352941176470597E-11</c:v>
                </c:pt>
                <c:pt idx="24">
                  <c:v>3.9117647058823531E-10</c:v>
                </c:pt>
                <c:pt idx="25">
                  <c:v>3.6352941176470587E-10</c:v>
                </c:pt>
                <c:pt idx="26">
                  <c:v>3.6941176470588231E-10</c:v>
                </c:pt>
                <c:pt idx="27">
                  <c:v>3.7176470588235293E-10</c:v>
                </c:pt>
                <c:pt idx="28">
                  <c:v>3.7176470588235293E-10</c:v>
                </c:pt>
                <c:pt idx="29">
                  <c:v>3.7352941176470584E-10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975488"/>
        <c:axId val="136977024"/>
      </c:barChart>
      <c:catAx>
        <c:axId val="136975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36977024"/>
        <c:crosses val="autoZero"/>
        <c:auto val="1"/>
        <c:lblAlgn val="ctr"/>
        <c:lblOffset val="100"/>
        <c:noMultiLvlLbl val="0"/>
      </c:catAx>
      <c:valAx>
        <c:axId val="136977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975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905192594169"/>
          <c:y val="0.17666806442094146"/>
          <c:w val="0.84098060189247126"/>
          <c:h val="0.62859743123825496"/>
        </c:manualLayout>
      </c:layout>
      <c:barChart>
        <c:barDir val="col"/>
        <c:grouping val="clustered"/>
        <c:varyColors val="0"/>
        <c:ser>
          <c:idx val="0"/>
          <c:order val="0"/>
          <c:tx>
            <c:v>No Trigger Object Detection</c:v>
          </c:tx>
          <c:spPr>
            <a:solidFill>
              <a:schemeClr val="accent1"/>
            </a:solidFill>
            <a:ln w="31750"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</c:errBars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'Before -Results'!$B$4:$B$10</c:f>
              <c:numCache>
                <c:formatCode>0.00E+00</c:formatCode>
                <c:ptCount val="7"/>
                <c:pt idx="0">
                  <c:v>4.2569999999999997</c:v>
                </c:pt>
                <c:pt idx="1">
                  <c:v>4.0010000000000003</c:v>
                </c:pt>
                <c:pt idx="2">
                  <c:v>3.4729999999999999</c:v>
                </c:pt>
                <c:pt idx="3">
                  <c:v>3.7769999999999997</c:v>
                </c:pt>
                <c:pt idx="4">
                  <c:v>3.8889999999999993</c:v>
                </c:pt>
                <c:pt idx="5">
                  <c:v>4.2649999999999997</c:v>
                </c:pt>
                <c:pt idx="6">
                  <c:v>4.0410000000000004</c:v>
                </c:pt>
              </c:numCache>
            </c:numRef>
          </c:val>
        </c:ser>
        <c:ser>
          <c:idx val="1"/>
          <c:order val="1"/>
          <c:tx>
            <c:v>Proximity Detection</c:v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</c:errBars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'Before -Results'!$E$4:$E$10</c:f>
              <c:numCache>
                <c:formatCode>0.00E+00</c:formatCode>
                <c:ptCount val="7"/>
                <c:pt idx="0">
                  <c:v>4.0810000000000004</c:v>
                </c:pt>
                <c:pt idx="1">
                  <c:v>4.0010000000000003</c:v>
                </c:pt>
                <c:pt idx="2">
                  <c:v>3.569</c:v>
                </c:pt>
                <c:pt idx="3">
                  <c:v>3.7610000000000001</c:v>
                </c:pt>
                <c:pt idx="4">
                  <c:v>3.8809999999999993</c:v>
                </c:pt>
                <c:pt idx="5">
                  <c:v>4.1210000000000004</c:v>
                </c:pt>
                <c:pt idx="6">
                  <c:v>4.0010000000000003</c:v>
                </c:pt>
              </c:numCache>
            </c:numRef>
          </c:val>
        </c:ser>
        <c:ser>
          <c:idx val="2"/>
          <c:order val="2"/>
          <c:tx>
            <c:v>Touch Detection</c:v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</c:errBars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'Before -Results'!$H$4:$H$10</c:f>
              <c:numCache>
                <c:formatCode>0.00E+00</c:formatCode>
                <c:ptCount val="7"/>
                <c:pt idx="0">
                  <c:v>3.9449999999999994</c:v>
                </c:pt>
                <c:pt idx="1">
                  <c:v>3.8170000000000002</c:v>
                </c:pt>
                <c:pt idx="2">
                  <c:v>3.585</c:v>
                </c:pt>
                <c:pt idx="3">
                  <c:v>3.601</c:v>
                </c:pt>
                <c:pt idx="4">
                  <c:v>3.7530000000000001</c:v>
                </c:pt>
                <c:pt idx="5">
                  <c:v>4.0010000000000003</c:v>
                </c:pt>
                <c:pt idx="6">
                  <c:v>3.8490000000000002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292992"/>
        <c:axId val="137023488"/>
      </c:barChart>
      <c:catAx>
        <c:axId val="136292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/>
                  <a:t>Cyclic Twisting Circuit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37023488"/>
        <c:crosses val="autoZero"/>
        <c:auto val="1"/>
        <c:lblAlgn val="ctr"/>
        <c:lblOffset val="100"/>
        <c:noMultiLvlLbl val="0"/>
      </c:catAx>
      <c:valAx>
        <c:axId val="13702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 sz="1000"/>
                  <a:t>Peak Capactive Charging Voltage (V)</a:t>
                </a:r>
              </a:p>
            </c:rich>
          </c:tx>
          <c:layout>
            <c:manualLayout>
              <c:xMode val="edge"/>
              <c:yMode val="edge"/>
              <c:x val="4.5461928454815026E-3"/>
              <c:y val="0.160888971718771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3629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" charset="0"/>
              <a:ea typeface="Times" charset="0"/>
              <a:cs typeface="Times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" charset="0"/>
          <a:ea typeface="Times" charset="0"/>
          <a:cs typeface="Times" charset="0"/>
        </a:defRPr>
      </a:pPr>
      <a:endParaRPr lang="en-US"/>
    </a:p>
  </c:txPr>
  <c:printSettings>
    <c:headerFooter/>
    <c:pageMargins b="0.75" l="0.7" r="0.7" t="0.75" header="0.3" footer="0.3"/>
    <c:pageSetup paperSize="9" orientation="portrait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/>
              <a:t>Comparison of Total</a:t>
            </a:r>
            <a:r>
              <a:rPr lang="en-US" baseline="0"/>
              <a:t> Charging Time of Sensing</a:t>
            </a:r>
            <a:r>
              <a:rPr lang="en-US"/>
              <a:t> Capacitor for Cyclic Twisting of Capacitive Knitted Proximity and Touch sensing Yarns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551342161775201"/>
          <c:y val="0.26216180214315299"/>
          <c:w val="0.58226037938439501"/>
          <c:h val="0.54969243976081905"/>
        </c:manualLayout>
      </c:layout>
      <c:barChart>
        <c:barDir val="col"/>
        <c:grouping val="clustered"/>
        <c:varyColors val="0"/>
        <c:ser>
          <c:idx val="0"/>
          <c:order val="0"/>
          <c:tx>
            <c:v>No Trigger Object Detection</c:v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'Before -Results'!$C$4:$C$10</c:f>
              <c:numCache>
                <c:formatCode>0.00E+00</c:formatCode>
                <c:ptCount val="7"/>
                <c:pt idx="0">
                  <c:v>3.3200000000000006E-7</c:v>
                </c:pt>
                <c:pt idx="1">
                  <c:v>3.3800000000000004E-7</c:v>
                </c:pt>
                <c:pt idx="2">
                  <c:v>6.1000000000000009E-7</c:v>
                </c:pt>
                <c:pt idx="3">
                  <c:v>4.0400000000000002E-7</c:v>
                </c:pt>
                <c:pt idx="4">
                  <c:v>3.2399999999999994E-7</c:v>
                </c:pt>
                <c:pt idx="5">
                  <c:v>4.82E-7</c:v>
                </c:pt>
                <c:pt idx="6">
                  <c:v>3.1800000000000002E-7</c:v>
                </c:pt>
              </c:numCache>
            </c:numRef>
          </c:val>
        </c:ser>
        <c:ser>
          <c:idx val="1"/>
          <c:order val="1"/>
          <c:tx>
            <c:v>Proximity Detection</c:v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'Before -Results'!$F$4:$F$10</c:f>
              <c:numCache>
                <c:formatCode>0.00E+00</c:formatCode>
                <c:ptCount val="7"/>
                <c:pt idx="0">
                  <c:v>3.2200000000000005E-7</c:v>
                </c:pt>
                <c:pt idx="1">
                  <c:v>3.3800000000000004E-7</c:v>
                </c:pt>
                <c:pt idx="2">
                  <c:v>5.6600000000000007E-7</c:v>
                </c:pt>
                <c:pt idx="3">
                  <c:v>3.8200000000000006E-7</c:v>
                </c:pt>
                <c:pt idx="4">
                  <c:v>3.2799999999999997E-7</c:v>
                </c:pt>
                <c:pt idx="5">
                  <c:v>4.9800000000000014E-7</c:v>
                </c:pt>
                <c:pt idx="6">
                  <c:v>3.2400000000000004E-7</c:v>
                </c:pt>
              </c:numCache>
            </c:numRef>
          </c:val>
        </c:ser>
        <c:ser>
          <c:idx val="2"/>
          <c:order val="2"/>
          <c:tx>
            <c:v>Touch Detection</c:v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'Before -Results'!$I$4:$I$11</c:f>
              <c:numCache>
                <c:formatCode>0.00E+00</c:formatCode>
                <c:ptCount val="8"/>
                <c:pt idx="0">
                  <c:v>9.5000000000000001E-7</c:v>
                </c:pt>
                <c:pt idx="1">
                  <c:v>1.5719999999999999E-6</c:v>
                </c:pt>
                <c:pt idx="2">
                  <c:v>5.7000000000000005E-7</c:v>
                </c:pt>
                <c:pt idx="3">
                  <c:v>4.1400000000000003E-7</c:v>
                </c:pt>
                <c:pt idx="4">
                  <c:v>1.156E-6</c:v>
                </c:pt>
                <c:pt idx="5">
                  <c:v>5.0600000000000011E-7</c:v>
                </c:pt>
                <c:pt idx="6">
                  <c:v>1.0799999999999998E-6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430528"/>
        <c:axId val="137432448"/>
      </c:barChart>
      <c:catAx>
        <c:axId val="13743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/>
                  <a:t>Cyclic Twisting Circuit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37432448"/>
        <c:crosses val="autoZero"/>
        <c:auto val="1"/>
        <c:lblAlgn val="ctr"/>
        <c:lblOffset val="100"/>
        <c:noMultiLvlLbl val="0"/>
      </c:catAx>
      <c:valAx>
        <c:axId val="13743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 sz="1100"/>
                  <a:t>TotalCapacitor </a:t>
                </a:r>
                <a:r>
                  <a:rPr lang="en-US" sz="1100" baseline="0"/>
                  <a:t> Charging Time (s)</a:t>
                </a:r>
                <a:endParaRPr lang="en-US" sz="11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3743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77380100214696"/>
          <c:y val="0.29511544609555401"/>
          <c:w val="0.23904438081603399"/>
          <c:h val="0.386216624237759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" charset="0"/>
              <a:ea typeface="Times" charset="0"/>
              <a:cs typeface="Times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" charset="0"/>
          <a:ea typeface="Times" charset="0"/>
          <a:cs typeface="Times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/>
              <a:t>Comparison of Total</a:t>
            </a:r>
            <a:r>
              <a:rPr lang="en-US" baseline="0"/>
              <a:t> Discharging Time of Sensing Capacitor</a:t>
            </a:r>
            <a:r>
              <a:rPr lang="en-US"/>
              <a:t> for Cyclic Twisting of Capacitive Knitted Proximity and Touch sensing Yarns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801342161775199"/>
          <c:y val="0.26216180214315299"/>
          <c:w val="0.66309001431639203"/>
          <c:h val="0.54969243976081905"/>
        </c:manualLayout>
      </c:layout>
      <c:barChart>
        <c:barDir val="col"/>
        <c:grouping val="clustered"/>
        <c:varyColors val="0"/>
        <c:ser>
          <c:idx val="0"/>
          <c:order val="0"/>
          <c:tx>
            <c:v>No Trigger Detection</c:v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'Before -Results'!$D$4:$D$10</c:f>
              <c:numCache>
                <c:formatCode>0.00E+00</c:formatCode>
                <c:ptCount val="7"/>
                <c:pt idx="0">
                  <c:v>2.4839999999999998E-6</c:v>
                </c:pt>
                <c:pt idx="1">
                  <c:v>1.5719999999999999E-6</c:v>
                </c:pt>
                <c:pt idx="2">
                  <c:v>2.1279999999999998E-6</c:v>
                </c:pt>
                <c:pt idx="3">
                  <c:v>1.3960000000000001E-6</c:v>
                </c:pt>
                <c:pt idx="4">
                  <c:v>1.48E-6</c:v>
                </c:pt>
                <c:pt idx="5">
                  <c:v>2.7E-6</c:v>
                </c:pt>
                <c:pt idx="6">
                  <c:v>5.1079999999999992E-6</c:v>
                </c:pt>
              </c:numCache>
            </c:numRef>
          </c:val>
        </c:ser>
        <c:ser>
          <c:idx val="1"/>
          <c:order val="1"/>
          <c:tx>
            <c:v>Proximity Detection</c:v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'Before -Results'!$G$4:$G$10</c:f>
              <c:numCache>
                <c:formatCode>0.00E+00</c:formatCode>
                <c:ptCount val="7"/>
                <c:pt idx="0">
                  <c:v>2.4959999999999999E-6</c:v>
                </c:pt>
                <c:pt idx="1">
                  <c:v>1.564E-6</c:v>
                </c:pt>
                <c:pt idx="2">
                  <c:v>1.7320000000000001E-6</c:v>
                </c:pt>
                <c:pt idx="3">
                  <c:v>1.356E-6</c:v>
                </c:pt>
                <c:pt idx="4">
                  <c:v>1.5199999999999998E-6</c:v>
                </c:pt>
                <c:pt idx="5">
                  <c:v>2.2359999999999999E-6</c:v>
                </c:pt>
                <c:pt idx="6">
                  <c:v>5.0039999999999999E-6</c:v>
                </c:pt>
              </c:numCache>
            </c:numRef>
          </c:val>
        </c:ser>
        <c:ser>
          <c:idx val="2"/>
          <c:order val="2"/>
          <c:tx>
            <c:v>Touch Detection</c:v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'Before -Results'!$J$4:$J$10</c:f>
              <c:numCache>
                <c:formatCode>0.00E+00</c:formatCode>
                <c:ptCount val="7"/>
                <c:pt idx="0">
                  <c:v>5.3879999999999991E-6</c:v>
                </c:pt>
                <c:pt idx="1">
                  <c:v>6.2559999999999999E-6</c:v>
                </c:pt>
                <c:pt idx="2">
                  <c:v>1.5719999999999999E-6</c:v>
                </c:pt>
                <c:pt idx="3">
                  <c:v>1.3319999999999999E-6</c:v>
                </c:pt>
                <c:pt idx="4">
                  <c:v>5.2719999999999997E-6</c:v>
                </c:pt>
                <c:pt idx="5">
                  <c:v>2.0519999999999996E-6</c:v>
                </c:pt>
                <c:pt idx="6">
                  <c:v>1.27E-5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446912"/>
        <c:axId val="137448832"/>
      </c:barChart>
      <c:catAx>
        <c:axId val="137446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/>
                  <a:t>Cyclic Twisting Circuit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37448832"/>
        <c:crosses val="autoZero"/>
        <c:auto val="1"/>
        <c:lblAlgn val="ctr"/>
        <c:lblOffset val="100"/>
        <c:noMultiLvlLbl val="0"/>
      </c:catAx>
      <c:valAx>
        <c:axId val="13744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 sz="1100"/>
                  <a:t>Total Capacitor</a:t>
                </a:r>
                <a:r>
                  <a:rPr lang="en-US" sz="1100" baseline="0"/>
                  <a:t> Discharging Time (s)</a:t>
                </a:r>
                <a:endParaRPr lang="en-US" sz="11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3744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792161775232597"/>
          <c:y val="0.351506423539163"/>
          <c:w val="0.16389656406585501"/>
          <c:h val="0.37117903025279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" charset="0"/>
              <a:ea typeface="Times" charset="0"/>
              <a:cs typeface="Times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" charset="0"/>
          <a:ea typeface="Times" charset="0"/>
          <a:cs typeface="Times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905192594169"/>
          <c:y val="0.1804335377050201"/>
          <c:w val="0.81850131233595802"/>
          <c:h val="0.62483209361675629"/>
        </c:manualLayout>
      </c:layout>
      <c:barChart>
        <c:barDir val="col"/>
        <c:grouping val="clustered"/>
        <c:varyColors val="0"/>
        <c:ser>
          <c:idx val="0"/>
          <c:order val="0"/>
          <c:tx>
            <c:v>No Trigger Object Detection</c:v>
          </c:tx>
          <c:spPr>
            <a:solidFill>
              <a:schemeClr val="accent1"/>
            </a:solidFill>
            <a:ln w="31750"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</c:errBars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'After - Results'!$B$3:$B$9</c:f>
              <c:numCache>
                <c:formatCode>0.00E+00</c:formatCode>
                <c:ptCount val="7"/>
                <c:pt idx="0">
                  <c:v>4.3849999999999998</c:v>
                </c:pt>
                <c:pt idx="1">
                  <c:v>0.628</c:v>
                </c:pt>
                <c:pt idx="2">
                  <c:v>0.44000000000000006</c:v>
                </c:pt>
                <c:pt idx="3">
                  <c:v>0.28400000000000003</c:v>
                </c:pt>
                <c:pt idx="4">
                  <c:v>2.52E-2</c:v>
                </c:pt>
                <c:pt idx="5">
                  <c:v>4.0810000000000004</c:v>
                </c:pt>
                <c:pt idx="6">
                  <c:v>3.9210000000000003</c:v>
                </c:pt>
              </c:numCache>
            </c:numRef>
          </c:val>
        </c:ser>
        <c:ser>
          <c:idx val="1"/>
          <c:order val="1"/>
          <c:tx>
            <c:v>Proximity Detection</c:v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</c:errBars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'After - Results'!$E$3:$E$9</c:f>
              <c:numCache>
                <c:formatCode>0.00E+00</c:formatCode>
                <c:ptCount val="7"/>
                <c:pt idx="0">
                  <c:v>3.2327999999999997</c:v>
                </c:pt>
                <c:pt idx="1">
                  <c:v>0.628</c:v>
                </c:pt>
                <c:pt idx="2">
                  <c:v>0.45600000000000007</c:v>
                </c:pt>
                <c:pt idx="3">
                  <c:v>0.38400000000000001</c:v>
                </c:pt>
                <c:pt idx="4">
                  <c:v>3.0800000000000001E-2</c:v>
                </c:pt>
                <c:pt idx="5">
                  <c:v>4.1289999999999996</c:v>
                </c:pt>
                <c:pt idx="6">
                  <c:v>3.8969999999999998</c:v>
                </c:pt>
              </c:numCache>
            </c:numRef>
          </c:val>
        </c:ser>
        <c:ser>
          <c:idx val="2"/>
          <c:order val="2"/>
          <c:tx>
            <c:v>Touch Detection</c:v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</c:errBars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'After - Results'!$H$3:$H$9</c:f>
              <c:numCache>
                <c:formatCode>0.00E+00</c:formatCode>
                <c:ptCount val="7"/>
                <c:pt idx="0">
                  <c:v>3.6970000000000001</c:v>
                </c:pt>
                <c:pt idx="1">
                  <c:v>2.3809999999999997E-6</c:v>
                </c:pt>
                <c:pt idx="2">
                  <c:v>2.2090000000000005</c:v>
                </c:pt>
                <c:pt idx="3">
                  <c:v>0.68</c:v>
                </c:pt>
                <c:pt idx="4">
                  <c:v>9.3600000000000003E-2</c:v>
                </c:pt>
                <c:pt idx="5">
                  <c:v>3.0569999999999999</c:v>
                </c:pt>
                <c:pt idx="6">
                  <c:v>3.4169999999999994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497600"/>
        <c:axId val="137512064"/>
      </c:barChart>
      <c:catAx>
        <c:axId val="137497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/>
                  <a:t>Cyclic Twisting Circuit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37512064"/>
        <c:crosses val="autoZero"/>
        <c:auto val="1"/>
        <c:lblAlgn val="ctr"/>
        <c:lblOffset val="100"/>
        <c:noMultiLvlLbl val="0"/>
      </c:catAx>
      <c:valAx>
        <c:axId val="13751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 sz="1100"/>
                  <a:t>Peak Capactive Charging Voltage (V)</a:t>
                </a:r>
              </a:p>
            </c:rich>
          </c:tx>
          <c:layout>
            <c:manualLayout>
              <c:xMode val="edge"/>
              <c:yMode val="edge"/>
              <c:x val="1.3571448445269423E-3"/>
              <c:y val="0.164623396179063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37497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" charset="0"/>
              <a:ea typeface="Times" charset="0"/>
              <a:cs typeface="Times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" charset="0"/>
          <a:ea typeface="Times" charset="0"/>
          <a:cs typeface="Times" charset="0"/>
        </a:defRPr>
      </a:pPr>
      <a:endParaRPr lang="en-US"/>
    </a:p>
  </c:txPr>
  <c:printSettings>
    <c:headerFooter/>
    <c:pageMargins b="0.75" l="0.7" r="0.7" t="0.75" header="0.3" footer="0.3"/>
    <c:pageSetup paperSize="9" orientation="portrait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/>
              <a:t>Comparison of Total</a:t>
            </a:r>
            <a:r>
              <a:rPr lang="en-US" baseline="0"/>
              <a:t> Charging Time of Sensing</a:t>
            </a:r>
            <a:r>
              <a:rPr lang="en-US"/>
              <a:t> Capacitor for Cyclic Twisting of Capacitive Knitted Proximity and Touch sensing Yarns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551342161775201"/>
          <c:y val="0.26216180214315299"/>
          <c:w val="0.58226037938439501"/>
          <c:h val="0.54969243976081905"/>
        </c:manualLayout>
      </c:layout>
      <c:barChart>
        <c:barDir val="col"/>
        <c:grouping val="clustered"/>
        <c:varyColors val="0"/>
        <c:ser>
          <c:idx val="0"/>
          <c:order val="0"/>
          <c:tx>
            <c:v>No Trigger Object Detection</c:v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'After - Results'!$C$3:$C$9</c:f>
              <c:numCache>
                <c:formatCode>0.00E+00</c:formatCode>
                <c:ptCount val="7"/>
                <c:pt idx="0">
                  <c:v>1.1000000000000001E-6</c:v>
                </c:pt>
                <c:pt idx="1">
                  <c:v>9.6000000000000009E-3</c:v>
                </c:pt>
                <c:pt idx="2">
                  <c:v>4.96E-3</c:v>
                </c:pt>
                <c:pt idx="3">
                  <c:v>6.0400000000000002E-3</c:v>
                </c:pt>
                <c:pt idx="4">
                  <c:v>0.16196000000000002</c:v>
                </c:pt>
                <c:pt idx="5">
                  <c:v>8.060000000000001E-7</c:v>
                </c:pt>
                <c:pt idx="6">
                  <c:v>8.3400000000000019E-7</c:v>
                </c:pt>
              </c:numCache>
            </c:numRef>
          </c:val>
        </c:ser>
        <c:ser>
          <c:idx val="1"/>
          <c:order val="1"/>
          <c:tx>
            <c:v>Proximity Detection</c:v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'After - Results'!$F$3:$F$9</c:f>
              <c:numCache>
                <c:formatCode>0.00E+00</c:formatCode>
                <c:ptCount val="7"/>
                <c:pt idx="0">
                  <c:v>5.9599999999999999E-7</c:v>
                </c:pt>
                <c:pt idx="1">
                  <c:v>9.6000000000000009E-3</c:v>
                </c:pt>
                <c:pt idx="2">
                  <c:v>8.6099999999999996E-3</c:v>
                </c:pt>
                <c:pt idx="3">
                  <c:v>6.320000000000001E-3</c:v>
                </c:pt>
                <c:pt idx="4">
                  <c:v>0.16098000000000001</c:v>
                </c:pt>
                <c:pt idx="5">
                  <c:v>7.9599999999999998E-7</c:v>
                </c:pt>
                <c:pt idx="6">
                  <c:v>1.0839999999999997E-6</c:v>
                </c:pt>
              </c:numCache>
            </c:numRef>
          </c:val>
        </c:ser>
        <c:ser>
          <c:idx val="2"/>
          <c:order val="2"/>
          <c:tx>
            <c:v>Touch Detection</c:v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'After - Results'!$I$3:$I$9</c:f>
              <c:numCache>
                <c:formatCode>0.00E+00</c:formatCode>
                <c:ptCount val="7"/>
                <c:pt idx="0">
                  <c:v>1.3059999999999999E-6</c:v>
                </c:pt>
                <c:pt idx="1">
                  <c:v>9.5600000000000008E-3</c:v>
                </c:pt>
                <c:pt idx="2">
                  <c:v>5.9800000000000009E-3</c:v>
                </c:pt>
                <c:pt idx="3">
                  <c:v>2.65E-3</c:v>
                </c:pt>
                <c:pt idx="4">
                  <c:v>6.7060000000000008E-2</c:v>
                </c:pt>
                <c:pt idx="5">
                  <c:v>1.4420000000000001E-6</c:v>
                </c:pt>
                <c:pt idx="6">
                  <c:v>2.0359999999999996E-6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25888"/>
        <c:axId val="137528064"/>
      </c:barChart>
      <c:catAx>
        <c:axId val="13752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/>
                  <a:t>Cyclic Twisting Circuit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37528064"/>
        <c:crosses val="autoZero"/>
        <c:auto val="1"/>
        <c:lblAlgn val="ctr"/>
        <c:lblOffset val="100"/>
        <c:noMultiLvlLbl val="0"/>
      </c:catAx>
      <c:valAx>
        <c:axId val="13752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 sz="1100"/>
                  <a:t>TotalCapacitor </a:t>
                </a:r>
                <a:r>
                  <a:rPr lang="en-US" sz="1100" baseline="0"/>
                  <a:t> Charging Time (s)</a:t>
                </a:r>
                <a:endParaRPr lang="en-US" sz="11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37525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77380100214696"/>
          <c:y val="0.29511544609555401"/>
          <c:w val="0.23904438081603399"/>
          <c:h val="0.386216624237759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" charset="0"/>
              <a:ea typeface="Times" charset="0"/>
              <a:cs typeface="Times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" charset="0"/>
          <a:ea typeface="Times" charset="0"/>
          <a:cs typeface="Times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r>
              <a:rPr lang="en-US"/>
              <a:t>Comparison of Total</a:t>
            </a:r>
            <a:r>
              <a:rPr lang="en-US" baseline="0"/>
              <a:t> Discharging Time of Sensing Capacitor</a:t>
            </a:r>
            <a:r>
              <a:rPr lang="en-US"/>
              <a:t> for Cyclic Twisting of Capacitive Knitted Proximity and Touch sensing Yarns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801342161775199"/>
          <c:y val="0.26216180214315299"/>
          <c:w val="0.66309001431639203"/>
          <c:h val="0.54969243976081905"/>
        </c:manualLayout>
      </c:layout>
      <c:barChart>
        <c:barDir val="col"/>
        <c:grouping val="clustered"/>
        <c:varyColors val="0"/>
        <c:ser>
          <c:idx val="0"/>
          <c:order val="0"/>
          <c:tx>
            <c:v>No Trigger Detection</c:v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'After - Results'!$D$3:$D$9</c:f>
              <c:numCache>
                <c:formatCode>0.00E+00</c:formatCode>
                <c:ptCount val="7"/>
                <c:pt idx="0">
                  <c:v>4.2559999999999996E-6</c:v>
                </c:pt>
                <c:pt idx="1">
                  <c:v>9.5600000000000008E-3</c:v>
                </c:pt>
                <c:pt idx="2">
                  <c:v>6.1600000000000005E-3</c:v>
                </c:pt>
                <c:pt idx="3">
                  <c:v>5.1200000000000013E-3</c:v>
                </c:pt>
                <c:pt idx="4">
                  <c:v>1.5781284200000002E-2</c:v>
                </c:pt>
                <c:pt idx="5">
                  <c:v>2.7959999999999996E-6</c:v>
                </c:pt>
                <c:pt idx="6">
                  <c:v>2.1599999999999996E-6</c:v>
                </c:pt>
              </c:numCache>
            </c:numRef>
          </c:val>
        </c:ser>
        <c:ser>
          <c:idx val="1"/>
          <c:order val="1"/>
          <c:tx>
            <c:v>Proximity Detection</c:v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'After - Results'!$G$3:$G$9</c:f>
              <c:numCache>
                <c:formatCode>0.00E+00</c:formatCode>
                <c:ptCount val="7"/>
                <c:pt idx="0">
                  <c:v>3.2279999999999994E-6</c:v>
                </c:pt>
                <c:pt idx="1">
                  <c:v>9.5999999999999992E-3</c:v>
                </c:pt>
                <c:pt idx="2">
                  <c:v>9.1799999999999989E-3</c:v>
                </c:pt>
                <c:pt idx="3">
                  <c:v>5.1200000000000004E-3</c:v>
                </c:pt>
                <c:pt idx="4">
                  <c:v>1.66E-6</c:v>
                </c:pt>
                <c:pt idx="5">
                  <c:v>2.7999999999999999E-6</c:v>
                </c:pt>
                <c:pt idx="6">
                  <c:v>2.0359999999999996E-6</c:v>
                </c:pt>
              </c:numCache>
            </c:numRef>
          </c:val>
        </c:ser>
        <c:ser>
          <c:idx val="2"/>
          <c:order val="2"/>
          <c:tx>
            <c:v>Touch Detection</c:v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cat>
            <c:strRef>
              <c:f>'After - Results'!$A$3:$A$9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'After - Results'!$J$3:$J$9</c:f>
              <c:numCache>
                <c:formatCode>0.00E+00</c:formatCode>
                <c:ptCount val="7"/>
                <c:pt idx="0">
                  <c:v>1.0488000000000002E-5</c:v>
                </c:pt>
                <c:pt idx="1">
                  <c:v>5.9400000000000008E-3</c:v>
                </c:pt>
                <c:pt idx="2">
                  <c:v>6.3799999999999994E-3</c:v>
                </c:pt>
                <c:pt idx="3">
                  <c:v>2.2599999999999999E-3</c:v>
                </c:pt>
                <c:pt idx="4">
                  <c:v>4.0800000000000003E-2</c:v>
                </c:pt>
                <c:pt idx="5">
                  <c:v>1.0543999999999999E-5</c:v>
                </c:pt>
                <c:pt idx="6">
                  <c:v>8.6079999999999996E-6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54944"/>
        <c:axId val="137557120"/>
      </c:barChart>
      <c:catAx>
        <c:axId val="137554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/>
                  <a:t>Cyclic Twisting Circuit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37557120"/>
        <c:crosses val="autoZero"/>
        <c:auto val="1"/>
        <c:lblAlgn val="ctr"/>
        <c:lblOffset val="100"/>
        <c:noMultiLvlLbl val="0"/>
      </c:catAx>
      <c:valAx>
        <c:axId val="1375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" charset="0"/>
                    <a:ea typeface="Times" charset="0"/>
                    <a:cs typeface="Times" charset="0"/>
                  </a:defRPr>
                </a:pPr>
                <a:r>
                  <a:rPr lang="en-US" sz="1100"/>
                  <a:t>Total Capacitor</a:t>
                </a:r>
                <a:r>
                  <a:rPr lang="en-US" sz="1100" baseline="0"/>
                  <a:t> Discharging Time (s)</a:t>
                </a:r>
                <a:endParaRPr lang="en-US" sz="11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" charset="0"/>
                <a:ea typeface="Times" charset="0"/>
                <a:cs typeface="Times" charset="0"/>
              </a:defRPr>
            </a:pPr>
            <a:endParaRPr lang="en-US"/>
          </a:p>
        </c:txPr>
        <c:crossAx val="1375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792161775232597"/>
          <c:y val="0.351506423539163"/>
          <c:w val="0.16389656406585501"/>
          <c:h val="0.37117903025279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" charset="0"/>
              <a:ea typeface="Times" charset="0"/>
              <a:cs typeface="Times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" charset="0"/>
          <a:ea typeface="Times" charset="0"/>
          <a:cs typeface="Times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13</xdr:row>
      <xdr:rowOff>95250</xdr:rowOff>
    </xdr:from>
    <xdr:to>
      <xdr:col>7</xdr:col>
      <xdr:colOff>352424</xdr:colOff>
      <xdr:row>29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657225</xdr:colOff>
      <xdr:row>13</xdr:row>
      <xdr:rowOff>50800</xdr:rowOff>
    </xdr:from>
    <xdr:to>
      <xdr:col>14</xdr:col>
      <xdr:colOff>466725</xdr:colOff>
      <xdr:row>29</xdr:row>
      <xdr:rowOff>177800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390525</xdr:colOff>
      <xdr:row>13</xdr:row>
      <xdr:rowOff>114300</xdr:rowOff>
    </xdr:from>
    <xdr:to>
      <xdr:col>22</xdr:col>
      <xdr:colOff>200025</xdr:colOff>
      <xdr:row>30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12</xdr:row>
      <xdr:rowOff>190500</xdr:rowOff>
    </xdr:from>
    <xdr:to>
      <xdr:col>7</xdr:col>
      <xdr:colOff>828675</xdr:colOff>
      <xdr:row>29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622300</xdr:colOff>
      <xdr:row>13</xdr:row>
      <xdr:rowOff>63500</xdr:rowOff>
    </xdr:from>
    <xdr:to>
      <xdr:col>15</xdr:col>
      <xdr:colOff>431800</xdr:colOff>
      <xdr:row>29</xdr:row>
      <xdr:rowOff>190500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355600</xdr:colOff>
      <xdr:row>13</xdr:row>
      <xdr:rowOff>127000</xdr:rowOff>
    </xdr:from>
    <xdr:to>
      <xdr:col>23</xdr:col>
      <xdr:colOff>165100</xdr:colOff>
      <xdr:row>30</xdr:row>
      <xdr:rowOff>50800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F1" workbookViewId="0">
      <selection activeCell="M19" sqref="M19"/>
    </sheetView>
  </sheetViews>
  <sheetFormatPr defaultColWidth="11" defaultRowHeight="15.75" x14ac:dyDescent="0.25"/>
  <sheetData>
    <row r="1" spans="1:16" x14ac:dyDescent="0.25">
      <c r="A1" s="25" t="s">
        <v>0</v>
      </c>
      <c r="B1" s="27" t="s">
        <v>1</v>
      </c>
      <c r="C1" s="28"/>
      <c r="D1" s="28"/>
      <c r="E1" s="28"/>
      <c r="F1" s="29"/>
      <c r="G1" s="30" t="s">
        <v>2</v>
      </c>
      <c r="H1" s="28"/>
      <c r="I1" s="28"/>
      <c r="J1" s="28"/>
      <c r="K1" s="29"/>
      <c r="L1" s="30" t="s">
        <v>3</v>
      </c>
      <c r="M1" s="28"/>
      <c r="N1" s="28"/>
      <c r="O1" s="28"/>
      <c r="P1" s="29"/>
    </row>
    <row r="2" spans="1:16" x14ac:dyDescent="0.25">
      <c r="A2" s="26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4</v>
      </c>
      <c r="M2" s="1" t="s">
        <v>5</v>
      </c>
      <c r="N2" s="1" t="s">
        <v>6</v>
      </c>
      <c r="O2" s="1" t="s">
        <v>7</v>
      </c>
      <c r="P2" s="2" t="s">
        <v>8</v>
      </c>
    </row>
    <row r="3" spans="1:16" x14ac:dyDescent="0.25">
      <c r="A3" s="3" t="s">
        <v>22</v>
      </c>
      <c r="B3" s="4">
        <v>4.4009999999999998</v>
      </c>
      <c r="C3" s="4">
        <f>320*10^-9</f>
        <v>3.2000000000000001E-7</v>
      </c>
      <c r="D3" s="4">
        <f>2.5*10^-6</f>
        <v>2.4999999999999998E-6</v>
      </c>
      <c r="E3" s="5">
        <f>(C3/5)/(6.8*10^3)</f>
        <v>9.4117647058823533E-12</v>
      </c>
      <c r="F3" s="6">
        <f>(D3/5)/(6.8*10^3)</f>
        <v>7.3529411764705877E-11</v>
      </c>
      <c r="G3" s="4">
        <v>4.0010000000000003</v>
      </c>
      <c r="H3" s="4">
        <f>320*10^-9</f>
        <v>3.2000000000000001E-7</v>
      </c>
      <c r="I3" s="4">
        <f>2.5*10^-6</f>
        <v>2.4999999999999998E-6</v>
      </c>
      <c r="J3" s="5">
        <f>(H3/5)/(6.8*10^3)</f>
        <v>9.4117647058823533E-12</v>
      </c>
      <c r="K3" s="6">
        <f>(I3/5)/(6.8*10^3)</f>
        <v>7.3529411764705877E-11</v>
      </c>
      <c r="L3" s="4">
        <v>3.9609999999999999</v>
      </c>
      <c r="M3" s="4">
        <f>930*10^-9</f>
        <v>9.300000000000001E-7</v>
      </c>
      <c r="N3" s="4">
        <f>5.36*10^-6</f>
        <v>5.3600000000000004E-6</v>
      </c>
      <c r="O3" s="5">
        <f>(M3/5)/(6.8*10^3)</f>
        <v>2.7352941176470592E-11</v>
      </c>
      <c r="P3" s="7">
        <f>(N3/5)/(6.8*10^3)</f>
        <v>1.5764705882352943E-10</v>
      </c>
    </row>
    <row r="4" spans="1:16" x14ac:dyDescent="0.25">
      <c r="A4" s="3"/>
      <c r="B4" s="4">
        <v>4.4009999999999998</v>
      </c>
      <c r="C4" s="4">
        <f>330*10^-9</f>
        <v>3.3000000000000002E-7</v>
      </c>
      <c r="D4" s="4">
        <f>2.46*10^-6</f>
        <v>2.4599999999999997E-6</v>
      </c>
      <c r="E4" s="5">
        <f t="shared" ref="E4:F7" si="0">(C4/5)/(6.8*10^3)</f>
        <v>9.7058823529411772E-12</v>
      </c>
      <c r="F4" s="6">
        <f t="shared" si="0"/>
        <v>7.2352941176470569E-11</v>
      </c>
      <c r="G4" s="4">
        <v>4.0010000000000003</v>
      </c>
      <c r="H4" s="4">
        <f>320*10^-9</f>
        <v>3.2000000000000001E-7</v>
      </c>
      <c r="I4" s="4">
        <f>2.54*10^-6</f>
        <v>2.5399999999999998E-6</v>
      </c>
      <c r="J4" s="5">
        <f t="shared" ref="J4:K7" si="1">(H4/5)/(6.8*10^3)</f>
        <v>9.4117647058823533E-12</v>
      </c>
      <c r="K4" s="6">
        <f t="shared" si="1"/>
        <v>7.4705882352941172E-11</v>
      </c>
      <c r="L4" s="4">
        <v>3.9209999999999998</v>
      </c>
      <c r="M4" s="4">
        <f>950*10^-9</f>
        <v>9.5000000000000001E-7</v>
      </c>
      <c r="N4" s="4">
        <f>5.3*10^-6</f>
        <v>5.2999999999999992E-6</v>
      </c>
      <c r="O4" s="5">
        <f t="shared" ref="O4:P7" si="2">(M4/5)/(6.8*10^3)</f>
        <v>2.7941176470588236E-11</v>
      </c>
      <c r="P4" s="6">
        <f t="shared" si="2"/>
        <v>1.5588235294117644E-10</v>
      </c>
    </row>
    <row r="5" spans="1:16" x14ac:dyDescent="0.25">
      <c r="A5" s="3"/>
      <c r="B5" s="4">
        <v>4.4009999999999998</v>
      </c>
      <c r="C5" s="4">
        <f>330*10^-9</f>
        <v>3.3000000000000002E-7</v>
      </c>
      <c r="D5" s="4">
        <f>2.48*10^-6</f>
        <v>2.48E-6</v>
      </c>
      <c r="E5" s="5">
        <f t="shared" si="0"/>
        <v>9.7058823529411772E-12</v>
      </c>
      <c r="F5" s="6">
        <f t="shared" si="0"/>
        <v>7.2941176470588236E-11</v>
      </c>
      <c r="G5" s="4">
        <v>4.0010000000000003</v>
      </c>
      <c r="H5" s="4">
        <f t="shared" ref="H5:H7" si="3">320*10^-9</f>
        <v>3.2000000000000001E-7</v>
      </c>
      <c r="I5" s="4">
        <f>2.48*10^-6</f>
        <v>2.48E-6</v>
      </c>
      <c r="J5" s="5">
        <f t="shared" si="1"/>
        <v>9.4117647058823533E-12</v>
      </c>
      <c r="K5" s="6">
        <f t="shared" si="1"/>
        <v>7.2941176470588236E-11</v>
      </c>
      <c r="L5" s="4">
        <v>3.9209999999999998</v>
      </c>
      <c r="M5" s="4">
        <f>980*10^-9</f>
        <v>9.8000000000000015E-7</v>
      </c>
      <c r="N5" s="4">
        <f>5.34*10^-6</f>
        <v>5.3399999999999997E-6</v>
      </c>
      <c r="O5" s="5">
        <f t="shared" si="2"/>
        <v>2.8823529411764711E-11</v>
      </c>
      <c r="P5" s="6">
        <f t="shared" si="2"/>
        <v>1.5705882352941177E-10</v>
      </c>
    </row>
    <row r="6" spans="1:16" x14ac:dyDescent="0.25">
      <c r="A6" s="3"/>
      <c r="B6" s="4">
        <v>4.0410000000000004</v>
      </c>
      <c r="C6" s="4">
        <f>340*10^-9</f>
        <v>3.4000000000000003E-7</v>
      </c>
      <c r="D6" s="4">
        <f>2.5*10^-6</f>
        <v>2.4999999999999998E-6</v>
      </c>
      <c r="E6" s="5">
        <f t="shared" si="0"/>
        <v>9.9999999999999994E-12</v>
      </c>
      <c r="F6" s="6">
        <f t="shared" si="0"/>
        <v>7.3529411764705877E-11</v>
      </c>
      <c r="G6" s="4">
        <v>4.0010000000000003</v>
      </c>
      <c r="H6" s="4">
        <f>330*10^-9</f>
        <v>3.3000000000000002E-7</v>
      </c>
      <c r="I6" s="4">
        <f t="shared" ref="I6:I7" si="4">2.48*10^-6</f>
        <v>2.48E-6</v>
      </c>
      <c r="J6" s="5">
        <f t="shared" si="1"/>
        <v>9.7058823529411772E-12</v>
      </c>
      <c r="K6" s="6">
        <f t="shared" si="1"/>
        <v>7.2941176470588236E-11</v>
      </c>
      <c r="L6" s="4">
        <v>3.9609999999999999</v>
      </c>
      <c r="M6" s="4">
        <f>970*10^-9</f>
        <v>9.7000000000000003E-7</v>
      </c>
      <c r="N6" s="4">
        <f>5.52*10^-6</f>
        <v>5.5199999999999997E-6</v>
      </c>
      <c r="O6" s="5">
        <f t="shared" si="2"/>
        <v>2.8529411764705884E-11</v>
      </c>
      <c r="P6" s="6">
        <f t="shared" si="2"/>
        <v>1.6235294117647058E-10</v>
      </c>
    </row>
    <row r="7" spans="1:16" x14ac:dyDescent="0.25">
      <c r="A7" s="3"/>
      <c r="B7" s="4">
        <v>4.0410000000000004</v>
      </c>
      <c r="C7" s="4">
        <f>340*10^-9</f>
        <v>3.4000000000000003E-7</v>
      </c>
      <c r="D7" s="4">
        <f>2.48*10^-6</f>
        <v>2.48E-6</v>
      </c>
      <c r="E7" s="5">
        <f t="shared" si="0"/>
        <v>9.9999999999999994E-12</v>
      </c>
      <c r="F7" s="6">
        <f t="shared" si="0"/>
        <v>7.2941176470588236E-11</v>
      </c>
      <c r="G7" s="4">
        <v>4.4009999999999998</v>
      </c>
      <c r="H7" s="4">
        <f t="shared" si="3"/>
        <v>3.2000000000000001E-7</v>
      </c>
      <c r="I7" s="4">
        <f t="shared" si="4"/>
        <v>2.48E-6</v>
      </c>
      <c r="J7" s="5">
        <f t="shared" si="1"/>
        <v>9.4117647058823533E-12</v>
      </c>
      <c r="K7" s="6">
        <f t="shared" si="1"/>
        <v>7.2941176470588236E-11</v>
      </c>
      <c r="L7" s="4">
        <v>3.9609999999999999</v>
      </c>
      <c r="M7" s="4">
        <f>920*10^-9</f>
        <v>9.2000000000000009E-7</v>
      </c>
      <c r="N7" s="4">
        <f>5.42*10^-6</f>
        <v>5.4199999999999998E-6</v>
      </c>
      <c r="O7" s="5">
        <f t="shared" si="2"/>
        <v>2.7058823529411765E-11</v>
      </c>
      <c r="P7" s="6">
        <f t="shared" si="2"/>
        <v>1.5941176470588234E-10</v>
      </c>
    </row>
    <row r="8" spans="1:16" x14ac:dyDescent="0.25">
      <c r="A8" s="8" t="s">
        <v>9</v>
      </c>
      <c r="B8" s="8">
        <f>AVERAGE(B3:B7)</f>
        <v>4.2569999999999997</v>
      </c>
      <c r="C8" s="8">
        <f t="shared" ref="C8:P8" si="5">AVERAGE(C3:C7)</f>
        <v>3.3200000000000006E-7</v>
      </c>
      <c r="D8" s="8">
        <f t="shared" si="5"/>
        <v>2.4839999999999998E-6</v>
      </c>
      <c r="E8" s="8">
        <f t="shared" si="5"/>
        <v>9.7647058823529413E-12</v>
      </c>
      <c r="F8" s="8">
        <f t="shared" si="5"/>
        <v>7.3058823529411751E-11</v>
      </c>
      <c r="G8" s="8">
        <f t="shared" si="5"/>
        <v>4.0810000000000004</v>
      </c>
      <c r="H8" s="8">
        <f t="shared" si="5"/>
        <v>3.2200000000000005E-7</v>
      </c>
      <c r="I8" s="8">
        <f t="shared" si="5"/>
        <v>2.4959999999999999E-6</v>
      </c>
      <c r="J8" s="8">
        <f t="shared" si="5"/>
        <v>9.4705882352941174E-12</v>
      </c>
      <c r="K8" s="8">
        <f t="shared" si="5"/>
        <v>7.3411764705882349E-11</v>
      </c>
      <c r="L8" s="8">
        <f t="shared" si="5"/>
        <v>3.9449999999999994</v>
      </c>
      <c r="M8" s="8">
        <f t="shared" si="5"/>
        <v>9.5000000000000001E-7</v>
      </c>
      <c r="N8" s="8">
        <f t="shared" si="5"/>
        <v>5.3879999999999991E-6</v>
      </c>
      <c r="O8" s="8">
        <f t="shared" si="5"/>
        <v>2.7941176470588236E-11</v>
      </c>
      <c r="P8" s="8">
        <f t="shared" si="5"/>
        <v>1.5847058823529411E-10</v>
      </c>
    </row>
    <row r="9" spans="1:16" x14ac:dyDescent="0.25">
      <c r="A9" s="3" t="s">
        <v>17</v>
      </c>
      <c r="B9" s="4">
        <v>4.0010000000000003</v>
      </c>
      <c r="C9" s="4">
        <f>340*10^-9</f>
        <v>3.4000000000000003E-7</v>
      </c>
      <c r="D9" s="4">
        <f>1.58*10^-6</f>
        <v>1.5799999999999999E-6</v>
      </c>
      <c r="E9" s="5">
        <f>(C9/5)/(6.8*10^3)</f>
        <v>9.9999999999999994E-12</v>
      </c>
      <c r="F9" s="6">
        <f>(D9/5)/(6.8*10^3)</f>
        <v>4.6470588235294116E-11</v>
      </c>
      <c r="G9" s="4">
        <v>4.0010000000000003</v>
      </c>
      <c r="H9" s="4">
        <f>340*10^-9</f>
        <v>3.4000000000000003E-7</v>
      </c>
      <c r="I9" s="4">
        <f>1.58*10^-6</f>
        <v>1.5799999999999999E-6</v>
      </c>
      <c r="J9" s="5">
        <f>(H9/5)/(6.8*10^3)</f>
        <v>9.9999999999999994E-12</v>
      </c>
      <c r="K9" s="6">
        <f>(I9/5)/(6.8*10^3)</f>
        <v>4.6470588235294116E-11</v>
      </c>
      <c r="L9" s="4">
        <v>3.8410000000000002</v>
      </c>
      <c r="M9" s="4">
        <f>1.19*10^-6</f>
        <v>1.1899999999999998E-6</v>
      </c>
      <c r="N9" s="4">
        <f>5.98*10^-6</f>
        <v>5.9800000000000003E-6</v>
      </c>
      <c r="O9" s="5">
        <f>(D9/5)/(6.8*10^3)</f>
        <v>4.6470588235294116E-11</v>
      </c>
      <c r="P9" s="6">
        <f>(N9/5)/(6.8*10^3)</f>
        <v>1.7588235294117647E-10</v>
      </c>
    </row>
    <row r="10" spans="1:16" x14ac:dyDescent="0.25">
      <c r="A10" s="3"/>
      <c r="B10" s="4">
        <v>4.0010000000000003</v>
      </c>
      <c r="C10" s="4">
        <f t="shared" ref="C10:C12" si="6">340*10^-9</f>
        <v>3.4000000000000003E-7</v>
      </c>
      <c r="D10" s="4">
        <f t="shared" ref="D10:D11" si="7">1.58*10^-6</f>
        <v>1.5799999999999999E-6</v>
      </c>
      <c r="E10" s="5">
        <f t="shared" ref="E10:F13" si="8">(C10/5)/(6.8*10^3)</f>
        <v>9.9999999999999994E-12</v>
      </c>
      <c r="F10" s="6">
        <f t="shared" si="8"/>
        <v>4.6470588235294116E-11</v>
      </c>
      <c r="G10" s="4">
        <v>4.0010000000000003</v>
      </c>
      <c r="H10" s="4">
        <f>360*10^-9</f>
        <v>3.6000000000000005E-7</v>
      </c>
      <c r="I10" s="4">
        <f>1.54*10^-6</f>
        <v>1.5399999999999999E-6</v>
      </c>
      <c r="J10" s="5">
        <f t="shared" ref="J10:K13" si="9">(H10/5)/(6.8*10^3)</f>
        <v>1.0588235294117649E-11</v>
      </c>
      <c r="K10" s="6">
        <f t="shared" si="9"/>
        <v>4.5294117647058814E-11</v>
      </c>
      <c r="L10" s="4">
        <v>3.8410000000000002</v>
      </c>
      <c r="M10" s="4">
        <f>1.21*10^-6</f>
        <v>1.2099999999999998E-6</v>
      </c>
      <c r="N10" s="4">
        <f>5.88*10^-6</f>
        <v>5.8799999999999996E-6</v>
      </c>
      <c r="O10" s="5">
        <f>(D10/5)/(6.8*10^3)</f>
        <v>4.6470588235294116E-11</v>
      </c>
      <c r="P10" s="6">
        <f t="shared" ref="P10:P13" si="10">(N10/5)/(6.8*10^3)</f>
        <v>1.729411764705882E-10</v>
      </c>
    </row>
    <row r="11" spans="1:16" x14ac:dyDescent="0.25">
      <c r="A11" s="3"/>
      <c r="B11" s="4">
        <v>4.0010000000000003</v>
      </c>
      <c r="C11" s="4">
        <f t="shared" si="6"/>
        <v>3.4000000000000003E-7</v>
      </c>
      <c r="D11" s="4">
        <f t="shared" si="7"/>
        <v>1.5799999999999999E-6</v>
      </c>
      <c r="E11" s="5">
        <f t="shared" si="8"/>
        <v>9.9999999999999994E-12</v>
      </c>
      <c r="F11" s="6">
        <f t="shared" si="8"/>
        <v>4.6470588235294116E-11</v>
      </c>
      <c r="G11" s="4">
        <v>4.0010000000000003</v>
      </c>
      <c r="H11" s="4">
        <f>320*10^-9</f>
        <v>3.2000000000000001E-7</v>
      </c>
      <c r="I11" s="4">
        <f>1.56*10^-6</f>
        <v>1.5599999999999999E-6</v>
      </c>
      <c r="J11" s="5">
        <f t="shared" si="9"/>
        <v>9.4117647058823533E-12</v>
      </c>
      <c r="K11" s="6">
        <f t="shared" si="9"/>
        <v>4.5882352941176468E-11</v>
      </c>
      <c r="L11" s="4">
        <v>3.8010000000000002</v>
      </c>
      <c r="M11" s="4">
        <f>1.09*10^-6</f>
        <v>1.0899999999999999E-6</v>
      </c>
      <c r="N11" s="4">
        <f>6.28*10^-6</f>
        <v>6.28E-6</v>
      </c>
      <c r="O11" s="5">
        <f>(D11/5)/(6.8*10^3)</f>
        <v>4.6470588235294116E-11</v>
      </c>
      <c r="P11" s="6">
        <f t="shared" si="10"/>
        <v>1.8470588235294115E-10</v>
      </c>
    </row>
    <row r="12" spans="1:16" x14ac:dyDescent="0.25">
      <c r="A12" s="3"/>
      <c r="B12" s="4">
        <v>4.0010000000000003</v>
      </c>
      <c r="C12" s="4">
        <f t="shared" si="6"/>
        <v>3.4000000000000003E-7</v>
      </c>
      <c r="D12" s="4">
        <f>1.56*10^-6</f>
        <v>1.5599999999999999E-6</v>
      </c>
      <c r="E12" s="5">
        <f t="shared" si="8"/>
        <v>9.9999999999999994E-12</v>
      </c>
      <c r="F12" s="6">
        <f t="shared" si="8"/>
        <v>4.5882352941176468E-11</v>
      </c>
      <c r="G12" s="4">
        <v>4.0010000000000003</v>
      </c>
      <c r="H12" s="4">
        <f t="shared" ref="H12" si="11">340*10^-9</f>
        <v>3.4000000000000003E-7</v>
      </c>
      <c r="I12" s="4">
        <f>1.58*10^-6</f>
        <v>1.5799999999999999E-6</v>
      </c>
      <c r="J12" s="5">
        <f t="shared" si="9"/>
        <v>9.9999999999999994E-12</v>
      </c>
      <c r="K12" s="6">
        <f t="shared" si="9"/>
        <v>4.6470588235294116E-11</v>
      </c>
      <c r="L12" s="4">
        <v>3.8010000000000002</v>
      </c>
      <c r="M12" s="4">
        <f>1.13*10^-6</f>
        <v>1.1299999999999998E-6</v>
      </c>
      <c r="N12" s="4">
        <f>6.44*10^-6</f>
        <v>6.4400000000000002E-6</v>
      </c>
      <c r="O12" s="5">
        <f>(D12/5)/(6.8*10^3)</f>
        <v>4.5882352941176468E-11</v>
      </c>
      <c r="P12" s="6">
        <f t="shared" si="10"/>
        <v>1.8941176470588236E-10</v>
      </c>
    </row>
    <row r="13" spans="1:16" x14ac:dyDescent="0.25">
      <c r="A13" s="9"/>
      <c r="B13" s="4">
        <v>4.0010000000000003</v>
      </c>
      <c r="C13" s="4">
        <f>330*10^-9</f>
        <v>3.3000000000000002E-7</v>
      </c>
      <c r="D13" s="4">
        <f>1.56*10^-6</f>
        <v>1.5599999999999999E-6</v>
      </c>
      <c r="E13" s="5">
        <f t="shared" si="8"/>
        <v>9.7058823529411772E-12</v>
      </c>
      <c r="F13" s="6">
        <f t="shared" si="8"/>
        <v>4.5882352941176468E-11</v>
      </c>
      <c r="G13" s="4">
        <v>4.0010000000000003</v>
      </c>
      <c r="H13" s="4">
        <f>330*10^-9</f>
        <v>3.3000000000000002E-7</v>
      </c>
      <c r="I13" s="4">
        <f>1.56*10^-6</f>
        <v>1.5599999999999999E-6</v>
      </c>
      <c r="J13" s="5">
        <f t="shared" si="9"/>
        <v>9.7058823529411772E-12</v>
      </c>
      <c r="K13" s="6">
        <f t="shared" si="9"/>
        <v>4.5882352941176468E-11</v>
      </c>
      <c r="L13" s="4">
        <v>3.8010000000000002</v>
      </c>
      <c r="M13" s="4">
        <f>1.13*10^-6</f>
        <v>1.1299999999999998E-6</v>
      </c>
      <c r="N13" s="4">
        <f>6.7*10^-6</f>
        <v>6.7000000000000002E-6</v>
      </c>
      <c r="O13" s="5">
        <f>(D13/5)/(6.8*10^3)</f>
        <v>4.5882352941176468E-11</v>
      </c>
      <c r="P13" s="6">
        <f t="shared" si="10"/>
        <v>1.9705882352941179E-10</v>
      </c>
    </row>
    <row r="14" spans="1:16" x14ac:dyDescent="0.25">
      <c r="A14" s="10" t="s">
        <v>9</v>
      </c>
      <c r="B14" s="8">
        <f>AVERAGE(B9:B13)</f>
        <v>4.0010000000000003</v>
      </c>
      <c r="C14" s="8">
        <f t="shared" ref="C14:F14" si="12">AVERAGE(C9:C13)</f>
        <v>3.3800000000000004E-7</v>
      </c>
      <c r="D14" s="8">
        <f>AVERAGE(D9:D13)</f>
        <v>1.5719999999999999E-6</v>
      </c>
      <c r="E14" s="8">
        <f t="shared" si="12"/>
        <v>9.9411764705882353E-12</v>
      </c>
      <c r="F14" s="8">
        <f t="shared" si="12"/>
        <v>4.6235294117647059E-11</v>
      </c>
      <c r="G14" s="8">
        <f>AVERAGE(G9:G13)</f>
        <v>4.0010000000000003</v>
      </c>
      <c r="H14" s="8">
        <f t="shared" ref="H14:K14" si="13">AVERAGE(H9:H13)</f>
        <v>3.3800000000000004E-7</v>
      </c>
      <c r="I14" s="8">
        <f t="shared" si="13"/>
        <v>1.564E-6</v>
      </c>
      <c r="J14" s="8">
        <f t="shared" si="13"/>
        <v>9.9411764705882353E-12</v>
      </c>
      <c r="K14" s="8">
        <f t="shared" si="13"/>
        <v>4.5999999999999996E-11</v>
      </c>
      <c r="L14" s="8">
        <f>AVERAGE(L9:L13)</f>
        <v>3.8170000000000002</v>
      </c>
      <c r="M14" s="8">
        <f>AVERAGE(D9:D13)</f>
        <v>1.5719999999999999E-6</v>
      </c>
      <c r="N14" s="8">
        <f t="shared" ref="N14:P14" si="14">AVERAGE(N9:N13)</f>
        <v>6.2559999999999999E-6</v>
      </c>
      <c r="O14" s="8">
        <f t="shared" si="14"/>
        <v>4.6235294117647059E-11</v>
      </c>
      <c r="P14" s="8">
        <f t="shared" si="14"/>
        <v>1.8400000000000001E-10</v>
      </c>
    </row>
    <row r="15" spans="1:16" x14ac:dyDescent="0.25">
      <c r="A15" s="3" t="s">
        <v>18</v>
      </c>
      <c r="B15" s="4">
        <v>3.4409999999999998</v>
      </c>
      <c r="C15" s="4">
        <f>630*10^-9</f>
        <v>6.3E-7</v>
      </c>
      <c r="D15" s="4">
        <f>2.16*10^-6</f>
        <v>2.1600000000000001E-6</v>
      </c>
      <c r="E15" s="5">
        <f>(C15/5)/(6.8*10^3)</f>
        <v>1.852941176470588E-11</v>
      </c>
      <c r="F15" s="6">
        <f>(D15/5)/(6.8*10^3)</f>
        <v>6.3529411764705886E-11</v>
      </c>
      <c r="G15" s="4">
        <v>3.5209999999999999</v>
      </c>
      <c r="H15" s="4">
        <f>600*10^-9</f>
        <v>6.0000000000000008E-7</v>
      </c>
      <c r="I15" s="4">
        <f>2.14*10^-6</f>
        <v>2.1399999999999998E-6</v>
      </c>
      <c r="J15" s="5">
        <f>(H15/5)/(6.8*10^3)</f>
        <v>1.7647058823529414E-11</v>
      </c>
      <c r="K15" s="6">
        <f>(I15/5)/(6.8*10^3)</f>
        <v>6.2941176470588232E-11</v>
      </c>
      <c r="L15" s="4">
        <v>3.601</v>
      </c>
      <c r="M15" s="4">
        <f>500*10^-9</f>
        <v>5.0000000000000008E-7</v>
      </c>
      <c r="N15" s="4">
        <f>1.58*10^-6</f>
        <v>1.5799999999999999E-6</v>
      </c>
      <c r="O15" s="5">
        <f>(M15/5)/(6.8*10^3)</f>
        <v>1.4705882352941179E-11</v>
      </c>
      <c r="P15" s="6">
        <f>(N15/5)/(6.8*10^3)</f>
        <v>4.6470588235294116E-11</v>
      </c>
    </row>
    <row r="16" spans="1:16" x14ac:dyDescent="0.25">
      <c r="A16" s="3"/>
      <c r="B16" s="4">
        <v>3.4409999999999998</v>
      </c>
      <c r="C16" s="4">
        <f>600*10^-9</f>
        <v>6.0000000000000008E-7</v>
      </c>
      <c r="D16" s="4">
        <f>2.1*10^-6</f>
        <v>2.0999999999999998E-6</v>
      </c>
      <c r="E16" s="5">
        <f t="shared" ref="E16:F19" si="15">(C16/5)/(6.8*10^3)</f>
        <v>1.7647058823529414E-11</v>
      </c>
      <c r="F16" s="6">
        <f t="shared" si="15"/>
        <v>6.1764705882352936E-11</v>
      </c>
      <c r="G16" s="4">
        <v>3.5209999999999999</v>
      </c>
      <c r="H16" s="4">
        <f>610*10^-9</f>
        <v>6.1000000000000009E-7</v>
      </c>
      <c r="I16" s="4">
        <f>1.96*10^-6</f>
        <v>1.9599999999999999E-6</v>
      </c>
      <c r="J16" s="5">
        <f t="shared" ref="J16:K19" si="16">(H16/5)/(6.8*10^3)</f>
        <v>1.7941176470588235E-11</v>
      </c>
      <c r="K16" s="6">
        <f t="shared" si="16"/>
        <v>5.7647058823529409E-11</v>
      </c>
      <c r="L16" s="4">
        <v>3.601</v>
      </c>
      <c r="M16" s="4">
        <f>690*10^-9</f>
        <v>6.9000000000000006E-7</v>
      </c>
      <c r="N16" s="4">
        <f>1.58*10^-6</f>
        <v>1.5799999999999999E-6</v>
      </c>
      <c r="O16" s="5">
        <f t="shared" ref="O16:P19" si="17">(M16/5)/(6.8*10^3)</f>
        <v>2.0294117647058826E-11</v>
      </c>
      <c r="P16" s="6">
        <f t="shared" si="17"/>
        <v>4.6470588235294116E-11</v>
      </c>
    </row>
    <row r="17" spans="1:16" x14ac:dyDescent="0.25">
      <c r="A17" s="3"/>
      <c r="B17" s="4">
        <v>3.5209999999999999</v>
      </c>
      <c r="C17" s="4">
        <f>610*10^-9</f>
        <v>6.1000000000000009E-7</v>
      </c>
      <c r="D17" s="4">
        <f>2.16*10^-6</f>
        <v>2.1600000000000001E-6</v>
      </c>
      <c r="E17" s="5">
        <f t="shared" si="15"/>
        <v>1.7941176470588235E-11</v>
      </c>
      <c r="F17" s="6">
        <f t="shared" si="15"/>
        <v>6.3529411764705886E-11</v>
      </c>
      <c r="G17" s="4">
        <v>3.601</v>
      </c>
      <c r="H17" s="4">
        <f>520*10^-9</f>
        <v>5.2E-7</v>
      </c>
      <c r="I17" s="4">
        <f>1.5*10^-6</f>
        <v>1.5E-6</v>
      </c>
      <c r="J17" s="5">
        <f t="shared" si="16"/>
        <v>1.5294117647058824E-11</v>
      </c>
      <c r="K17" s="6">
        <f t="shared" si="16"/>
        <v>4.4117647058823525E-11</v>
      </c>
      <c r="L17" s="4">
        <v>3.601</v>
      </c>
      <c r="M17" s="4">
        <f>520*10^-9</f>
        <v>5.2E-7</v>
      </c>
      <c r="N17" s="4">
        <f>1.54*10^-6</f>
        <v>1.5399999999999999E-6</v>
      </c>
      <c r="O17" s="5">
        <f t="shared" si="17"/>
        <v>1.5294117647058824E-11</v>
      </c>
      <c r="P17" s="6">
        <f t="shared" si="17"/>
        <v>4.5294117647058814E-11</v>
      </c>
    </row>
    <row r="18" spans="1:16" x14ac:dyDescent="0.25">
      <c r="A18" s="3"/>
      <c r="B18" s="4">
        <v>3.5209999999999999</v>
      </c>
      <c r="C18" s="4">
        <f>610*10^-9</f>
        <v>6.1000000000000009E-7</v>
      </c>
      <c r="D18" s="4">
        <f>2.16*10^-6</f>
        <v>2.1600000000000001E-6</v>
      </c>
      <c r="E18" s="5">
        <f t="shared" si="15"/>
        <v>1.7941176470588235E-11</v>
      </c>
      <c r="F18" s="6">
        <f t="shared" si="15"/>
        <v>6.3529411764705886E-11</v>
      </c>
      <c r="G18" s="4">
        <v>3.601</v>
      </c>
      <c r="H18" s="4">
        <f>530*10^-9</f>
        <v>5.3000000000000001E-7</v>
      </c>
      <c r="I18" s="4">
        <f>1.52*10^-6</f>
        <v>1.5199999999999998E-6</v>
      </c>
      <c r="J18" s="5">
        <f t="shared" si="16"/>
        <v>1.5588235294117648E-11</v>
      </c>
      <c r="K18" s="6">
        <f t="shared" si="16"/>
        <v>4.4705882352941173E-11</v>
      </c>
      <c r="L18" s="4">
        <v>3.601</v>
      </c>
      <c r="M18" s="4">
        <f>620*10^-9</f>
        <v>6.1999999999999999E-7</v>
      </c>
      <c r="N18" s="4">
        <f>1.62*10^-6</f>
        <v>1.6199999999999999E-6</v>
      </c>
      <c r="O18" s="5">
        <f t="shared" si="17"/>
        <v>1.8235294117647059E-11</v>
      </c>
      <c r="P18" s="6">
        <f t="shared" si="17"/>
        <v>4.7647058823529411E-11</v>
      </c>
    </row>
    <row r="19" spans="1:16" x14ac:dyDescent="0.25">
      <c r="A19" s="9"/>
      <c r="B19" s="4">
        <v>3.4409999999999998</v>
      </c>
      <c r="C19" s="4">
        <f>600*10^-9</f>
        <v>6.0000000000000008E-7</v>
      </c>
      <c r="D19" s="4">
        <f>2.06*10^-6</f>
        <v>2.0599999999999998E-6</v>
      </c>
      <c r="E19" s="5">
        <f t="shared" si="15"/>
        <v>1.7647058823529414E-11</v>
      </c>
      <c r="F19" s="6">
        <f t="shared" si="15"/>
        <v>6.0588235294117641E-11</v>
      </c>
      <c r="G19" s="4">
        <v>3.601</v>
      </c>
      <c r="H19" s="4">
        <f>570*10^-9</f>
        <v>5.7000000000000005E-7</v>
      </c>
      <c r="I19" s="4">
        <f>1.54*10^-6</f>
        <v>1.5399999999999999E-6</v>
      </c>
      <c r="J19" s="5">
        <f t="shared" si="16"/>
        <v>1.6764705882352943E-11</v>
      </c>
      <c r="K19" s="6">
        <f t="shared" si="16"/>
        <v>4.5294117647058814E-11</v>
      </c>
      <c r="L19" s="4">
        <v>3.5209999999999999</v>
      </c>
      <c r="M19" s="4">
        <f>520*10^-9</f>
        <v>5.2E-7</v>
      </c>
      <c r="N19" s="4">
        <f>1.54*10^-6</f>
        <v>1.5399999999999999E-6</v>
      </c>
      <c r="O19" s="5">
        <f t="shared" si="17"/>
        <v>1.5294117647058824E-11</v>
      </c>
      <c r="P19" s="6">
        <f t="shared" si="17"/>
        <v>4.5294117647058814E-11</v>
      </c>
    </row>
    <row r="20" spans="1:16" x14ac:dyDescent="0.25">
      <c r="A20" s="10" t="s">
        <v>9</v>
      </c>
      <c r="B20" s="11">
        <f>AVERAGE(B15:B19)</f>
        <v>3.4729999999999999</v>
      </c>
      <c r="C20" s="8">
        <f t="shared" ref="C20:P20" si="18">AVERAGE(C15:C19)</f>
        <v>6.1000000000000009E-7</v>
      </c>
      <c r="D20" s="8">
        <f t="shared" si="18"/>
        <v>2.1279999999999998E-6</v>
      </c>
      <c r="E20" s="8">
        <f t="shared" si="18"/>
        <v>1.7941176470588235E-11</v>
      </c>
      <c r="F20" s="8">
        <f t="shared" si="18"/>
        <v>6.2588235294117647E-11</v>
      </c>
      <c r="G20" s="8">
        <f t="shared" si="18"/>
        <v>3.569</v>
      </c>
      <c r="H20" s="8">
        <f t="shared" si="18"/>
        <v>5.6600000000000007E-7</v>
      </c>
      <c r="I20" s="11">
        <f t="shared" si="18"/>
        <v>1.7320000000000001E-6</v>
      </c>
      <c r="J20" s="8">
        <f t="shared" si="18"/>
        <v>1.6647058823529411E-11</v>
      </c>
      <c r="K20" s="8">
        <f t="shared" si="18"/>
        <v>5.0941176470588228E-11</v>
      </c>
      <c r="L20" s="11">
        <f t="shared" si="18"/>
        <v>3.585</v>
      </c>
      <c r="M20" s="8">
        <f t="shared" si="18"/>
        <v>5.7000000000000005E-7</v>
      </c>
      <c r="N20" s="11">
        <f t="shared" si="18"/>
        <v>1.5719999999999999E-6</v>
      </c>
      <c r="O20" s="8">
        <f t="shared" si="18"/>
        <v>1.6764705882352943E-11</v>
      </c>
      <c r="P20" s="8">
        <f t="shared" si="18"/>
        <v>4.6235294117647059E-11</v>
      </c>
    </row>
    <row r="21" spans="1:16" x14ac:dyDescent="0.25">
      <c r="A21" s="25" t="s">
        <v>0</v>
      </c>
      <c r="B21" s="27" t="s">
        <v>1</v>
      </c>
      <c r="C21" s="28"/>
      <c r="D21" s="28"/>
      <c r="E21" s="28"/>
      <c r="F21" s="29"/>
      <c r="G21" s="30" t="s">
        <v>2</v>
      </c>
      <c r="H21" s="28"/>
      <c r="I21" s="28"/>
      <c r="J21" s="28"/>
      <c r="K21" s="29"/>
      <c r="L21" s="30" t="s">
        <v>3</v>
      </c>
      <c r="M21" s="28"/>
      <c r="N21" s="28"/>
      <c r="O21" s="28"/>
      <c r="P21" s="29"/>
    </row>
    <row r="22" spans="1:16" x14ac:dyDescent="0.25">
      <c r="A22" s="26"/>
      <c r="B22" s="1" t="s">
        <v>4</v>
      </c>
      <c r="C22" s="1" t="s">
        <v>5</v>
      </c>
      <c r="D22" s="1" t="s">
        <v>6</v>
      </c>
      <c r="E22" s="1" t="s">
        <v>7</v>
      </c>
      <c r="F22" s="1" t="s">
        <v>8</v>
      </c>
      <c r="G22" s="1" t="s">
        <v>4</v>
      </c>
      <c r="H22" s="1" t="s">
        <v>5</v>
      </c>
      <c r="I22" s="1" t="s">
        <v>6</v>
      </c>
      <c r="J22" s="1" t="s">
        <v>7</v>
      </c>
      <c r="K22" s="1" t="s">
        <v>8</v>
      </c>
      <c r="L22" s="1" t="s">
        <v>4</v>
      </c>
      <c r="M22" s="1" t="s">
        <v>5</v>
      </c>
      <c r="N22" s="1" t="s">
        <v>6</v>
      </c>
      <c r="O22" s="1" t="s">
        <v>7</v>
      </c>
      <c r="P22" s="2" t="s">
        <v>8</v>
      </c>
    </row>
    <row r="23" spans="1:16" x14ac:dyDescent="0.25">
      <c r="A23" s="3" t="s">
        <v>19</v>
      </c>
      <c r="B23" s="4">
        <v>3.7610000000000001</v>
      </c>
      <c r="C23" s="4">
        <f>430*10^-9</f>
        <v>4.3000000000000001E-7</v>
      </c>
      <c r="D23" s="4">
        <f>1.42*10^-6</f>
        <v>1.42E-6</v>
      </c>
      <c r="E23" s="5">
        <f>(C23/5)/(6.8*10^3)</f>
        <v>1.2647058823529412E-11</v>
      </c>
      <c r="F23" s="6">
        <f>(D23/5)/(6.8*10^3)</f>
        <v>4.1764705882352941E-11</v>
      </c>
      <c r="G23" s="4">
        <v>3.7610000000000001</v>
      </c>
      <c r="H23" s="4">
        <f>380*10^-9</f>
        <v>3.8000000000000001E-7</v>
      </c>
      <c r="I23" s="4">
        <f>1.36*10^-6</f>
        <v>1.3600000000000001E-6</v>
      </c>
      <c r="J23" s="5">
        <f>(H23/5)/(6.8*10^3)</f>
        <v>1.1176470588235295E-11</v>
      </c>
      <c r="K23" s="6">
        <f>(I23/5)/(6.8*10^3)</f>
        <v>3.9999999999999998E-11</v>
      </c>
      <c r="L23" s="4">
        <v>3.601</v>
      </c>
      <c r="M23" s="4">
        <f>380*10^-9</f>
        <v>3.8000000000000001E-7</v>
      </c>
      <c r="N23" s="4">
        <f>1.38*10^-6</f>
        <v>1.3799999999999999E-6</v>
      </c>
      <c r="O23" s="5">
        <f>(M23/5)/(6.8*10^3)</f>
        <v>1.1176470588235295E-11</v>
      </c>
      <c r="P23" s="7">
        <f>(N23/5)/(6.8*10^3)</f>
        <v>4.0588235294117645E-11</v>
      </c>
    </row>
    <row r="24" spans="1:16" x14ac:dyDescent="0.25">
      <c r="A24" s="3"/>
      <c r="B24" s="4">
        <v>3.7610000000000001</v>
      </c>
      <c r="C24" s="4">
        <f>430*10^-9</f>
        <v>4.3000000000000001E-7</v>
      </c>
      <c r="D24" s="4">
        <f t="shared" ref="D24" si="19">1.42*10^-6</f>
        <v>1.42E-6</v>
      </c>
      <c r="E24" s="5">
        <f t="shared" ref="E24:F27" si="20">(C24/5)/(6.8*10^3)</f>
        <v>1.2647058823529412E-11</v>
      </c>
      <c r="F24" s="6">
        <f t="shared" si="20"/>
        <v>4.1764705882352941E-11</v>
      </c>
      <c r="G24" s="4">
        <v>3.7610000000000001</v>
      </c>
      <c r="H24" s="4">
        <f>370*10^-9</f>
        <v>3.7E-7</v>
      </c>
      <c r="I24" s="4">
        <f>1.34*10^-6</f>
        <v>1.3400000000000001E-6</v>
      </c>
      <c r="J24" s="5">
        <f t="shared" ref="J24:K27" si="21">(H24/5)/(6.8*10^3)</f>
        <v>1.0882352941176471E-11</v>
      </c>
      <c r="K24" s="6">
        <f t="shared" si="21"/>
        <v>3.9411764705882356E-11</v>
      </c>
      <c r="L24" s="4">
        <v>3.601</v>
      </c>
      <c r="M24" s="4">
        <f>430*10^-9</f>
        <v>4.3000000000000001E-7</v>
      </c>
      <c r="N24" s="4">
        <f>1.3*10^-6</f>
        <v>1.3E-6</v>
      </c>
      <c r="O24" s="5">
        <f t="shared" ref="O24:P27" si="22">(M24/5)/(6.8*10^3)</f>
        <v>1.2647058823529412E-11</v>
      </c>
      <c r="P24" s="6">
        <f t="shared" si="22"/>
        <v>3.8235294117647061E-11</v>
      </c>
    </row>
    <row r="25" spans="1:16" x14ac:dyDescent="0.25">
      <c r="A25" s="3"/>
      <c r="B25" s="4">
        <v>3.8410000000000002</v>
      </c>
      <c r="C25" s="4">
        <f>390*10^-9</f>
        <v>3.9000000000000002E-7</v>
      </c>
      <c r="D25" s="4">
        <f>1.46*10^-6</f>
        <v>1.46E-6</v>
      </c>
      <c r="E25" s="5">
        <f t="shared" si="20"/>
        <v>1.1470588235294119E-11</v>
      </c>
      <c r="F25" s="6">
        <f t="shared" si="20"/>
        <v>4.2941176470588236E-11</v>
      </c>
      <c r="G25" s="4">
        <v>3.7610000000000001</v>
      </c>
      <c r="H25" s="4">
        <f>390*10^-9</f>
        <v>3.9000000000000002E-7</v>
      </c>
      <c r="I25" s="4">
        <f>1.38*10^-6</f>
        <v>1.3799999999999999E-6</v>
      </c>
      <c r="J25" s="5">
        <f t="shared" si="21"/>
        <v>1.1470588235294119E-11</v>
      </c>
      <c r="K25" s="6">
        <f t="shared" si="21"/>
        <v>4.0588235294117645E-11</v>
      </c>
      <c r="L25" s="4">
        <v>3.601</v>
      </c>
      <c r="M25" s="4">
        <f>430*10^-9</f>
        <v>4.3000000000000001E-7</v>
      </c>
      <c r="N25" s="4">
        <f>1.34*10^-6</f>
        <v>1.3400000000000001E-6</v>
      </c>
      <c r="O25" s="5">
        <f t="shared" si="22"/>
        <v>1.2647058823529412E-11</v>
      </c>
      <c r="P25" s="6">
        <f t="shared" si="22"/>
        <v>3.9411764705882356E-11</v>
      </c>
    </row>
    <row r="26" spans="1:16" x14ac:dyDescent="0.25">
      <c r="A26" s="3"/>
      <c r="B26" s="4">
        <v>3.7610000000000001</v>
      </c>
      <c r="C26" s="4">
        <f t="shared" ref="C26" si="23">390*10^-9</f>
        <v>3.9000000000000002E-7</v>
      </c>
      <c r="D26" s="4">
        <f>1.36*10^-6</f>
        <v>1.3600000000000001E-6</v>
      </c>
      <c r="E26" s="5">
        <f t="shared" si="20"/>
        <v>1.1470588235294119E-11</v>
      </c>
      <c r="F26" s="6">
        <f t="shared" si="20"/>
        <v>3.9999999999999998E-11</v>
      </c>
      <c r="G26" s="4">
        <v>3.7610000000000001</v>
      </c>
      <c r="H26" s="4">
        <f>390*10^-9</f>
        <v>3.9000000000000002E-7</v>
      </c>
      <c r="I26" s="4">
        <f t="shared" ref="I26" si="24">1.36*10^-6</f>
        <v>1.3600000000000001E-6</v>
      </c>
      <c r="J26" s="5">
        <f t="shared" si="21"/>
        <v>1.1470588235294119E-11</v>
      </c>
      <c r="K26" s="6">
        <f t="shared" si="21"/>
        <v>3.9999999999999998E-11</v>
      </c>
      <c r="L26" s="4">
        <v>3.601</v>
      </c>
      <c r="M26" s="4">
        <f>440*10^-9</f>
        <v>4.4000000000000002E-7</v>
      </c>
      <c r="N26" s="4">
        <f>1.32*10^-6</f>
        <v>1.3200000000000001E-6</v>
      </c>
      <c r="O26" s="5">
        <f t="shared" si="22"/>
        <v>1.2941176470588236E-11</v>
      </c>
      <c r="P26" s="6">
        <f t="shared" si="22"/>
        <v>3.8823529411764709E-11</v>
      </c>
    </row>
    <row r="27" spans="1:16" x14ac:dyDescent="0.25">
      <c r="A27" s="3"/>
      <c r="B27" s="4">
        <v>3.7610000000000001</v>
      </c>
      <c r="C27" s="4">
        <f>380*10^-9</f>
        <v>3.8000000000000001E-7</v>
      </c>
      <c r="D27" s="4">
        <f>1.32*10^-6</f>
        <v>1.3200000000000001E-6</v>
      </c>
      <c r="E27" s="5">
        <f t="shared" si="20"/>
        <v>1.1176470588235295E-11</v>
      </c>
      <c r="F27" s="6">
        <f t="shared" si="20"/>
        <v>3.8823529411764709E-11</v>
      </c>
      <c r="G27" s="4">
        <v>3.7610000000000001</v>
      </c>
      <c r="H27" s="4">
        <f t="shared" ref="H27" si="25">380*10^-9</f>
        <v>3.8000000000000001E-7</v>
      </c>
      <c r="I27" s="4">
        <f>1.34*10^-6</f>
        <v>1.3400000000000001E-6</v>
      </c>
      <c r="J27" s="5">
        <f t="shared" si="21"/>
        <v>1.1176470588235295E-11</v>
      </c>
      <c r="K27" s="6">
        <f t="shared" si="21"/>
        <v>3.9411764705882356E-11</v>
      </c>
      <c r="L27" s="4">
        <v>3.601</v>
      </c>
      <c r="M27" s="4">
        <f>390*10^-9</f>
        <v>3.9000000000000002E-7</v>
      </c>
      <c r="N27" s="4">
        <f>1.32*10^-6</f>
        <v>1.3200000000000001E-6</v>
      </c>
      <c r="O27" s="5">
        <f t="shared" si="22"/>
        <v>1.1470588235294119E-11</v>
      </c>
      <c r="P27" s="6">
        <f t="shared" si="22"/>
        <v>3.8823529411764709E-11</v>
      </c>
    </row>
    <row r="28" spans="1:16" x14ac:dyDescent="0.25">
      <c r="A28" s="8" t="s">
        <v>9</v>
      </c>
      <c r="B28" s="8">
        <f>AVERAGE(B23:B27)</f>
        <v>3.7769999999999997</v>
      </c>
      <c r="C28" s="8">
        <f t="shared" ref="C28:P28" si="26">AVERAGE(C23:C27)</f>
        <v>4.0400000000000002E-7</v>
      </c>
      <c r="D28" s="8">
        <f t="shared" si="26"/>
        <v>1.3960000000000001E-6</v>
      </c>
      <c r="E28" s="8">
        <f t="shared" si="26"/>
        <v>1.1882352941176472E-11</v>
      </c>
      <c r="F28" s="8">
        <f t="shared" si="26"/>
        <v>4.1058823529411765E-11</v>
      </c>
      <c r="G28" s="8">
        <f t="shared" si="26"/>
        <v>3.7610000000000001</v>
      </c>
      <c r="H28" s="8">
        <f t="shared" si="26"/>
        <v>3.8200000000000006E-7</v>
      </c>
      <c r="I28" s="8">
        <f t="shared" si="26"/>
        <v>1.356E-6</v>
      </c>
      <c r="J28" s="8">
        <f t="shared" si="26"/>
        <v>1.1235294117647061E-11</v>
      </c>
      <c r="K28" s="8">
        <f t="shared" si="26"/>
        <v>3.9882352941176469E-11</v>
      </c>
      <c r="L28" s="8">
        <f t="shared" si="26"/>
        <v>3.601</v>
      </c>
      <c r="M28" s="8">
        <f>AVERAGE(M23:M27)</f>
        <v>4.1400000000000003E-7</v>
      </c>
      <c r="N28" s="8">
        <f t="shared" si="26"/>
        <v>1.3319999999999999E-6</v>
      </c>
      <c r="O28" s="8">
        <f t="shared" si="26"/>
        <v>1.2176470588235293E-11</v>
      </c>
      <c r="P28" s="8">
        <f t="shared" si="26"/>
        <v>3.9176470588235293E-11</v>
      </c>
    </row>
    <row r="29" spans="1:16" x14ac:dyDescent="0.25">
      <c r="A29" s="3" t="s">
        <v>11</v>
      </c>
      <c r="B29" s="4">
        <v>3.7610000000000001</v>
      </c>
      <c r="C29" s="4">
        <v>0</v>
      </c>
      <c r="D29" s="4">
        <v>0</v>
      </c>
      <c r="E29" s="5">
        <f>(C29/5)/(6.8*10^3)</f>
        <v>0</v>
      </c>
      <c r="F29" s="6">
        <f>(D29/5)/(6.8*10^3)</f>
        <v>0</v>
      </c>
      <c r="G29" s="4">
        <v>3.7610000000000001</v>
      </c>
      <c r="H29" s="4">
        <v>0</v>
      </c>
      <c r="I29" s="4">
        <v>0</v>
      </c>
      <c r="J29" s="5">
        <f>(H29/5)/(6.8*10^3)</f>
        <v>0</v>
      </c>
      <c r="K29" s="6">
        <f>(I29/5)/(6.8*10^3)</f>
        <v>0</v>
      </c>
      <c r="L29" s="4">
        <v>3.601</v>
      </c>
      <c r="M29" s="4">
        <v>0</v>
      </c>
      <c r="N29" s="4">
        <v>0</v>
      </c>
      <c r="O29" s="5">
        <f>(M29/5)/(6.8*10^3)</f>
        <v>0</v>
      </c>
      <c r="P29" s="6">
        <f>(N29/5)/(6.8*10^3)</f>
        <v>0</v>
      </c>
    </row>
    <row r="30" spans="1:16" x14ac:dyDescent="0.25">
      <c r="A30" s="3"/>
      <c r="B30" s="4">
        <v>3.7610000000000001</v>
      </c>
      <c r="C30" s="4">
        <v>0</v>
      </c>
      <c r="D30" s="4">
        <v>0</v>
      </c>
      <c r="E30" s="5">
        <f t="shared" ref="E30:F33" si="27">(C30/5)/(6.8*10^3)</f>
        <v>0</v>
      </c>
      <c r="F30" s="6">
        <f t="shared" si="27"/>
        <v>0</v>
      </c>
      <c r="G30" s="4">
        <v>3.7610000000000001</v>
      </c>
      <c r="H30" s="4">
        <v>0</v>
      </c>
      <c r="I30" s="4">
        <v>0</v>
      </c>
      <c r="J30" s="5">
        <f t="shared" ref="J30:K33" si="28">(H30/5)/(6.8*10^3)</f>
        <v>0</v>
      </c>
      <c r="K30" s="6">
        <f t="shared" si="28"/>
        <v>0</v>
      </c>
      <c r="L30" s="4">
        <v>3.601</v>
      </c>
      <c r="M30" s="4">
        <v>0</v>
      </c>
      <c r="N30" s="4">
        <v>0</v>
      </c>
      <c r="O30" s="5">
        <f t="shared" ref="O30:P33" si="29">(M30/5)/(6.8*10^3)</f>
        <v>0</v>
      </c>
      <c r="P30" s="6">
        <f t="shared" si="29"/>
        <v>0</v>
      </c>
    </row>
    <row r="31" spans="1:16" x14ac:dyDescent="0.25">
      <c r="A31" s="3"/>
      <c r="B31" s="4">
        <v>3.8410000000000002</v>
      </c>
      <c r="C31" s="4">
        <v>0</v>
      </c>
      <c r="D31" s="4">
        <v>0</v>
      </c>
      <c r="E31" s="5">
        <f t="shared" si="27"/>
        <v>0</v>
      </c>
      <c r="F31" s="6">
        <f t="shared" si="27"/>
        <v>0</v>
      </c>
      <c r="G31" s="4">
        <v>3.7610000000000001</v>
      </c>
      <c r="H31" s="4">
        <v>0</v>
      </c>
      <c r="I31" s="4">
        <v>0</v>
      </c>
      <c r="J31" s="5">
        <f t="shared" si="28"/>
        <v>0</v>
      </c>
      <c r="K31" s="6">
        <f t="shared" si="28"/>
        <v>0</v>
      </c>
      <c r="L31" s="4">
        <v>3.601</v>
      </c>
      <c r="M31" s="4">
        <v>0</v>
      </c>
      <c r="N31" s="4">
        <v>0</v>
      </c>
      <c r="O31" s="5">
        <f t="shared" si="29"/>
        <v>0</v>
      </c>
      <c r="P31" s="6">
        <f t="shared" si="29"/>
        <v>0</v>
      </c>
    </row>
    <row r="32" spans="1:16" x14ac:dyDescent="0.25">
      <c r="A32" s="3"/>
      <c r="B32" s="4">
        <v>3.7610000000000001</v>
      </c>
      <c r="C32" s="4">
        <v>0</v>
      </c>
      <c r="D32" s="4">
        <v>0</v>
      </c>
      <c r="E32" s="5">
        <f t="shared" si="27"/>
        <v>0</v>
      </c>
      <c r="F32" s="6">
        <f t="shared" si="27"/>
        <v>0</v>
      </c>
      <c r="G32" s="4">
        <v>3.7610000000000001</v>
      </c>
      <c r="H32" s="4">
        <v>0</v>
      </c>
      <c r="I32" s="4">
        <v>0</v>
      </c>
      <c r="J32" s="5">
        <f t="shared" si="28"/>
        <v>0</v>
      </c>
      <c r="K32" s="6">
        <f t="shared" si="28"/>
        <v>0</v>
      </c>
      <c r="L32" s="4">
        <v>3.601</v>
      </c>
      <c r="M32" s="4">
        <v>0</v>
      </c>
      <c r="N32" s="4">
        <v>0</v>
      </c>
      <c r="O32" s="5">
        <f t="shared" si="29"/>
        <v>0</v>
      </c>
      <c r="P32" s="6">
        <f t="shared" si="29"/>
        <v>0</v>
      </c>
    </row>
    <row r="33" spans="1:16" x14ac:dyDescent="0.25">
      <c r="A33" s="9"/>
      <c r="B33" s="4">
        <v>3.7610000000000001</v>
      </c>
      <c r="C33" s="4">
        <v>0</v>
      </c>
      <c r="D33" s="4">
        <v>0</v>
      </c>
      <c r="E33" s="5">
        <f t="shared" si="27"/>
        <v>0</v>
      </c>
      <c r="F33" s="6">
        <f t="shared" si="27"/>
        <v>0</v>
      </c>
      <c r="G33" s="4">
        <v>3.7610000000000001</v>
      </c>
      <c r="H33" s="4">
        <v>0</v>
      </c>
      <c r="I33" s="4">
        <v>0</v>
      </c>
      <c r="J33" s="5">
        <f t="shared" si="28"/>
        <v>0</v>
      </c>
      <c r="K33" s="6">
        <f t="shared" si="28"/>
        <v>0</v>
      </c>
      <c r="L33" s="4">
        <v>3.601</v>
      </c>
      <c r="M33" s="4">
        <v>0</v>
      </c>
      <c r="N33" s="4">
        <v>0</v>
      </c>
      <c r="O33" s="5">
        <f t="shared" si="29"/>
        <v>0</v>
      </c>
      <c r="P33" s="6">
        <f t="shared" si="29"/>
        <v>0</v>
      </c>
    </row>
    <row r="34" spans="1:16" x14ac:dyDescent="0.25">
      <c r="A34" s="10" t="s">
        <v>9</v>
      </c>
      <c r="B34" s="8">
        <f>AVERAGE(B29:B33)</f>
        <v>3.7769999999999997</v>
      </c>
      <c r="C34" s="8">
        <f t="shared" ref="C34:F34" si="30">AVERAGE(C29:C33)</f>
        <v>0</v>
      </c>
      <c r="D34" s="8">
        <f t="shared" si="30"/>
        <v>0</v>
      </c>
      <c r="E34" s="8">
        <f t="shared" si="30"/>
        <v>0</v>
      </c>
      <c r="F34" s="8">
        <f t="shared" si="30"/>
        <v>0</v>
      </c>
      <c r="G34" s="8">
        <f>AVERAGE(G29:G33)</f>
        <v>3.7610000000000001</v>
      </c>
      <c r="H34" s="8">
        <f t="shared" ref="H34:K34" si="31">AVERAGE(H29:H33)</f>
        <v>0</v>
      </c>
      <c r="I34" s="8">
        <f t="shared" si="31"/>
        <v>0</v>
      </c>
      <c r="J34" s="8">
        <f t="shared" si="31"/>
        <v>0</v>
      </c>
      <c r="K34" s="8">
        <f t="shared" si="31"/>
        <v>0</v>
      </c>
      <c r="L34" s="8">
        <f>AVERAGE(L29:L33)</f>
        <v>3.601</v>
      </c>
      <c r="M34" s="8">
        <f t="shared" ref="M34:P34" si="32">AVERAGE(M29:M33)</f>
        <v>0</v>
      </c>
      <c r="N34" s="8">
        <f t="shared" si="32"/>
        <v>0</v>
      </c>
      <c r="O34" s="8">
        <f t="shared" si="32"/>
        <v>0</v>
      </c>
      <c r="P34" s="8">
        <f t="shared" si="32"/>
        <v>0</v>
      </c>
    </row>
    <row r="35" spans="1:16" x14ac:dyDescent="0.25">
      <c r="A35" s="3" t="s">
        <v>20</v>
      </c>
      <c r="B35" s="4">
        <v>3.8809999999999998</v>
      </c>
      <c r="C35" s="4">
        <f>320*10^-9</f>
        <v>3.2000000000000001E-7</v>
      </c>
      <c r="D35" s="4">
        <f>1.48*10^-6</f>
        <v>1.48E-6</v>
      </c>
      <c r="E35" s="5">
        <f>(C35/5)/(6.8*10^3)</f>
        <v>9.4117647058823533E-12</v>
      </c>
      <c r="F35" s="6">
        <f>(D35/5)/(6.8*10^3)</f>
        <v>4.3529411764705884E-11</v>
      </c>
      <c r="G35" s="4">
        <v>3.8809999999999998</v>
      </c>
      <c r="H35" s="4">
        <f>330*10^-9</f>
        <v>3.3000000000000002E-7</v>
      </c>
      <c r="I35" s="4">
        <f>1.52*10^-6</f>
        <v>1.5199999999999998E-6</v>
      </c>
      <c r="J35" s="5">
        <f>(H35/5)/(6.8*10^3)</f>
        <v>9.7058823529411772E-12</v>
      </c>
      <c r="K35" s="6">
        <f>(I35/5)/(6.8*10^3)</f>
        <v>4.4705882352941173E-11</v>
      </c>
      <c r="L35" s="4">
        <v>3.7610000000000001</v>
      </c>
      <c r="M35" s="4">
        <f>1.09*10^-6</f>
        <v>1.0899999999999999E-6</v>
      </c>
      <c r="N35" s="4">
        <f>5.22*10^-6</f>
        <v>5.2199999999999991E-6</v>
      </c>
      <c r="O35" s="5">
        <f>(M35/5)/(6.8*10^3)</f>
        <v>3.2058823529411763E-11</v>
      </c>
      <c r="P35" s="6">
        <f>(N35/5)/(6.8*10^3)</f>
        <v>1.5352941176470587E-10</v>
      </c>
    </row>
    <row r="36" spans="1:16" x14ac:dyDescent="0.25">
      <c r="A36" s="3"/>
      <c r="B36" s="4">
        <v>3.8809999999999998</v>
      </c>
      <c r="C36" s="4">
        <f>330*10^-9</f>
        <v>3.3000000000000002E-7</v>
      </c>
      <c r="D36" s="4">
        <f t="shared" ref="D36:D39" si="33">1.48*10^-6</f>
        <v>1.48E-6</v>
      </c>
      <c r="E36" s="5">
        <f t="shared" ref="E36:F39" si="34">(C36/5)/(6.8*10^3)</f>
        <v>9.7058823529411772E-12</v>
      </c>
      <c r="F36" s="6">
        <f t="shared" si="34"/>
        <v>4.3529411764705884E-11</v>
      </c>
      <c r="G36" s="4">
        <v>3.8809999999999998</v>
      </c>
      <c r="H36" s="4">
        <f t="shared" ref="H36:H39" si="35">330*10^-9</f>
        <v>3.3000000000000002E-7</v>
      </c>
      <c r="I36" s="4">
        <f>1.54*10^-6</f>
        <v>1.5399999999999999E-6</v>
      </c>
      <c r="J36" s="5">
        <f t="shared" ref="J36:K39" si="36">(H36/5)/(6.8*10^3)</f>
        <v>9.7058823529411772E-12</v>
      </c>
      <c r="K36" s="6">
        <f t="shared" si="36"/>
        <v>4.5294117647058814E-11</v>
      </c>
      <c r="L36" s="4">
        <v>3.7610000000000001</v>
      </c>
      <c r="M36" s="4">
        <f>1.13*10^-6</f>
        <v>1.1299999999999998E-6</v>
      </c>
      <c r="N36" s="4">
        <f>5*10^-6</f>
        <v>4.9999999999999996E-6</v>
      </c>
      <c r="O36" s="5">
        <f t="shared" ref="O36:P39" si="37">(M36/5)/(6.8*10^3)</f>
        <v>3.3235294117647052E-11</v>
      </c>
      <c r="P36" s="6">
        <f t="shared" si="37"/>
        <v>1.4705882352941175E-10</v>
      </c>
    </row>
    <row r="37" spans="1:16" x14ac:dyDescent="0.25">
      <c r="A37" s="3"/>
      <c r="B37" s="4">
        <v>3.8809999999999998</v>
      </c>
      <c r="C37" s="4">
        <f>330*10^-9</f>
        <v>3.3000000000000002E-7</v>
      </c>
      <c r="D37" s="4">
        <f t="shared" si="33"/>
        <v>1.48E-6</v>
      </c>
      <c r="E37" s="5">
        <f t="shared" si="34"/>
        <v>9.7058823529411772E-12</v>
      </c>
      <c r="F37" s="6">
        <f t="shared" si="34"/>
        <v>4.3529411764705884E-11</v>
      </c>
      <c r="G37" s="4">
        <v>3.8809999999999998</v>
      </c>
      <c r="H37" s="4">
        <f>320*10^-9</f>
        <v>3.2000000000000001E-7</v>
      </c>
      <c r="I37" s="4">
        <f>1.52*10^-6</f>
        <v>1.5199999999999998E-6</v>
      </c>
      <c r="J37" s="5">
        <f t="shared" si="36"/>
        <v>9.4117647058823533E-12</v>
      </c>
      <c r="K37" s="6">
        <f t="shared" si="36"/>
        <v>4.4705882352941173E-11</v>
      </c>
      <c r="L37" s="4">
        <v>3.7610000000000001</v>
      </c>
      <c r="M37" s="4">
        <f>1.13*10^-6</f>
        <v>1.1299999999999998E-6</v>
      </c>
      <c r="N37" s="4">
        <f>5.1*10^-6</f>
        <v>5.0999999999999995E-6</v>
      </c>
      <c r="O37" s="5">
        <f t="shared" si="37"/>
        <v>3.3235294117647052E-11</v>
      </c>
      <c r="P37" s="6">
        <f t="shared" si="37"/>
        <v>1.5E-10</v>
      </c>
    </row>
    <row r="38" spans="1:16" x14ac:dyDescent="0.25">
      <c r="A38" s="3"/>
      <c r="B38" s="4">
        <v>3.9209999999999998</v>
      </c>
      <c r="C38" s="4">
        <f t="shared" ref="C38:C39" si="38">320*10^-9</f>
        <v>3.2000000000000001E-7</v>
      </c>
      <c r="D38" s="4">
        <f t="shared" si="33"/>
        <v>1.48E-6</v>
      </c>
      <c r="E38" s="5">
        <f t="shared" si="34"/>
        <v>9.4117647058823533E-12</v>
      </c>
      <c r="F38" s="6">
        <f t="shared" si="34"/>
        <v>4.3529411764705884E-11</v>
      </c>
      <c r="G38" s="4">
        <v>3.8809999999999998</v>
      </c>
      <c r="H38" s="4">
        <f t="shared" si="35"/>
        <v>3.3000000000000002E-7</v>
      </c>
      <c r="I38" s="4">
        <f>1.5*10^-6</f>
        <v>1.5E-6</v>
      </c>
      <c r="J38" s="5">
        <f t="shared" si="36"/>
        <v>9.7058823529411772E-12</v>
      </c>
      <c r="K38" s="6">
        <f t="shared" si="36"/>
        <v>4.4117647058823525E-11</v>
      </c>
      <c r="L38" s="4">
        <v>3.7610000000000001</v>
      </c>
      <c r="M38" s="4">
        <f>1.21*10^-6</f>
        <v>1.2099999999999998E-6</v>
      </c>
      <c r="N38" s="4">
        <f>5.54*10^-6</f>
        <v>5.5399999999999995E-6</v>
      </c>
      <c r="O38" s="5">
        <f t="shared" si="37"/>
        <v>3.5588235294117643E-11</v>
      </c>
      <c r="P38" s="6">
        <f t="shared" si="37"/>
        <v>1.6294117647058821E-10</v>
      </c>
    </row>
    <row r="39" spans="1:16" x14ac:dyDescent="0.25">
      <c r="A39" s="9"/>
      <c r="B39" s="4">
        <v>3.8809999999999998</v>
      </c>
      <c r="C39" s="4">
        <f t="shared" si="38"/>
        <v>3.2000000000000001E-7</v>
      </c>
      <c r="D39" s="4">
        <f t="shared" si="33"/>
        <v>1.48E-6</v>
      </c>
      <c r="E39" s="5">
        <f t="shared" si="34"/>
        <v>9.4117647058823533E-12</v>
      </c>
      <c r="F39" s="6">
        <f t="shared" si="34"/>
        <v>4.3529411764705884E-11</v>
      </c>
      <c r="G39" s="4">
        <v>3.8809999999999998</v>
      </c>
      <c r="H39" s="4">
        <f t="shared" si="35"/>
        <v>3.3000000000000002E-7</v>
      </c>
      <c r="I39" s="4">
        <f>1.52*10^-6</f>
        <v>1.5199999999999998E-6</v>
      </c>
      <c r="J39" s="5">
        <f t="shared" si="36"/>
        <v>9.7058823529411772E-12</v>
      </c>
      <c r="K39" s="6">
        <f t="shared" si="36"/>
        <v>4.4705882352941173E-11</v>
      </c>
      <c r="L39" s="4">
        <v>3.7210000000000001</v>
      </c>
      <c r="M39" s="4">
        <f t="shared" ref="M39" si="39">1.22*10^-6</f>
        <v>1.22E-6</v>
      </c>
      <c r="N39" s="4">
        <f>5.5*10^-6</f>
        <v>5.4999999999999999E-6</v>
      </c>
      <c r="O39" s="5">
        <f t="shared" si="37"/>
        <v>3.588235294117647E-11</v>
      </c>
      <c r="P39" s="6">
        <f t="shared" si="37"/>
        <v>1.6176470588235295E-10</v>
      </c>
    </row>
    <row r="40" spans="1:16" x14ac:dyDescent="0.25">
      <c r="A40" s="10" t="s">
        <v>9</v>
      </c>
      <c r="B40" s="11">
        <f>AVERAGE(B35:B39)</f>
        <v>3.8889999999999993</v>
      </c>
      <c r="C40" s="8">
        <f t="shared" ref="C40:P40" si="40">AVERAGE(C35:C39)</f>
        <v>3.2399999999999994E-7</v>
      </c>
      <c r="D40" s="8">
        <f t="shared" si="40"/>
        <v>1.48E-6</v>
      </c>
      <c r="E40" s="8">
        <f t="shared" si="40"/>
        <v>9.5294117647058832E-12</v>
      </c>
      <c r="F40" s="8">
        <f t="shared" si="40"/>
        <v>4.3529411764705884E-11</v>
      </c>
      <c r="G40" s="8">
        <f t="shared" si="40"/>
        <v>3.8809999999999993</v>
      </c>
      <c r="H40" s="8">
        <f t="shared" si="40"/>
        <v>3.2799999999999997E-7</v>
      </c>
      <c r="I40" s="11">
        <f t="shared" si="40"/>
        <v>1.5199999999999998E-6</v>
      </c>
      <c r="J40" s="8">
        <f t="shared" si="40"/>
        <v>9.6470588235294114E-12</v>
      </c>
      <c r="K40" s="8">
        <f t="shared" si="40"/>
        <v>4.4705882352941166E-11</v>
      </c>
      <c r="L40" s="11">
        <f t="shared" si="40"/>
        <v>3.7530000000000001</v>
      </c>
      <c r="M40" s="8">
        <f t="shared" si="40"/>
        <v>1.156E-6</v>
      </c>
      <c r="N40" s="11">
        <f t="shared" si="40"/>
        <v>5.2719999999999997E-6</v>
      </c>
      <c r="O40" s="8">
        <f t="shared" si="40"/>
        <v>3.3999999999999992E-11</v>
      </c>
      <c r="P40" s="8">
        <f t="shared" si="40"/>
        <v>1.5505882352941175E-10</v>
      </c>
    </row>
    <row r="41" spans="1:16" x14ac:dyDescent="0.25">
      <c r="A41" s="3" t="s">
        <v>21</v>
      </c>
      <c r="B41" s="4">
        <f>4.321</f>
        <v>4.3209999999999997</v>
      </c>
      <c r="C41" s="4">
        <f>460*10^-9</f>
        <v>4.6000000000000004E-7</v>
      </c>
      <c r="D41" s="4">
        <f>2.5*10^-6</f>
        <v>2.4999999999999998E-6</v>
      </c>
      <c r="E41" s="5">
        <f>(C41/5)/(6.8*10^3)</f>
        <v>1.3529411764705882E-11</v>
      </c>
      <c r="F41" s="6">
        <f>(D41/5)/(6.8*10^3)</f>
        <v>7.3529411764705877E-11</v>
      </c>
      <c r="G41" s="4">
        <v>4.0810000000000004</v>
      </c>
      <c r="H41" s="4">
        <f>490*10^-9</f>
        <v>4.9000000000000007E-7</v>
      </c>
      <c r="I41" s="4">
        <f>1.92*10^-6</f>
        <v>1.9199999999999998E-6</v>
      </c>
      <c r="J41" s="5">
        <f>(H41/5)/(6.8*10^3)</f>
        <v>1.4411764705882355E-11</v>
      </c>
      <c r="K41" s="6">
        <f>(I41/5)/(6.8*10^3)</f>
        <v>5.6470588235294107E-11</v>
      </c>
      <c r="L41" s="4">
        <v>4.0010000000000003</v>
      </c>
      <c r="M41" s="4">
        <f>490*10^-9</f>
        <v>4.9000000000000007E-7</v>
      </c>
      <c r="N41" s="4">
        <f>1.98*10^-6</f>
        <v>1.9800000000000001E-6</v>
      </c>
      <c r="O41" s="5">
        <f>(M41/5)/(6.8*10^3)</f>
        <v>1.4411764705882355E-11</v>
      </c>
      <c r="P41" s="6">
        <f>(N41/5)/(6.8*10^3)</f>
        <v>5.8235294117647063E-11</v>
      </c>
    </row>
    <row r="42" spans="1:16" x14ac:dyDescent="0.25">
      <c r="A42" s="3"/>
      <c r="B42" s="4">
        <f t="shared" ref="B42:B44" si="41">4.321</f>
        <v>4.3209999999999997</v>
      </c>
      <c r="C42" s="4">
        <f>500*10^-9</f>
        <v>5.0000000000000008E-7</v>
      </c>
      <c r="D42" s="4">
        <f t="shared" ref="D42:D43" si="42">2.5*10^-6</f>
        <v>2.4999999999999998E-6</v>
      </c>
      <c r="E42" s="5">
        <f t="shared" ref="E42:F45" si="43">(C42/5)/(6.8*10^3)</f>
        <v>1.4705882352941179E-11</v>
      </c>
      <c r="F42" s="6">
        <f t="shared" si="43"/>
        <v>7.3529411764705877E-11</v>
      </c>
      <c r="G42" s="4">
        <v>4.0810000000000004</v>
      </c>
      <c r="H42" s="4">
        <f>510*10^-9</f>
        <v>5.0999999999999999E-7</v>
      </c>
      <c r="I42" s="4">
        <f>1.88*10^-6</f>
        <v>1.8799999999999998E-6</v>
      </c>
      <c r="J42" s="5">
        <f t="shared" ref="J42:K45" si="44">(H42/5)/(6.8*10^3)</f>
        <v>1.5E-11</v>
      </c>
      <c r="K42" s="6">
        <f t="shared" si="44"/>
        <v>5.5294117647058818E-11</v>
      </c>
      <c r="L42" s="4">
        <v>4.0010000000000003</v>
      </c>
      <c r="M42" s="4">
        <f>490*10^-9</f>
        <v>4.9000000000000007E-7</v>
      </c>
      <c r="N42" s="4">
        <f>2.14*10^-6</f>
        <v>2.1399999999999998E-6</v>
      </c>
      <c r="O42" s="5">
        <f t="shared" ref="O42:P45" si="45">(M42/5)/(6.8*10^3)</f>
        <v>1.4411764705882355E-11</v>
      </c>
      <c r="P42" s="6">
        <f t="shared" si="45"/>
        <v>6.2941176470588232E-11</v>
      </c>
    </row>
    <row r="43" spans="1:16" x14ac:dyDescent="0.25">
      <c r="A43" s="3"/>
      <c r="B43" s="4">
        <f t="shared" si="41"/>
        <v>4.3209999999999997</v>
      </c>
      <c r="C43" s="4">
        <f>480*10^-9</f>
        <v>4.8000000000000006E-7</v>
      </c>
      <c r="D43" s="4">
        <f t="shared" si="42"/>
        <v>2.4999999999999998E-6</v>
      </c>
      <c r="E43" s="5">
        <f t="shared" si="43"/>
        <v>1.4117647058823532E-11</v>
      </c>
      <c r="F43" s="6">
        <f t="shared" si="43"/>
        <v>7.3529411764705877E-11</v>
      </c>
      <c r="G43" s="4">
        <v>4.0810000000000004</v>
      </c>
      <c r="H43" s="4">
        <f>470*10^-9</f>
        <v>4.7000000000000005E-7</v>
      </c>
      <c r="I43" s="4">
        <f>1.92*10^-6</f>
        <v>1.9199999999999998E-6</v>
      </c>
      <c r="J43" s="5">
        <f t="shared" si="44"/>
        <v>1.3823529411764708E-11</v>
      </c>
      <c r="K43" s="6">
        <f t="shared" si="44"/>
        <v>5.6470588235294107E-11</v>
      </c>
      <c r="L43" s="4">
        <v>4.0010000000000003</v>
      </c>
      <c r="M43" s="4">
        <f>520*10^-9</f>
        <v>5.2E-7</v>
      </c>
      <c r="N43" s="4">
        <f>2*10^-6</f>
        <v>1.9999999999999999E-6</v>
      </c>
      <c r="O43" s="5">
        <f t="shared" si="45"/>
        <v>1.5294117647058824E-11</v>
      </c>
      <c r="P43" s="6">
        <f t="shared" si="45"/>
        <v>5.8823529411764704E-11</v>
      </c>
    </row>
    <row r="44" spans="1:16" x14ac:dyDescent="0.25">
      <c r="A44" s="3"/>
      <c r="B44" s="4">
        <f t="shared" si="41"/>
        <v>4.3209999999999997</v>
      </c>
      <c r="C44" s="4">
        <f>490*10^-9</f>
        <v>4.9000000000000007E-7</v>
      </c>
      <c r="D44" s="4">
        <f>3.1*10^-6</f>
        <v>3.1E-6</v>
      </c>
      <c r="E44" s="5">
        <f t="shared" si="43"/>
        <v>1.4411764705882355E-11</v>
      </c>
      <c r="F44" s="6">
        <f t="shared" si="43"/>
        <v>9.1176470588235295E-11</v>
      </c>
      <c r="G44" s="4">
        <v>4.0810000000000004</v>
      </c>
      <c r="H44" s="4">
        <f>500*10^-9</f>
        <v>5.0000000000000008E-7</v>
      </c>
      <c r="I44" s="4">
        <f>1.92*10^-6</f>
        <v>1.9199999999999998E-6</v>
      </c>
      <c r="J44" s="5">
        <f t="shared" si="44"/>
        <v>1.4705882352941179E-11</v>
      </c>
      <c r="K44" s="6">
        <f t="shared" si="44"/>
        <v>5.6470588235294107E-11</v>
      </c>
      <c r="L44" s="4">
        <v>4.0010000000000003</v>
      </c>
      <c r="M44" s="4">
        <f>510*10^-9</f>
        <v>5.0999999999999999E-7</v>
      </c>
      <c r="N44" s="4">
        <f>1.98*10^-6</f>
        <v>1.9800000000000001E-6</v>
      </c>
      <c r="O44" s="5">
        <f t="shared" si="45"/>
        <v>1.5E-11</v>
      </c>
      <c r="P44" s="6">
        <f t="shared" si="45"/>
        <v>5.8235294117647063E-11</v>
      </c>
    </row>
    <row r="45" spans="1:16" x14ac:dyDescent="0.25">
      <c r="A45" s="9"/>
      <c r="B45" s="4">
        <v>4.0410000000000004</v>
      </c>
      <c r="C45" s="4">
        <f>480*10^-9</f>
        <v>4.8000000000000006E-7</v>
      </c>
      <c r="D45" s="4">
        <f>2.9*10^-6</f>
        <v>2.8999999999999998E-6</v>
      </c>
      <c r="E45" s="5">
        <f t="shared" si="43"/>
        <v>1.4117647058823532E-11</v>
      </c>
      <c r="F45" s="6">
        <f t="shared" si="43"/>
        <v>8.5294117647058818E-11</v>
      </c>
      <c r="G45" s="4">
        <v>4.2809999999999997</v>
      </c>
      <c r="H45" s="4">
        <f>520*10^-9</f>
        <v>5.2E-7</v>
      </c>
      <c r="I45" s="4">
        <f>3.54*10^-6</f>
        <v>3.54E-6</v>
      </c>
      <c r="J45" s="5">
        <f t="shared" si="44"/>
        <v>1.5294117647058824E-11</v>
      </c>
      <c r="K45" s="6">
        <f t="shared" si="44"/>
        <v>1.0411764705882353E-10</v>
      </c>
      <c r="L45" s="4">
        <v>4.0010000000000003</v>
      </c>
      <c r="M45" s="4">
        <f>520*10^-9</f>
        <v>5.2E-7</v>
      </c>
      <c r="N45" s="4">
        <f>2.16*10^-6</f>
        <v>2.1600000000000001E-6</v>
      </c>
      <c r="O45" s="5">
        <f t="shared" si="45"/>
        <v>1.5294117647058824E-11</v>
      </c>
      <c r="P45" s="6">
        <f t="shared" si="45"/>
        <v>6.3529411764705886E-11</v>
      </c>
    </row>
    <row r="46" spans="1:16" x14ac:dyDescent="0.25">
      <c r="A46" s="10" t="s">
        <v>9</v>
      </c>
      <c r="B46" s="8">
        <f>AVERAGE(B41:B45)</f>
        <v>4.2649999999999997</v>
      </c>
      <c r="C46" s="8">
        <f t="shared" ref="C46:F46" si="46">AVERAGE(C41:C45)</f>
        <v>4.82E-7</v>
      </c>
      <c r="D46" s="8">
        <f t="shared" si="46"/>
        <v>2.7E-6</v>
      </c>
      <c r="E46" s="8">
        <f t="shared" si="46"/>
        <v>1.4176470588235297E-11</v>
      </c>
      <c r="F46" s="8">
        <f t="shared" si="46"/>
        <v>7.9411764705882354E-11</v>
      </c>
      <c r="G46" s="8">
        <f>AVERAGE(G41:G45)</f>
        <v>4.1210000000000004</v>
      </c>
      <c r="H46" s="8">
        <f t="shared" ref="H46:K46" si="47">AVERAGE(H41:H45)</f>
        <v>4.9800000000000014E-7</v>
      </c>
      <c r="I46" s="8">
        <f t="shared" si="47"/>
        <v>2.2359999999999999E-6</v>
      </c>
      <c r="J46" s="8">
        <f t="shared" si="47"/>
        <v>1.4647058823529412E-11</v>
      </c>
      <c r="K46" s="8">
        <f t="shared" si="47"/>
        <v>6.5764705882352922E-11</v>
      </c>
      <c r="L46" s="8">
        <f>AVERAGE(L41:L45)</f>
        <v>4.0010000000000003</v>
      </c>
      <c r="M46" s="8">
        <f t="shared" ref="M46:P46" si="48">AVERAGE(M41:M45)</f>
        <v>5.0600000000000011E-7</v>
      </c>
      <c r="N46" s="8">
        <f t="shared" si="48"/>
        <v>2.0519999999999996E-6</v>
      </c>
      <c r="O46" s="8">
        <f t="shared" si="48"/>
        <v>1.4882352941176472E-11</v>
      </c>
      <c r="P46" s="8">
        <f t="shared" si="48"/>
        <v>6.0352941176470597E-11</v>
      </c>
    </row>
    <row r="47" spans="1:16" x14ac:dyDescent="0.25">
      <c r="A47" s="3" t="s">
        <v>10</v>
      </c>
      <c r="B47" s="4">
        <v>4.0410000000000004</v>
      </c>
      <c r="C47" s="4">
        <f>320*10^-9</f>
        <v>3.2000000000000001E-7</v>
      </c>
      <c r="D47" s="4">
        <f>5.12*10^-6</f>
        <v>5.1200000000000001E-6</v>
      </c>
      <c r="E47" s="5">
        <f>(C47/5)/(6.8*10^3)</f>
        <v>9.4117647058823533E-12</v>
      </c>
      <c r="F47" s="6">
        <f>(D47/5)/(6.8*10^3)</f>
        <v>1.5058823529411765E-10</v>
      </c>
      <c r="G47" s="4">
        <v>4.0010000000000003</v>
      </c>
      <c r="H47" s="4">
        <f>320*10^-9</f>
        <v>3.2000000000000001E-7</v>
      </c>
      <c r="I47" s="4">
        <f>4.98*10^-6</f>
        <v>4.9800000000000006E-6</v>
      </c>
      <c r="J47" s="5">
        <f>(H47/5)/(6.8*10^3)</f>
        <v>9.4117647058823533E-12</v>
      </c>
      <c r="K47" s="6">
        <f>(I47/5)/(6.8*10^3)</f>
        <v>1.4647058823529413E-10</v>
      </c>
      <c r="L47" s="4">
        <v>3.8809999999999998</v>
      </c>
      <c r="M47" s="4">
        <f>1.13*10^-6</f>
        <v>1.1299999999999998E-6</v>
      </c>
      <c r="N47" s="4">
        <f>13.3*10^-6</f>
        <v>1.33E-5</v>
      </c>
      <c r="O47" s="5">
        <f>(M47/5)/(6.8*10^3)</f>
        <v>3.3235294117647052E-11</v>
      </c>
      <c r="P47" s="6">
        <f>(N47/5)/(6.8*10^3)</f>
        <v>3.9117647058823531E-10</v>
      </c>
    </row>
    <row r="48" spans="1:16" x14ac:dyDescent="0.25">
      <c r="A48" s="3"/>
      <c r="B48" s="4">
        <v>4.0410000000000004</v>
      </c>
      <c r="C48" s="4">
        <f t="shared" ref="C48:C51" si="49">320*10^-9</f>
        <v>3.2000000000000001E-7</v>
      </c>
      <c r="D48" s="4">
        <f>5.02*10^-6</f>
        <v>5.0199999999999994E-6</v>
      </c>
      <c r="E48" s="5">
        <f t="shared" ref="E48:E51" si="50">(C48/5)/(6.8*10^3)</f>
        <v>9.4117647058823533E-12</v>
      </c>
      <c r="F48" s="6">
        <f t="shared" ref="F48:F51" si="51">(D48/5)/(6.8*10^3)</f>
        <v>1.4764705882352938E-10</v>
      </c>
      <c r="G48" s="4">
        <v>4.0010000000000003</v>
      </c>
      <c r="H48" s="4">
        <f t="shared" ref="H48:H51" si="52">320*10^-9</f>
        <v>3.2000000000000001E-7</v>
      </c>
      <c r="I48" s="4">
        <f>4.98*10^-6</f>
        <v>4.9800000000000006E-6</v>
      </c>
      <c r="J48" s="5">
        <f t="shared" ref="J48:J51" si="53">(H48/5)/(6.8*10^3)</f>
        <v>9.4117647058823533E-12</v>
      </c>
      <c r="K48" s="6">
        <f t="shared" ref="K48:K51" si="54">(I48/5)/(6.8*10^3)</f>
        <v>1.4647058823529413E-10</v>
      </c>
      <c r="L48" s="4">
        <v>3.8410000000000002</v>
      </c>
      <c r="M48" s="4">
        <f>1.04*10^-6</f>
        <v>1.04E-6</v>
      </c>
      <c r="N48" s="4">
        <f>12.36*10^-6</f>
        <v>1.2359999999999999E-5</v>
      </c>
      <c r="O48" s="5">
        <f t="shared" ref="O48:O51" si="55">(M48/5)/(6.8*10^3)</f>
        <v>3.0588235294117647E-11</v>
      </c>
      <c r="P48" s="6">
        <f t="shared" ref="P48:P51" si="56">(N48/5)/(6.8*10^3)</f>
        <v>3.6352941176470587E-10</v>
      </c>
    </row>
    <row r="49" spans="1:16" x14ac:dyDescent="0.25">
      <c r="A49" s="3"/>
      <c r="B49" s="4">
        <v>4.0410000000000004</v>
      </c>
      <c r="C49" s="4">
        <f>310*10^-9</f>
        <v>3.1E-7</v>
      </c>
      <c r="D49" s="4">
        <f>5.1*10^-6</f>
        <v>5.0999999999999995E-6</v>
      </c>
      <c r="E49" s="5">
        <f t="shared" si="50"/>
        <v>9.1176470588235295E-12</v>
      </c>
      <c r="F49" s="6">
        <f t="shared" si="51"/>
        <v>1.5E-10</v>
      </c>
      <c r="G49" s="4">
        <v>4.0010000000000003</v>
      </c>
      <c r="H49" s="4">
        <f>330*10^-9</f>
        <v>3.3000000000000002E-7</v>
      </c>
      <c r="I49" s="4">
        <f>5.08*10^-6</f>
        <v>5.0799999999999996E-6</v>
      </c>
      <c r="J49" s="5">
        <f t="shared" si="53"/>
        <v>9.7058823529411772E-12</v>
      </c>
      <c r="K49" s="6">
        <f t="shared" si="54"/>
        <v>1.4941176470588234E-10</v>
      </c>
      <c r="L49" s="4">
        <v>3.8410000000000002</v>
      </c>
      <c r="M49" s="4">
        <f>1.11*10^-6</f>
        <v>1.11E-6</v>
      </c>
      <c r="N49" s="4">
        <f>12.56*10^-6</f>
        <v>1.256E-5</v>
      </c>
      <c r="O49" s="5">
        <f t="shared" si="55"/>
        <v>3.2647058823529411E-11</v>
      </c>
      <c r="P49" s="6">
        <f t="shared" si="56"/>
        <v>3.6941176470588231E-10</v>
      </c>
    </row>
    <row r="50" spans="1:16" x14ac:dyDescent="0.25">
      <c r="A50" s="3"/>
      <c r="B50" s="4">
        <v>4.0410000000000004</v>
      </c>
      <c r="C50" s="4">
        <f t="shared" si="49"/>
        <v>3.2000000000000001E-7</v>
      </c>
      <c r="D50" s="4">
        <f>5.14*10^-6</f>
        <v>5.1399999999999991E-6</v>
      </c>
      <c r="E50" s="5">
        <f t="shared" si="50"/>
        <v>9.4117647058823533E-12</v>
      </c>
      <c r="F50" s="6">
        <f t="shared" si="51"/>
        <v>1.5117647058823526E-10</v>
      </c>
      <c r="G50" s="4">
        <v>4.0010000000000003</v>
      </c>
      <c r="H50" s="4">
        <f>330*10^-9</f>
        <v>3.3000000000000002E-7</v>
      </c>
      <c r="I50" s="4">
        <f>5.02*10^-6</f>
        <v>5.0199999999999994E-6</v>
      </c>
      <c r="J50" s="5">
        <f t="shared" si="53"/>
        <v>9.7058823529411772E-12</v>
      </c>
      <c r="K50" s="6">
        <f t="shared" si="54"/>
        <v>1.4764705882352938E-10</v>
      </c>
      <c r="L50" s="4">
        <v>3.8410000000000002</v>
      </c>
      <c r="M50" s="4">
        <f>1.06*10^-6</f>
        <v>1.06E-6</v>
      </c>
      <c r="N50" s="4">
        <f>12.64*10^-6</f>
        <v>1.2639999999999999E-5</v>
      </c>
      <c r="O50" s="5">
        <f t="shared" si="55"/>
        <v>3.1176470588235295E-11</v>
      </c>
      <c r="P50" s="6">
        <f t="shared" si="56"/>
        <v>3.7176470588235293E-10</v>
      </c>
    </row>
    <row r="51" spans="1:16" x14ac:dyDescent="0.25">
      <c r="A51" s="9"/>
      <c r="B51" s="4">
        <v>4.0410000000000004</v>
      </c>
      <c r="C51" s="4">
        <f t="shared" si="49"/>
        <v>3.2000000000000001E-7</v>
      </c>
      <c r="D51" s="4">
        <f>5.16*10^-6</f>
        <v>5.1599999999999997E-6</v>
      </c>
      <c r="E51" s="5">
        <f t="shared" si="50"/>
        <v>9.4117647058823533E-12</v>
      </c>
      <c r="F51" s="6">
        <f t="shared" si="51"/>
        <v>1.5176470588235294E-10</v>
      </c>
      <c r="G51" s="4">
        <v>4.0010000000000003</v>
      </c>
      <c r="H51" s="4">
        <f t="shared" si="52"/>
        <v>3.2000000000000001E-7</v>
      </c>
      <c r="I51" s="4">
        <f>4.96*10^-6</f>
        <v>4.9599999999999999E-6</v>
      </c>
      <c r="J51" s="5">
        <f t="shared" si="53"/>
        <v>9.4117647058823533E-12</v>
      </c>
      <c r="K51" s="6">
        <f t="shared" si="54"/>
        <v>1.4588235294117647E-10</v>
      </c>
      <c r="L51" s="4">
        <v>3.8410000000000002</v>
      </c>
      <c r="M51" s="4">
        <f>1.06*10^-6</f>
        <v>1.06E-6</v>
      </c>
      <c r="N51" s="4">
        <f>12.64*10^-6</f>
        <v>1.2639999999999999E-5</v>
      </c>
      <c r="O51" s="5">
        <f t="shared" si="55"/>
        <v>3.1176470588235295E-11</v>
      </c>
      <c r="P51" s="6">
        <f t="shared" si="56"/>
        <v>3.7176470588235293E-10</v>
      </c>
    </row>
    <row r="52" spans="1:16" x14ac:dyDescent="0.25">
      <c r="A52" s="10" t="s">
        <v>9</v>
      </c>
      <c r="B52" s="11">
        <f>AVERAGE(B47:B51)</f>
        <v>4.0410000000000004</v>
      </c>
      <c r="C52" s="8">
        <f t="shared" ref="C52:P52" si="57">AVERAGE(C47:C51)</f>
        <v>3.1800000000000002E-7</v>
      </c>
      <c r="D52" s="8">
        <f t="shared" si="57"/>
        <v>5.1079999999999992E-6</v>
      </c>
      <c r="E52" s="8">
        <f t="shared" si="57"/>
        <v>9.3529411764705876E-12</v>
      </c>
      <c r="F52" s="8">
        <f t="shared" si="57"/>
        <v>1.5023529411764703E-10</v>
      </c>
      <c r="G52" s="8">
        <f t="shared" si="57"/>
        <v>4.0010000000000003</v>
      </c>
      <c r="H52" s="8">
        <f t="shared" si="57"/>
        <v>3.2400000000000004E-7</v>
      </c>
      <c r="I52" s="11">
        <f t="shared" si="57"/>
        <v>5.0039999999999999E-6</v>
      </c>
      <c r="J52" s="8">
        <f t="shared" si="57"/>
        <v>9.5294117647058832E-12</v>
      </c>
      <c r="K52" s="8">
        <f t="shared" si="57"/>
        <v>1.471764705882353E-10</v>
      </c>
      <c r="L52" s="11">
        <f t="shared" si="57"/>
        <v>3.8490000000000002</v>
      </c>
      <c r="M52" s="8">
        <f t="shared" si="57"/>
        <v>1.0799999999999998E-6</v>
      </c>
      <c r="N52" s="11">
        <f t="shared" si="57"/>
        <v>1.27E-5</v>
      </c>
      <c r="O52" s="8">
        <f t="shared" si="57"/>
        <v>3.1764705882352943E-11</v>
      </c>
      <c r="P52" s="8">
        <f t="shared" si="57"/>
        <v>3.7352941176470584E-10</v>
      </c>
    </row>
  </sheetData>
  <mergeCells count="8">
    <mergeCell ref="A1:A2"/>
    <mergeCell ref="B1:F1"/>
    <mergeCell ref="G1:K1"/>
    <mergeCell ref="L1:P1"/>
    <mergeCell ref="A21:A22"/>
    <mergeCell ref="B21:F21"/>
    <mergeCell ref="G21:K21"/>
    <mergeCell ref="L21:P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workbookViewId="0">
      <selection activeCell="E13" sqref="E13"/>
    </sheetView>
  </sheetViews>
  <sheetFormatPr defaultColWidth="11" defaultRowHeight="15.75" x14ac:dyDescent="0.25"/>
  <sheetData>
    <row r="2" spans="1:10" x14ac:dyDescent="0.25">
      <c r="A2" s="25" t="s">
        <v>0</v>
      </c>
      <c r="B2" s="27" t="s">
        <v>1</v>
      </c>
      <c r="C2" s="28"/>
      <c r="D2" s="29"/>
      <c r="E2" s="30" t="s">
        <v>2</v>
      </c>
      <c r="F2" s="28"/>
      <c r="G2" s="29"/>
      <c r="H2" s="30" t="s">
        <v>3</v>
      </c>
      <c r="I2" s="28"/>
      <c r="J2" s="29"/>
    </row>
    <row r="3" spans="1:10" x14ac:dyDescent="0.25">
      <c r="A3" s="26"/>
      <c r="B3" s="1" t="s">
        <v>4</v>
      </c>
      <c r="C3" s="1" t="s">
        <v>5</v>
      </c>
      <c r="D3" s="1" t="s">
        <v>6</v>
      </c>
      <c r="E3" s="1" t="s">
        <v>4</v>
      </c>
      <c r="F3" s="1" t="s">
        <v>5</v>
      </c>
      <c r="G3" s="1" t="s">
        <v>6</v>
      </c>
      <c r="H3" s="1" t="s">
        <v>4</v>
      </c>
      <c r="I3" s="1" t="s">
        <v>5</v>
      </c>
      <c r="J3" s="1" t="s">
        <v>6</v>
      </c>
    </row>
    <row r="4" spans="1:10" x14ac:dyDescent="0.25">
      <c r="A4" s="3" t="s">
        <v>22</v>
      </c>
      <c r="B4" s="20">
        <f>'Before Cyclic Twisting Test'!B8</f>
        <v>4.2569999999999997</v>
      </c>
      <c r="C4" s="20">
        <f>'Before Cyclic Twisting Test'!C8</f>
        <v>3.3200000000000006E-7</v>
      </c>
      <c r="D4" s="21">
        <f>'Before Cyclic Twisting Test'!D8</f>
        <v>2.4839999999999998E-6</v>
      </c>
      <c r="E4" s="22">
        <f>'Before Cyclic Twisting Test'!G8</f>
        <v>4.0810000000000004</v>
      </c>
      <c r="F4" s="22">
        <f>'Before Cyclic Twisting Test'!H8</f>
        <v>3.2200000000000005E-7</v>
      </c>
      <c r="G4" s="23">
        <f>'Before Cyclic Twisting Test'!I8</f>
        <v>2.4959999999999999E-6</v>
      </c>
      <c r="H4" s="22">
        <f>'Before Cyclic Twisting Test'!L8</f>
        <v>3.9449999999999994</v>
      </c>
      <c r="I4" s="22">
        <f>'Before Cyclic Twisting Test'!M8</f>
        <v>9.5000000000000001E-7</v>
      </c>
      <c r="J4" s="23">
        <f>'Before Cyclic Twisting Test'!N8</f>
        <v>5.3879999999999991E-6</v>
      </c>
    </row>
    <row r="5" spans="1:10" x14ac:dyDescent="0.25">
      <c r="A5" s="3" t="s">
        <v>17</v>
      </c>
      <c r="B5" s="22">
        <f>'Before Cyclic Twisting Test'!B14</f>
        <v>4.0010000000000003</v>
      </c>
      <c r="C5" s="22">
        <f>'Before Cyclic Twisting Test'!C14</f>
        <v>3.3800000000000004E-7</v>
      </c>
      <c r="D5" s="24">
        <f>'Before Cyclic Twisting Test'!D14</f>
        <v>1.5719999999999999E-6</v>
      </c>
      <c r="E5" s="22">
        <f>'Before Cyclic Twisting Test'!G14</f>
        <v>4.0010000000000003</v>
      </c>
      <c r="F5" s="22">
        <f>'Before Cyclic Twisting Test'!H14</f>
        <v>3.3800000000000004E-7</v>
      </c>
      <c r="G5" s="24">
        <f>'Before Cyclic Twisting Test'!I14</f>
        <v>1.564E-6</v>
      </c>
      <c r="H5" s="22">
        <f>'Before Cyclic Twisting Test'!L14</f>
        <v>3.8170000000000002</v>
      </c>
      <c r="I5" s="22">
        <f>'Before Cyclic Twisting Test'!M14</f>
        <v>1.5719999999999999E-6</v>
      </c>
      <c r="J5" s="24">
        <f>'Before Cyclic Twisting Test'!N14</f>
        <v>6.2559999999999999E-6</v>
      </c>
    </row>
    <row r="6" spans="1:10" x14ac:dyDescent="0.25">
      <c r="A6" s="3" t="s">
        <v>18</v>
      </c>
      <c r="B6" s="22">
        <f>'Before Cyclic Twisting Test'!B20</f>
        <v>3.4729999999999999</v>
      </c>
      <c r="C6" s="22">
        <f>'Before Cyclic Twisting Test'!C20</f>
        <v>6.1000000000000009E-7</v>
      </c>
      <c r="D6" s="24">
        <f>'Before Cyclic Twisting Test'!D20</f>
        <v>2.1279999999999998E-6</v>
      </c>
      <c r="E6" s="22">
        <f>'Before Cyclic Twisting Test'!G20</f>
        <v>3.569</v>
      </c>
      <c r="F6" s="22">
        <f>'Before Cyclic Twisting Test'!H20</f>
        <v>5.6600000000000007E-7</v>
      </c>
      <c r="G6" s="24">
        <f>'Before Cyclic Twisting Test'!I20</f>
        <v>1.7320000000000001E-6</v>
      </c>
      <c r="H6" s="22">
        <f>'Before Cyclic Twisting Test'!L20</f>
        <v>3.585</v>
      </c>
      <c r="I6" s="22">
        <f>'Before Cyclic Twisting Test'!M20</f>
        <v>5.7000000000000005E-7</v>
      </c>
      <c r="J6" s="24">
        <f>'Before Cyclic Twisting Test'!N20</f>
        <v>1.5719999999999999E-6</v>
      </c>
    </row>
    <row r="7" spans="1:10" x14ac:dyDescent="0.25">
      <c r="A7" s="3" t="s">
        <v>19</v>
      </c>
      <c r="B7" s="22">
        <f>'Before Cyclic Twisting Test'!B28</f>
        <v>3.7769999999999997</v>
      </c>
      <c r="C7" s="22">
        <f>'Before Cyclic Twisting Test'!C28</f>
        <v>4.0400000000000002E-7</v>
      </c>
      <c r="D7" s="24">
        <f>'Before Cyclic Twisting Test'!D28</f>
        <v>1.3960000000000001E-6</v>
      </c>
      <c r="E7" s="22">
        <f>'Before Cyclic Twisting Test'!G28</f>
        <v>3.7610000000000001</v>
      </c>
      <c r="F7" s="22">
        <f>'Before Cyclic Twisting Test'!H28</f>
        <v>3.8200000000000006E-7</v>
      </c>
      <c r="G7" s="24">
        <f>'Before Cyclic Twisting Test'!I28</f>
        <v>1.356E-6</v>
      </c>
      <c r="H7" s="22">
        <f>'Before Cyclic Twisting Test'!L28</f>
        <v>3.601</v>
      </c>
      <c r="I7" s="22">
        <f>'Before Cyclic Twisting Test'!M28</f>
        <v>4.1400000000000003E-7</v>
      </c>
      <c r="J7" s="24">
        <f>'Before Cyclic Twisting Test'!N28</f>
        <v>1.3319999999999999E-6</v>
      </c>
    </row>
    <row r="8" spans="1:10" x14ac:dyDescent="0.25">
      <c r="A8" s="3" t="s">
        <v>23</v>
      </c>
      <c r="B8" s="22">
        <f>'Before Cyclic Twisting Test'!B40</f>
        <v>3.8889999999999993</v>
      </c>
      <c r="C8" s="22">
        <f>'Before Cyclic Twisting Test'!C40</f>
        <v>3.2399999999999994E-7</v>
      </c>
      <c r="D8" s="24">
        <f>'Before Cyclic Twisting Test'!D40</f>
        <v>1.48E-6</v>
      </c>
      <c r="E8" s="22">
        <f>'Before Cyclic Twisting Test'!G40</f>
        <v>3.8809999999999993</v>
      </c>
      <c r="F8" s="22">
        <f>'Before Cyclic Twisting Test'!H40</f>
        <v>3.2799999999999997E-7</v>
      </c>
      <c r="G8" s="24">
        <f>'Before Cyclic Twisting Test'!I40</f>
        <v>1.5199999999999998E-6</v>
      </c>
      <c r="H8" s="22">
        <f>'Before Cyclic Twisting Test'!L40</f>
        <v>3.7530000000000001</v>
      </c>
      <c r="I8" s="22">
        <f>'Before Cyclic Twisting Test'!M40</f>
        <v>1.156E-6</v>
      </c>
      <c r="J8" s="24">
        <f>'Before Cyclic Twisting Test'!N40</f>
        <v>5.2719999999999997E-6</v>
      </c>
    </row>
    <row r="9" spans="1:10" x14ac:dyDescent="0.25">
      <c r="A9" s="3" t="s">
        <v>20</v>
      </c>
      <c r="B9" s="22">
        <f>'Before Cyclic Twisting Test'!B46</f>
        <v>4.2649999999999997</v>
      </c>
      <c r="C9" s="22">
        <f>'Before Cyclic Twisting Test'!C46</f>
        <v>4.82E-7</v>
      </c>
      <c r="D9" s="24">
        <f>'Before Cyclic Twisting Test'!D46</f>
        <v>2.7E-6</v>
      </c>
      <c r="E9" s="22">
        <f>'Before Cyclic Twisting Test'!G46</f>
        <v>4.1210000000000004</v>
      </c>
      <c r="F9" s="22">
        <f>'Before Cyclic Twisting Test'!H46</f>
        <v>4.9800000000000014E-7</v>
      </c>
      <c r="G9" s="24">
        <f>'Before Cyclic Twisting Test'!I46</f>
        <v>2.2359999999999999E-6</v>
      </c>
      <c r="H9" s="22">
        <f>'Before Cyclic Twisting Test'!L46</f>
        <v>4.0010000000000003</v>
      </c>
      <c r="I9" s="22">
        <f>'Before Cyclic Twisting Test'!M46</f>
        <v>5.0600000000000011E-7</v>
      </c>
      <c r="J9" s="24">
        <f>'Before Cyclic Twisting Test'!N46</f>
        <v>2.0519999999999996E-6</v>
      </c>
    </row>
    <row r="10" spans="1:10" x14ac:dyDescent="0.25">
      <c r="A10" s="3" t="s">
        <v>21</v>
      </c>
      <c r="B10" s="22">
        <f>'Before Cyclic Twisting Test'!B52</f>
        <v>4.0410000000000004</v>
      </c>
      <c r="C10" s="22">
        <f>'Before Cyclic Twisting Test'!C52</f>
        <v>3.1800000000000002E-7</v>
      </c>
      <c r="D10" s="24">
        <f>'Before Cyclic Twisting Test'!D52</f>
        <v>5.1079999999999992E-6</v>
      </c>
      <c r="E10" s="22">
        <f>'Before Cyclic Twisting Test'!G52</f>
        <v>4.0010000000000003</v>
      </c>
      <c r="F10" s="22">
        <f>'Before Cyclic Twisting Test'!H52</f>
        <v>3.2400000000000004E-7</v>
      </c>
      <c r="G10" s="24">
        <f>'Before Cyclic Twisting Test'!I52</f>
        <v>5.0039999999999999E-6</v>
      </c>
      <c r="H10" s="22">
        <f>'Before Cyclic Twisting Test'!L52</f>
        <v>3.8490000000000002</v>
      </c>
      <c r="I10" s="22">
        <f>'Before Cyclic Twisting Test'!M52</f>
        <v>1.0799999999999998E-6</v>
      </c>
      <c r="J10" s="24">
        <f>'Before Cyclic Twisting Test'!N52</f>
        <v>1.27E-5</v>
      </c>
    </row>
    <row r="11" spans="1:10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</sheetData>
  <mergeCells count="4">
    <mergeCell ref="A2:A3"/>
    <mergeCell ref="H2:J2"/>
    <mergeCell ref="E2:G2"/>
    <mergeCell ref="B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A25" workbookViewId="0">
      <selection activeCell="D49" sqref="D49"/>
    </sheetView>
  </sheetViews>
  <sheetFormatPr defaultColWidth="11" defaultRowHeight="15.75" x14ac:dyDescent="0.25"/>
  <cols>
    <col min="3" max="4" width="11.125" bestFit="1" customWidth="1"/>
    <col min="5" max="6" width="16.875" bestFit="1" customWidth="1"/>
    <col min="8" max="9" width="11.125" bestFit="1" customWidth="1"/>
    <col min="10" max="11" width="16.875" bestFit="1" customWidth="1"/>
    <col min="12" max="12" width="12.125" bestFit="1" customWidth="1"/>
    <col min="13" max="14" width="11.125" bestFit="1" customWidth="1"/>
    <col min="15" max="15" width="16.875" bestFit="1" customWidth="1"/>
    <col min="16" max="16" width="14.125" customWidth="1"/>
  </cols>
  <sheetData>
    <row r="1" spans="1:16" x14ac:dyDescent="0.25">
      <c r="A1" s="25" t="s">
        <v>0</v>
      </c>
      <c r="B1" s="27" t="s">
        <v>1</v>
      </c>
      <c r="C1" s="28"/>
      <c r="D1" s="28"/>
      <c r="E1" s="28"/>
      <c r="F1" s="29"/>
      <c r="G1" s="30" t="s">
        <v>2</v>
      </c>
      <c r="H1" s="28"/>
      <c r="I1" s="28"/>
      <c r="J1" s="28"/>
      <c r="K1" s="29"/>
      <c r="L1" s="30" t="s">
        <v>3</v>
      </c>
      <c r="M1" s="28"/>
      <c r="N1" s="28"/>
      <c r="O1" s="28"/>
      <c r="P1" s="29"/>
    </row>
    <row r="2" spans="1:16" x14ac:dyDescent="0.25">
      <c r="A2" s="26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4</v>
      </c>
      <c r="M2" s="1" t="s">
        <v>5</v>
      </c>
      <c r="N2" s="1" t="s">
        <v>6</v>
      </c>
      <c r="O2" s="1" t="s">
        <v>7</v>
      </c>
      <c r="P2" s="2" t="s">
        <v>8</v>
      </c>
    </row>
    <row r="3" spans="1:16" x14ac:dyDescent="0.25">
      <c r="A3" s="3" t="s">
        <v>15</v>
      </c>
      <c r="B3" s="4">
        <v>4.4009999999999998</v>
      </c>
      <c r="C3" s="4">
        <f>1.2*10^-6</f>
        <v>1.1999999999999999E-6</v>
      </c>
      <c r="D3" s="4">
        <f>4.22*10^-6</f>
        <v>4.2199999999999994E-6</v>
      </c>
      <c r="E3" s="5">
        <f>(C3/5)/(6.8*10^3)</f>
        <v>3.5294117647058823E-11</v>
      </c>
      <c r="F3" s="6">
        <f>(D3/5)/(6.8*10^3)</f>
        <v>1.241176470588235E-10</v>
      </c>
      <c r="G3" s="4">
        <v>3.601</v>
      </c>
      <c r="H3" s="4">
        <f t="shared" ref="H3" si="0">450*10^-9</f>
        <v>4.5000000000000003E-7</v>
      </c>
      <c r="I3" s="4">
        <f>3.06*10^-6</f>
        <v>3.0599999999999999E-6</v>
      </c>
      <c r="J3" s="5">
        <f>(H3/5)/(6.8*10^3)</f>
        <v>1.323529411764706E-11</v>
      </c>
      <c r="K3" s="6">
        <f>(I3/5)/(6.8*10^3)</f>
        <v>8.9999999999999999E-11</v>
      </c>
      <c r="L3" s="4">
        <v>3.681</v>
      </c>
      <c r="M3" s="4">
        <f>1.38*10^-6</f>
        <v>1.3799999999999999E-6</v>
      </c>
      <c r="N3" s="4">
        <f>10.18*10^-6</f>
        <v>1.0179999999999999E-5</v>
      </c>
      <c r="O3" s="5">
        <f>(M3/5)/(6.8*10^3)</f>
        <v>4.0588235294117645E-11</v>
      </c>
      <c r="P3" s="7">
        <f>(N3/5)/(6.8*10^3)</f>
        <v>2.9941176470588229E-10</v>
      </c>
    </row>
    <row r="4" spans="1:16" x14ac:dyDescent="0.25">
      <c r="A4" s="3"/>
      <c r="B4" s="4">
        <v>4.4009999999999998</v>
      </c>
      <c r="C4" s="4">
        <f>1.05*10^-6</f>
        <v>1.0499999999999999E-6</v>
      </c>
      <c r="D4" s="4">
        <f>4.48*10^-6</f>
        <v>4.4800000000000003E-6</v>
      </c>
      <c r="E4" s="5">
        <f t="shared" ref="E4:F7" si="1">(C4/5)/(6.8*10^3)</f>
        <v>3.0882352941176468E-11</v>
      </c>
      <c r="F4" s="6">
        <f t="shared" si="1"/>
        <v>1.3176470588235295E-10</v>
      </c>
      <c r="G4" s="4">
        <v>4.1609999999999996</v>
      </c>
      <c r="H4" s="4">
        <f>630*10^-9</f>
        <v>6.3E-7</v>
      </c>
      <c r="I4" s="4">
        <f>3*10^-6</f>
        <v>3.0000000000000001E-6</v>
      </c>
      <c r="J4" s="5">
        <f t="shared" ref="J4:K7" si="2">(H4/5)/(6.8*10^3)</f>
        <v>1.852941176470588E-11</v>
      </c>
      <c r="K4" s="6">
        <f t="shared" si="2"/>
        <v>8.823529411764705E-11</v>
      </c>
      <c r="L4" s="4">
        <v>3.681</v>
      </c>
      <c r="M4" s="4">
        <f>1.75*10^-6</f>
        <v>1.75E-6</v>
      </c>
      <c r="N4" s="4">
        <f>10.76*10^-6</f>
        <v>1.0759999999999999E-5</v>
      </c>
      <c r="O4" s="5">
        <f t="shared" ref="O4:P7" si="3">(M4/5)/(6.8*10^3)</f>
        <v>5.1470588235294118E-11</v>
      </c>
      <c r="P4" s="6">
        <f t="shared" si="3"/>
        <v>3.1647058823529411E-10</v>
      </c>
    </row>
    <row r="5" spans="1:16" x14ac:dyDescent="0.25">
      <c r="A5" s="3"/>
      <c r="B5" s="4">
        <v>4.4009999999999998</v>
      </c>
      <c r="C5" s="4">
        <f>1.13*10^-6</f>
        <v>1.1299999999999998E-6</v>
      </c>
      <c r="D5" s="4">
        <f>4.06*10^-6</f>
        <v>4.0599999999999992E-6</v>
      </c>
      <c r="E5" s="5">
        <f t="shared" si="1"/>
        <v>3.3235294117647052E-11</v>
      </c>
      <c r="F5" s="6">
        <f t="shared" si="1"/>
        <v>1.1941176470588232E-10</v>
      </c>
      <c r="G5" s="4">
        <v>4.1609999999999996</v>
      </c>
      <c r="H5" s="4">
        <f>640*10^-9</f>
        <v>6.4000000000000001E-7</v>
      </c>
      <c r="I5" s="4">
        <f>3.58*10^-6</f>
        <v>3.58E-6</v>
      </c>
      <c r="J5" s="5">
        <f t="shared" si="2"/>
        <v>1.8823529411764707E-11</v>
      </c>
      <c r="K5" s="6">
        <f t="shared" si="2"/>
        <v>1.0529411764705883E-10</v>
      </c>
      <c r="L5" s="4">
        <v>3.681</v>
      </c>
      <c r="M5" s="4">
        <f>1.69*10^-6</f>
        <v>1.6899999999999999E-6</v>
      </c>
      <c r="N5" s="4">
        <f>10.56*10^-6</f>
        <v>1.0560000000000001E-5</v>
      </c>
      <c r="O5" s="5">
        <f t="shared" si="3"/>
        <v>4.9705882352941175E-11</v>
      </c>
      <c r="P5" s="6">
        <f t="shared" si="3"/>
        <v>3.1058823529411767E-10</v>
      </c>
    </row>
    <row r="6" spans="1:16" x14ac:dyDescent="0.25">
      <c r="A6" s="3"/>
      <c r="B6" s="4">
        <v>4.3209999999999997</v>
      </c>
      <c r="C6" s="4">
        <f>1.06*10^-6</f>
        <v>1.06E-6</v>
      </c>
      <c r="D6" s="4">
        <f>4.02*10^-6</f>
        <v>4.0199999999999996E-6</v>
      </c>
      <c r="E6" s="5">
        <f t="shared" si="1"/>
        <v>3.1176470588235295E-11</v>
      </c>
      <c r="F6" s="6">
        <f t="shared" si="1"/>
        <v>1.1823529411764706E-10</v>
      </c>
      <c r="G6" s="4">
        <v>4.0010000000000003</v>
      </c>
      <c r="H6" s="4">
        <f>630*10^-9</f>
        <v>6.3E-7</v>
      </c>
      <c r="I6" s="4">
        <f>3.44*10^-6</f>
        <v>3.4399999999999997E-6</v>
      </c>
      <c r="J6" s="5">
        <f t="shared" si="2"/>
        <v>1.852941176470588E-11</v>
      </c>
      <c r="K6" s="6">
        <f t="shared" si="2"/>
        <v>1.0117647058823529E-10</v>
      </c>
      <c r="L6" s="4">
        <v>3.681</v>
      </c>
      <c r="M6" s="4">
        <f>750*10^-9</f>
        <v>7.5000000000000002E-7</v>
      </c>
      <c r="N6" s="4">
        <f>11.46*10^-6</f>
        <v>1.146E-5</v>
      </c>
      <c r="O6" s="5">
        <f t="shared" si="3"/>
        <v>2.2058823529411762E-11</v>
      </c>
      <c r="P6" s="6">
        <f t="shared" si="3"/>
        <v>3.370588235294118E-10</v>
      </c>
    </row>
    <row r="7" spans="1:16" x14ac:dyDescent="0.25">
      <c r="A7" s="3"/>
      <c r="B7" s="4">
        <v>4.4009999999999998</v>
      </c>
      <c r="C7" s="4">
        <f>1.06*10^-6</f>
        <v>1.06E-6</v>
      </c>
      <c r="D7" s="4">
        <f>4.5*10^-6</f>
        <v>4.5000000000000001E-6</v>
      </c>
      <c r="E7" s="5">
        <f t="shared" si="1"/>
        <v>3.1176470588235295E-11</v>
      </c>
      <c r="F7" s="6">
        <f t="shared" si="1"/>
        <v>1.3235294117647061E-10</v>
      </c>
      <c r="G7" s="4">
        <f>240*10^-3</f>
        <v>0.24</v>
      </c>
      <c r="H7" s="4">
        <f>630*10^-9</f>
        <v>6.3E-7</v>
      </c>
      <c r="I7" s="4">
        <f t="shared" ref="I7" si="4">3.06*10^-6</f>
        <v>3.0599999999999999E-6</v>
      </c>
      <c r="J7" s="5">
        <f t="shared" si="2"/>
        <v>1.852941176470588E-11</v>
      </c>
      <c r="K7" s="6">
        <f t="shared" si="2"/>
        <v>8.9999999999999999E-11</v>
      </c>
      <c r="L7" s="4">
        <v>3.7610000000000001</v>
      </c>
      <c r="M7" s="4">
        <f>960*10^-9</f>
        <v>9.6000000000000013E-7</v>
      </c>
      <c r="N7" s="4">
        <f>9.48*10^-6</f>
        <v>9.4800000000000007E-6</v>
      </c>
      <c r="O7" s="5">
        <f t="shared" si="3"/>
        <v>2.8235294117647063E-11</v>
      </c>
      <c r="P7" s="6">
        <f t="shared" si="3"/>
        <v>2.7882352941176471E-10</v>
      </c>
    </row>
    <row r="8" spans="1:16" x14ac:dyDescent="0.25">
      <c r="A8" s="8" t="s">
        <v>9</v>
      </c>
      <c r="B8" s="8">
        <f>AVERAGE(B3:B7)</f>
        <v>4.3849999999999998</v>
      </c>
      <c r="C8" s="8">
        <f t="shared" ref="C8:P8" si="5">AVERAGE(C3:C7)</f>
        <v>1.1000000000000001E-6</v>
      </c>
      <c r="D8" s="8">
        <f t="shared" si="5"/>
        <v>4.2559999999999996E-6</v>
      </c>
      <c r="E8" s="8">
        <f t="shared" si="5"/>
        <v>3.2352941176470584E-11</v>
      </c>
      <c r="F8" s="8">
        <f t="shared" si="5"/>
        <v>1.2517647058823529E-10</v>
      </c>
      <c r="G8" s="8">
        <f t="shared" si="5"/>
        <v>3.2327999999999997</v>
      </c>
      <c r="H8" s="8">
        <f t="shared" si="5"/>
        <v>5.9599999999999999E-7</v>
      </c>
      <c r="I8" s="8">
        <f t="shared" si="5"/>
        <v>3.2279999999999994E-6</v>
      </c>
      <c r="J8" s="8">
        <f t="shared" si="5"/>
        <v>1.7529411764705883E-11</v>
      </c>
      <c r="K8" s="8">
        <f t="shared" si="5"/>
        <v>9.4941176470588237E-11</v>
      </c>
      <c r="L8" s="8">
        <f t="shared" si="5"/>
        <v>3.6970000000000001</v>
      </c>
      <c r="M8" s="8">
        <f t="shared" si="5"/>
        <v>1.3059999999999999E-6</v>
      </c>
      <c r="N8" s="8">
        <f t="shared" si="5"/>
        <v>1.0488000000000002E-5</v>
      </c>
      <c r="O8" s="8">
        <f t="shared" si="5"/>
        <v>3.8411764705882353E-11</v>
      </c>
      <c r="P8" s="8">
        <f t="shared" si="5"/>
        <v>3.0847058823529408E-10</v>
      </c>
    </row>
    <row r="9" spans="1:16" x14ac:dyDescent="0.25">
      <c r="A9" s="3" t="s">
        <v>14</v>
      </c>
      <c r="B9" s="4">
        <f>640*10^-3</f>
        <v>0.64</v>
      </c>
      <c r="C9" s="4">
        <f>9.65*10^-3</f>
        <v>9.6500000000000006E-3</v>
      </c>
      <c r="D9" s="4">
        <f>9.7*10^-3</f>
        <v>9.7000000000000003E-3</v>
      </c>
      <c r="E9" s="5">
        <f>(C9/5)/(6.8*10^3)</f>
        <v>2.8382352941176474E-7</v>
      </c>
      <c r="F9" s="6">
        <f>(D9/5)/(6.8*10^3)</f>
        <v>2.8529411764705883E-7</v>
      </c>
      <c r="G9" s="4">
        <f>620*10^-3</f>
        <v>0.62</v>
      </c>
      <c r="H9" s="4">
        <f>9.65*10^-3</f>
        <v>9.6500000000000006E-3</v>
      </c>
      <c r="I9" s="4">
        <f>9.6*10^-3</f>
        <v>9.5999999999999992E-3</v>
      </c>
      <c r="J9" s="5">
        <f>(H9/5)/(6.8*10^3)</f>
        <v>2.8382352941176474E-7</v>
      </c>
      <c r="K9" s="6">
        <f>(I9/5)/(6.8*10^3)</f>
        <v>2.8235294117647054E-7</v>
      </c>
      <c r="L9" s="4">
        <f>2.321*10^-6</f>
        <v>2.3209999999999999E-6</v>
      </c>
      <c r="M9">
        <f>6.1*10^-3</f>
        <v>6.0999999999999995E-3</v>
      </c>
      <c r="N9" s="4">
        <f>6*10^-3</f>
        <v>6.0000000000000001E-3</v>
      </c>
      <c r="O9" s="5">
        <f>(D9/5)/(6.8*10^3)</f>
        <v>2.8529411764705883E-7</v>
      </c>
      <c r="P9" s="6">
        <f>(N9/5)/(6.8*10^3)</f>
        <v>1.7647058823529414E-7</v>
      </c>
    </row>
    <row r="10" spans="1:16" x14ac:dyDescent="0.25">
      <c r="A10" s="3"/>
      <c r="B10" s="4">
        <f>600*10^-3</f>
        <v>0.6</v>
      </c>
      <c r="C10" s="4">
        <f>9.5*10^-3</f>
        <v>9.4999999999999998E-3</v>
      </c>
      <c r="D10" s="4">
        <f>9.5*10^-3</f>
        <v>9.4999999999999998E-3</v>
      </c>
      <c r="E10" s="5">
        <f t="shared" ref="E10:E13" si="6">(C10/5)/(6.8*10^3)</f>
        <v>2.7941176470588235E-7</v>
      </c>
      <c r="F10" s="6">
        <f t="shared" ref="F10:F13" si="7">(D10/5)/(6.8*10^3)</f>
        <v>2.7941176470588235E-7</v>
      </c>
      <c r="G10" s="4">
        <f>640*10^-3</f>
        <v>0.64</v>
      </c>
      <c r="H10" s="4">
        <f>9.6*10^-3</f>
        <v>9.5999999999999992E-3</v>
      </c>
      <c r="I10" s="4">
        <f t="shared" ref="I10:I12" si="8">9.6*10^-3</f>
        <v>9.5999999999999992E-3</v>
      </c>
      <c r="J10" s="5">
        <f t="shared" ref="J10:K13" si="9">(H10/5)/(6.8*10^3)</f>
        <v>2.8235294117647054E-7</v>
      </c>
      <c r="K10" s="6">
        <f t="shared" si="9"/>
        <v>2.8235294117647054E-7</v>
      </c>
      <c r="L10" s="4">
        <f>2.361*10^-6</f>
        <v>2.3609999999999999E-6</v>
      </c>
      <c r="M10">
        <f>6*10^-3</f>
        <v>6.0000000000000001E-3</v>
      </c>
      <c r="N10" s="4">
        <f>5.9*10^-3</f>
        <v>5.9000000000000007E-3</v>
      </c>
      <c r="O10" s="5">
        <f>(D10/5)/(6.8*10^3)</f>
        <v>2.7941176470588235E-7</v>
      </c>
      <c r="P10" s="6">
        <f t="shared" ref="P10:P13" si="10">(N10/5)/(6.8*10^3)</f>
        <v>1.735294117647059E-7</v>
      </c>
    </row>
    <row r="11" spans="1:16" x14ac:dyDescent="0.25">
      <c r="A11" s="3"/>
      <c r="B11" s="4">
        <f>600*10^-3</f>
        <v>0.6</v>
      </c>
      <c r="C11" s="4">
        <f>9.55*10^-3</f>
        <v>9.5500000000000012E-3</v>
      </c>
      <c r="D11" s="4">
        <f>9.5*10^-3</f>
        <v>9.4999999999999998E-3</v>
      </c>
      <c r="E11" s="5">
        <f t="shared" si="6"/>
        <v>2.808823529411765E-7</v>
      </c>
      <c r="F11" s="6">
        <f t="shared" si="7"/>
        <v>2.7941176470588235E-7</v>
      </c>
      <c r="G11" s="4">
        <f>620*10^-3</f>
        <v>0.62</v>
      </c>
      <c r="H11" s="4">
        <f t="shared" ref="H11:H12" si="11">9.6*10^-3</f>
        <v>9.5999999999999992E-3</v>
      </c>
      <c r="I11" s="4">
        <f>9.5*10^-3</f>
        <v>9.4999999999999998E-3</v>
      </c>
      <c r="J11" s="5">
        <f t="shared" si="9"/>
        <v>2.8235294117647054E-7</v>
      </c>
      <c r="K11" s="6">
        <f t="shared" si="9"/>
        <v>2.7941176470588235E-7</v>
      </c>
      <c r="L11" s="4">
        <f>2.361*10^-6</f>
        <v>2.3609999999999999E-6</v>
      </c>
      <c r="M11">
        <f>6*10^-3</f>
        <v>6.0000000000000001E-3</v>
      </c>
      <c r="N11" s="4">
        <f t="shared" ref="N11" si="12">6*10^-3</f>
        <v>6.0000000000000001E-3</v>
      </c>
      <c r="O11" s="5">
        <f>(D11/5)/(6.8*10^3)</f>
        <v>2.7941176470588235E-7</v>
      </c>
      <c r="P11" s="6">
        <f t="shared" si="10"/>
        <v>1.7647058823529414E-7</v>
      </c>
    </row>
    <row r="12" spans="1:16" x14ac:dyDescent="0.25">
      <c r="A12" s="3"/>
      <c r="B12" s="4">
        <f>660*10^-3</f>
        <v>0.66</v>
      </c>
      <c r="C12" s="4">
        <f>9.7*10^-3</f>
        <v>9.7000000000000003E-3</v>
      </c>
      <c r="D12" s="4">
        <f>9.6*10^-3</f>
        <v>9.5999999999999992E-3</v>
      </c>
      <c r="E12" s="5">
        <f t="shared" si="6"/>
        <v>2.8529411764705883E-7</v>
      </c>
      <c r="F12" s="6">
        <f t="shared" si="7"/>
        <v>2.8235294117647054E-7</v>
      </c>
      <c r="G12" s="4">
        <f>640*10^-3</f>
        <v>0.64</v>
      </c>
      <c r="H12" s="4">
        <f t="shared" si="11"/>
        <v>9.5999999999999992E-3</v>
      </c>
      <c r="I12" s="4">
        <f t="shared" si="8"/>
        <v>9.5999999999999992E-3</v>
      </c>
      <c r="J12" s="5">
        <f t="shared" si="9"/>
        <v>2.8235294117647054E-7</v>
      </c>
      <c r="K12" s="6">
        <f t="shared" si="9"/>
        <v>2.8235294117647054E-7</v>
      </c>
      <c r="L12" s="4">
        <f>2.401*10^-6</f>
        <v>2.4009999999999995E-6</v>
      </c>
      <c r="M12">
        <f>5.95*10^-3</f>
        <v>5.9500000000000004E-3</v>
      </c>
      <c r="N12" s="4">
        <f>5.9*10^-3</f>
        <v>5.9000000000000007E-3</v>
      </c>
      <c r="O12" s="5">
        <f>(D12/5)/(6.8*10^3)</f>
        <v>2.8235294117647054E-7</v>
      </c>
      <c r="P12" s="6">
        <f t="shared" si="10"/>
        <v>1.735294117647059E-7</v>
      </c>
    </row>
    <row r="13" spans="1:16" x14ac:dyDescent="0.25">
      <c r="A13" s="9"/>
      <c r="B13" s="4">
        <f>640*10^-3</f>
        <v>0.64</v>
      </c>
      <c r="C13" s="4">
        <f>9.6*10^-3</f>
        <v>9.5999999999999992E-3</v>
      </c>
      <c r="D13" s="4">
        <f>9.5*10^-3</f>
        <v>9.4999999999999998E-3</v>
      </c>
      <c r="E13" s="5">
        <f t="shared" si="6"/>
        <v>2.8235294117647054E-7</v>
      </c>
      <c r="F13" s="6">
        <f t="shared" si="7"/>
        <v>2.7941176470588235E-7</v>
      </c>
      <c r="G13" s="4">
        <f t="shared" ref="G13" si="13">620*10^-3</f>
        <v>0.62</v>
      </c>
      <c r="H13" s="4">
        <f>9.55*10^-3</f>
        <v>9.5500000000000012E-3</v>
      </c>
      <c r="I13" s="4">
        <f>9.7*10^-3</f>
        <v>9.7000000000000003E-3</v>
      </c>
      <c r="J13" s="5">
        <f t="shared" si="9"/>
        <v>2.808823529411765E-7</v>
      </c>
      <c r="K13" s="6">
        <f t="shared" si="9"/>
        <v>2.8529411764705883E-7</v>
      </c>
      <c r="L13" s="4">
        <f>2.461*10^-6</f>
        <v>2.4609999999999998E-6</v>
      </c>
      <c r="M13">
        <f>5.95*10^-3</f>
        <v>5.9500000000000004E-3</v>
      </c>
      <c r="N13" s="4">
        <f>5.9*10^-3</f>
        <v>5.9000000000000007E-3</v>
      </c>
      <c r="O13" s="5">
        <f>(D13/5)/(6.8*10^3)</f>
        <v>2.7941176470588235E-7</v>
      </c>
      <c r="P13" s="6">
        <f t="shared" si="10"/>
        <v>1.735294117647059E-7</v>
      </c>
    </row>
    <row r="14" spans="1:16" x14ac:dyDescent="0.25">
      <c r="A14" s="10" t="s">
        <v>9</v>
      </c>
      <c r="B14" s="8">
        <f>AVERAGE(B9:B13)</f>
        <v>0.628</v>
      </c>
      <c r="C14" s="8">
        <f t="shared" ref="C14:F14" si="14">AVERAGE(C9:C13)</f>
        <v>9.6000000000000009E-3</v>
      </c>
      <c r="D14" s="8">
        <f>AVERAGE(D9:D13)</f>
        <v>9.5600000000000008E-3</v>
      </c>
      <c r="E14" s="8">
        <f t="shared" si="14"/>
        <v>2.8235294117647059E-7</v>
      </c>
      <c r="F14" s="8">
        <f t="shared" si="14"/>
        <v>2.8117647058823525E-7</v>
      </c>
      <c r="G14" s="8">
        <f>AVERAGE(G9:G13)</f>
        <v>0.628</v>
      </c>
      <c r="H14" s="8">
        <f t="shared" ref="H14:K14" si="15">AVERAGE(H9:H13)</f>
        <v>9.6000000000000009E-3</v>
      </c>
      <c r="I14" s="8">
        <f t="shared" si="15"/>
        <v>9.5999999999999992E-3</v>
      </c>
      <c r="J14" s="8">
        <f t="shared" si="15"/>
        <v>2.8235294117647059E-7</v>
      </c>
      <c r="K14" s="8">
        <f t="shared" si="15"/>
        <v>2.8235294117647059E-7</v>
      </c>
      <c r="L14" s="8">
        <f>AVERAGE(L9:L13)</f>
        <v>2.3809999999999997E-6</v>
      </c>
      <c r="M14" s="8">
        <f>AVERAGE(D9:D13)</f>
        <v>9.5600000000000008E-3</v>
      </c>
      <c r="N14" s="8">
        <f t="shared" ref="N14:P14" si="16">AVERAGE(N9:N13)</f>
        <v>5.9400000000000008E-3</v>
      </c>
      <c r="O14" s="8">
        <f t="shared" si="16"/>
        <v>2.8117647058823525E-7</v>
      </c>
      <c r="P14" s="8">
        <f t="shared" si="16"/>
        <v>1.7470588235294118E-7</v>
      </c>
    </row>
    <row r="15" spans="1:16" x14ac:dyDescent="0.25">
      <c r="A15" s="3" t="s">
        <v>13</v>
      </c>
      <c r="B15" s="4">
        <f>440*10^-3</f>
        <v>0.44</v>
      </c>
      <c r="C15" s="4">
        <f>3.75*10^-3</f>
        <v>3.7499999999999999E-3</v>
      </c>
      <c r="D15" s="4">
        <f>3.9*10^-3</f>
        <v>3.8999999999999998E-3</v>
      </c>
      <c r="E15" s="5">
        <f>(C15/5)/(6.8*10^3)</f>
        <v>1.1029411764705883E-7</v>
      </c>
      <c r="F15" s="6">
        <f>(D15/5)/(6.8*10^3)</f>
        <v>1.1470588235294118E-7</v>
      </c>
      <c r="G15" s="4">
        <f>460*10^-3</f>
        <v>0.46</v>
      </c>
      <c r="H15" s="4">
        <f>8.55*10^-3</f>
        <v>8.5500000000000003E-3</v>
      </c>
      <c r="I15" s="4">
        <f>9.5*10^-3</f>
        <v>9.4999999999999998E-3</v>
      </c>
      <c r="J15" s="5">
        <f>(H15/5)/(6.8*10^3)</f>
        <v>2.5147058823529414E-7</v>
      </c>
      <c r="K15" s="6">
        <f>(I15/5)/(6.8*10^3)</f>
        <v>2.7941176470588235E-7</v>
      </c>
      <c r="L15" s="4">
        <f>2.201</f>
        <v>2.2010000000000001</v>
      </c>
      <c r="M15" s="4">
        <f>5.95*10^-3</f>
        <v>5.9500000000000004E-3</v>
      </c>
      <c r="N15" s="4">
        <f>6.8*10^-3</f>
        <v>6.7999999999999996E-3</v>
      </c>
      <c r="O15" s="5">
        <f>(M15/5)/(6.8*10^3)</f>
        <v>1.7500000000000002E-7</v>
      </c>
      <c r="P15" s="6">
        <f>(N15/5)/(6.8*10^3)</f>
        <v>1.9999999999999999E-7</v>
      </c>
    </row>
    <row r="16" spans="1:16" x14ac:dyDescent="0.25">
      <c r="A16" s="3"/>
      <c r="B16" s="4">
        <f t="shared" ref="B16:B19" si="17">440*10^-3</f>
        <v>0.44</v>
      </c>
      <c r="C16" s="4">
        <f>6.15*10^-3</f>
        <v>6.1500000000000001E-3</v>
      </c>
      <c r="D16" s="4">
        <f>6.7*10^-3</f>
        <v>6.7000000000000002E-3</v>
      </c>
      <c r="E16" s="5">
        <f t="shared" ref="E16:F19" si="18">(C16/5)/(6.8*10^3)</f>
        <v>1.8088235294117647E-7</v>
      </c>
      <c r="F16" s="6">
        <f t="shared" si="18"/>
        <v>1.9705882352941178E-7</v>
      </c>
      <c r="G16" s="4">
        <f>440*10^-3</f>
        <v>0.44</v>
      </c>
      <c r="H16" s="4">
        <f>8.6*10^-3</f>
        <v>8.6E-3</v>
      </c>
      <c r="I16" s="4">
        <f>7.4*10^-3</f>
        <v>7.4000000000000003E-3</v>
      </c>
      <c r="J16" s="5">
        <f t="shared" ref="J16:K19" si="19">(H16/5)/(6.8*10^3)</f>
        <v>2.5294117647058823E-7</v>
      </c>
      <c r="K16" s="6">
        <f t="shared" si="19"/>
        <v>2.1764705882352941E-7</v>
      </c>
      <c r="L16" s="4">
        <f t="shared" ref="L16:L19" si="20">2.201</f>
        <v>2.2010000000000001</v>
      </c>
      <c r="M16" s="4">
        <f t="shared" ref="M16" si="21">5.95*10^-3</f>
        <v>5.9500000000000004E-3</v>
      </c>
      <c r="N16" s="4">
        <f>6.1*10^-3</f>
        <v>6.0999999999999995E-3</v>
      </c>
      <c r="O16" s="5">
        <f t="shared" ref="O16:P19" si="22">(M16/5)/(6.8*10^3)</f>
        <v>1.7500000000000002E-7</v>
      </c>
      <c r="P16" s="6">
        <f t="shared" si="22"/>
        <v>1.7941176470588235E-7</v>
      </c>
    </row>
    <row r="17" spans="1:16" x14ac:dyDescent="0.25">
      <c r="A17" s="3"/>
      <c r="B17" s="4">
        <f t="shared" si="17"/>
        <v>0.44</v>
      </c>
      <c r="C17" s="4">
        <f t="shared" ref="C17" si="23">3.75*10^-3</f>
        <v>3.7499999999999999E-3</v>
      </c>
      <c r="D17" s="4">
        <f>3.9*10^-3</f>
        <v>3.8999999999999998E-3</v>
      </c>
      <c r="E17" s="5">
        <f t="shared" si="18"/>
        <v>1.1029411764705883E-7</v>
      </c>
      <c r="F17" s="6">
        <f t="shared" si="18"/>
        <v>1.1470588235294118E-7</v>
      </c>
      <c r="G17" s="4">
        <f t="shared" ref="G17:G19" si="24">460*10^-3</f>
        <v>0.46</v>
      </c>
      <c r="H17" s="4">
        <f>8.7*10^-3</f>
        <v>8.6999999999999994E-3</v>
      </c>
      <c r="I17" s="4">
        <f>9.6*10^-3</f>
        <v>9.5999999999999992E-3</v>
      </c>
      <c r="J17" s="5">
        <f t="shared" si="19"/>
        <v>2.5588235294117642E-7</v>
      </c>
      <c r="K17" s="6">
        <f t="shared" si="19"/>
        <v>2.8235294117647054E-7</v>
      </c>
      <c r="L17" s="4">
        <f>2.241</f>
        <v>2.2410000000000001</v>
      </c>
      <c r="M17" s="4">
        <f>6.25*10^-3</f>
        <v>6.2500000000000003E-3</v>
      </c>
      <c r="N17" s="4">
        <f>6.9*10^-3</f>
        <v>6.9000000000000008E-3</v>
      </c>
      <c r="O17" s="5">
        <f t="shared" si="22"/>
        <v>1.8382352941176472E-7</v>
      </c>
      <c r="P17" s="6">
        <f t="shared" si="22"/>
        <v>2.0294117647058826E-7</v>
      </c>
    </row>
    <row r="18" spans="1:16" x14ac:dyDescent="0.25">
      <c r="A18" s="3"/>
      <c r="B18" s="4">
        <f t="shared" si="17"/>
        <v>0.44</v>
      </c>
      <c r="C18" s="4">
        <f>6.15*10^-3</f>
        <v>6.1500000000000001E-3</v>
      </c>
      <c r="D18" s="4">
        <f>6.7*10^-3</f>
        <v>6.7000000000000002E-3</v>
      </c>
      <c r="E18" s="5">
        <f t="shared" si="18"/>
        <v>1.8088235294117647E-7</v>
      </c>
      <c r="F18" s="6">
        <f t="shared" si="18"/>
        <v>1.9705882352941178E-7</v>
      </c>
      <c r="G18" s="4">
        <f t="shared" si="24"/>
        <v>0.46</v>
      </c>
      <c r="H18" s="4">
        <f>8.65*10^-3</f>
        <v>8.6499999999999997E-3</v>
      </c>
      <c r="I18" s="4">
        <f>9.8*10^-3</f>
        <v>9.8000000000000014E-3</v>
      </c>
      <c r="J18" s="5">
        <f t="shared" si="19"/>
        <v>2.5441176470588232E-7</v>
      </c>
      <c r="K18" s="6">
        <f t="shared" si="19"/>
        <v>2.8823529411764713E-7</v>
      </c>
      <c r="L18" s="4">
        <f t="shared" si="20"/>
        <v>2.2010000000000001</v>
      </c>
      <c r="M18" s="4">
        <f>5.85*10^-3</f>
        <v>5.8500000000000002E-3</v>
      </c>
      <c r="N18" s="4">
        <f>6*10^-3</f>
        <v>6.0000000000000001E-3</v>
      </c>
      <c r="O18" s="5">
        <f t="shared" si="22"/>
        <v>1.7205882352941178E-7</v>
      </c>
      <c r="P18" s="6">
        <f t="shared" si="22"/>
        <v>1.7647058823529414E-7</v>
      </c>
    </row>
    <row r="19" spans="1:16" x14ac:dyDescent="0.25">
      <c r="A19" s="9"/>
      <c r="B19" s="4">
        <f t="shared" si="17"/>
        <v>0.44</v>
      </c>
      <c r="C19" s="4">
        <f>5*10^-3</f>
        <v>5.0000000000000001E-3</v>
      </c>
      <c r="D19" s="4">
        <f>9.6*10^-3</f>
        <v>9.5999999999999992E-3</v>
      </c>
      <c r="E19" s="5">
        <f t="shared" si="18"/>
        <v>1.4705882352941178E-7</v>
      </c>
      <c r="F19" s="6">
        <f t="shared" si="18"/>
        <v>2.8235294117647054E-7</v>
      </c>
      <c r="G19" s="4">
        <f t="shared" si="24"/>
        <v>0.46</v>
      </c>
      <c r="H19" s="4">
        <f>8.55*10^-3</f>
        <v>8.5500000000000003E-3</v>
      </c>
      <c r="I19" s="4">
        <f>9.6*10^-3</f>
        <v>9.5999999999999992E-3</v>
      </c>
      <c r="J19" s="5">
        <f t="shared" si="19"/>
        <v>2.5147058823529414E-7</v>
      </c>
      <c r="K19" s="6">
        <f t="shared" si="19"/>
        <v>2.8235294117647054E-7</v>
      </c>
      <c r="L19" s="4">
        <f t="shared" si="20"/>
        <v>2.2010000000000001</v>
      </c>
      <c r="M19" s="4">
        <f>5.9*10^-3</f>
        <v>5.9000000000000007E-3</v>
      </c>
      <c r="N19" s="4">
        <f>6.1*10^-3</f>
        <v>6.0999999999999995E-3</v>
      </c>
      <c r="O19" s="5">
        <f t="shared" si="22"/>
        <v>1.735294117647059E-7</v>
      </c>
      <c r="P19" s="6">
        <f t="shared" si="22"/>
        <v>1.7941176470588235E-7</v>
      </c>
    </row>
    <row r="20" spans="1:16" x14ac:dyDescent="0.25">
      <c r="A20" s="10" t="s">
        <v>9</v>
      </c>
      <c r="B20" s="11">
        <f>AVERAGE(B15:B19)</f>
        <v>0.44000000000000006</v>
      </c>
      <c r="C20" s="8">
        <f t="shared" ref="C20:P20" si="25">AVERAGE(C15:C19)</f>
        <v>4.96E-3</v>
      </c>
      <c r="D20" s="8">
        <f t="shared" si="25"/>
        <v>6.1600000000000005E-3</v>
      </c>
      <c r="E20" s="8">
        <f t="shared" si="25"/>
        <v>1.4588235294117647E-7</v>
      </c>
      <c r="F20" s="8">
        <f t="shared" si="25"/>
        <v>1.8117647058823528E-7</v>
      </c>
      <c r="G20" s="8">
        <f t="shared" si="25"/>
        <v>0.45600000000000007</v>
      </c>
      <c r="H20" s="8">
        <f t="shared" si="25"/>
        <v>8.6099999999999996E-3</v>
      </c>
      <c r="I20" s="11">
        <f t="shared" si="25"/>
        <v>9.1799999999999989E-3</v>
      </c>
      <c r="J20" s="8">
        <f t="shared" si="25"/>
        <v>2.5323529411764709E-7</v>
      </c>
      <c r="K20" s="8">
        <f t="shared" si="25"/>
        <v>2.7000000000000001E-7</v>
      </c>
      <c r="L20" s="11">
        <f t="shared" si="25"/>
        <v>2.2090000000000005</v>
      </c>
      <c r="M20" s="8">
        <f t="shared" si="25"/>
        <v>5.9800000000000009E-3</v>
      </c>
      <c r="N20" s="11">
        <f t="shared" si="25"/>
        <v>6.3799999999999994E-3</v>
      </c>
      <c r="O20" s="8">
        <f t="shared" si="25"/>
        <v>1.7588235294117647E-7</v>
      </c>
      <c r="P20" s="8">
        <f t="shared" si="25"/>
        <v>1.8764705882352944E-7</v>
      </c>
    </row>
    <row r="21" spans="1:16" x14ac:dyDescent="0.25">
      <c r="A21" s="25" t="s">
        <v>0</v>
      </c>
      <c r="B21" s="27" t="s">
        <v>1</v>
      </c>
      <c r="C21" s="28"/>
      <c r="D21" s="28"/>
      <c r="E21" s="28"/>
      <c r="F21" s="29"/>
      <c r="G21" s="30" t="s">
        <v>2</v>
      </c>
      <c r="H21" s="28"/>
      <c r="I21" s="28"/>
      <c r="J21" s="28"/>
      <c r="K21" s="29"/>
      <c r="L21" s="30" t="s">
        <v>3</v>
      </c>
      <c r="M21" s="28"/>
      <c r="N21" s="28"/>
      <c r="O21" s="28"/>
      <c r="P21" s="29"/>
    </row>
    <row r="22" spans="1:16" x14ac:dyDescent="0.25">
      <c r="A22" s="26"/>
      <c r="B22" s="1" t="s">
        <v>4</v>
      </c>
      <c r="C22" s="1" t="s">
        <v>5</v>
      </c>
      <c r="D22" s="1" t="s">
        <v>6</v>
      </c>
      <c r="E22" s="1" t="s">
        <v>7</v>
      </c>
      <c r="F22" s="1" t="s">
        <v>8</v>
      </c>
      <c r="G22" s="1" t="s">
        <v>4</v>
      </c>
      <c r="H22" s="1" t="s">
        <v>5</v>
      </c>
      <c r="I22" s="1" t="s">
        <v>6</v>
      </c>
      <c r="J22" s="1" t="s">
        <v>7</v>
      </c>
      <c r="K22" s="1" t="s">
        <v>8</v>
      </c>
      <c r="L22" s="1" t="s">
        <v>4</v>
      </c>
      <c r="M22" s="1" t="s">
        <v>5</v>
      </c>
      <c r="N22" s="1" t="s">
        <v>6</v>
      </c>
      <c r="O22" s="1" t="s">
        <v>7</v>
      </c>
      <c r="P22" s="2" t="s">
        <v>8</v>
      </c>
    </row>
    <row r="23" spans="1:16" x14ac:dyDescent="0.25">
      <c r="A23" s="3" t="s">
        <v>12</v>
      </c>
      <c r="B23" s="4">
        <f>280*10^-3</f>
        <v>0.28000000000000003</v>
      </c>
      <c r="C23" s="4">
        <f>6.15*10^-3</f>
        <v>6.1500000000000001E-3</v>
      </c>
      <c r="D23" s="4">
        <f>5.2*10^-3</f>
        <v>5.2000000000000006E-3</v>
      </c>
      <c r="E23" s="5">
        <f>(C23/5)/(6.8*10^3)</f>
        <v>1.8088235294117647E-7</v>
      </c>
      <c r="F23" s="6">
        <f>(D23/5)/(6.8*10^3)</f>
        <v>1.5294117647058826E-7</v>
      </c>
      <c r="G23" s="4">
        <f>380*10^-3</f>
        <v>0.38</v>
      </c>
      <c r="H23" s="4">
        <f>6.4*10^-3</f>
        <v>6.4000000000000003E-3</v>
      </c>
      <c r="I23" s="4">
        <f>5.3*10^-3</f>
        <v>5.3E-3</v>
      </c>
      <c r="J23" s="5">
        <f>(H23/5)/(6.8*10^3)</f>
        <v>1.8823529411764708E-7</v>
      </c>
      <c r="K23" s="6">
        <f>(I23/5)/(6.8*10^3)</f>
        <v>1.5588235294117648E-7</v>
      </c>
      <c r="L23" s="4">
        <f>680*10^-3</f>
        <v>0.68</v>
      </c>
      <c r="M23" s="4">
        <f>2.65*10^-3</f>
        <v>2.65E-3</v>
      </c>
      <c r="N23" s="4">
        <f>2.4*10^-3</f>
        <v>2.3999999999999998E-3</v>
      </c>
      <c r="O23" s="5">
        <f>(M23/5)/(6.8*10^3)</f>
        <v>7.7941176470588238E-8</v>
      </c>
      <c r="P23" s="7">
        <f>(N23/5)/(6.8*10^3)</f>
        <v>7.0588235294117635E-8</v>
      </c>
    </row>
    <row r="24" spans="1:16" x14ac:dyDescent="0.25">
      <c r="A24" s="3"/>
      <c r="B24" s="4">
        <f t="shared" ref="B24:B27" si="26">280*10^-3</f>
        <v>0.28000000000000003</v>
      </c>
      <c r="C24" s="4">
        <f>5.9*10^-3</f>
        <v>5.9000000000000007E-3</v>
      </c>
      <c r="D24" s="4">
        <f t="shared" ref="D24:D25" si="27">5.2*10^-3</f>
        <v>5.2000000000000006E-3</v>
      </c>
      <c r="E24" s="5">
        <f t="shared" ref="E24:F27" si="28">(C24/5)/(6.8*10^3)</f>
        <v>1.735294117647059E-7</v>
      </c>
      <c r="F24" s="6">
        <f t="shared" si="28"/>
        <v>1.5294117647058826E-7</v>
      </c>
      <c r="G24" s="4">
        <f>400*10^-3</f>
        <v>0.4</v>
      </c>
      <c r="H24" s="4">
        <f>6.35*10^-3</f>
        <v>6.3499999999999997E-3</v>
      </c>
      <c r="I24" s="4">
        <f>5.1*10^-3</f>
        <v>5.0999999999999995E-3</v>
      </c>
      <c r="J24" s="5">
        <f t="shared" ref="J24:K27" si="29">(H24/5)/(6.8*10^3)</f>
        <v>1.8676470588235293E-7</v>
      </c>
      <c r="K24" s="6">
        <f t="shared" si="29"/>
        <v>1.4999999999999997E-7</v>
      </c>
      <c r="L24" s="4">
        <f>700*10^-3</f>
        <v>0.70000000000000007</v>
      </c>
      <c r="M24" s="4">
        <f>2.6*10^-3</f>
        <v>2.6000000000000003E-3</v>
      </c>
      <c r="N24" s="4">
        <f>1.9*10^-3</f>
        <v>1.9E-3</v>
      </c>
      <c r="O24" s="5">
        <f t="shared" ref="O24:P27" si="30">(M24/5)/(6.8*10^3)</f>
        <v>7.6470588235294131E-8</v>
      </c>
      <c r="P24" s="6">
        <f t="shared" si="30"/>
        <v>5.5882352941176474E-8</v>
      </c>
    </row>
    <row r="25" spans="1:16" x14ac:dyDescent="0.25">
      <c r="A25" s="3"/>
      <c r="B25" s="4">
        <f t="shared" si="26"/>
        <v>0.28000000000000003</v>
      </c>
      <c r="C25" s="4">
        <f>6*10^-3</f>
        <v>6.0000000000000001E-3</v>
      </c>
      <c r="D25" s="4">
        <f t="shared" si="27"/>
        <v>5.2000000000000006E-3</v>
      </c>
      <c r="E25" s="5">
        <f t="shared" si="28"/>
        <v>1.7647058823529414E-7</v>
      </c>
      <c r="F25" s="6">
        <f t="shared" si="28"/>
        <v>1.5294117647058826E-7</v>
      </c>
      <c r="G25" s="4">
        <f t="shared" ref="G25:G26" si="31">400*10^-3</f>
        <v>0.4</v>
      </c>
      <c r="H25" s="4">
        <f>6.45*10^-3</f>
        <v>6.45E-3</v>
      </c>
      <c r="I25" s="4">
        <f t="shared" ref="I25:I26" si="32">5.1*10^-3</f>
        <v>5.0999999999999995E-3</v>
      </c>
      <c r="J25" s="5">
        <f t="shared" si="29"/>
        <v>1.8970588235294117E-7</v>
      </c>
      <c r="K25" s="6">
        <f t="shared" si="29"/>
        <v>1.4999999999999997E-7</v>
      </c>
      <c r="L25" s="4">
        <f>660*10^-3</f>
        <v>0.66</v>
      </c>
      <c r="M25" s="4">
        <f>2.75*10^-3</f>
        <v>2.7499999999999998E-3</v>
      </c>
      <c r="N25" s="4">
        <f>2.3*10^-3</f>
        <v>2.3E-3</v>
      </c>
      <c r="O25" s="5">
        <f t="shared" si="30"/>
        <v>8.0882352941176453E-8</v>
      </c>
      <c r="P25" s="6">
        <f t="shared" si="30"/>
        <v>6.764705882352942E-8</v>
      </c>
    </row>
    <row r="26" spans="1:16" x14ac:dyDescent="0.25">
      <c r="A26" s="3"/>
      <c r="B26" s="4">
        <f>300*10^-3</f>
        <v>0.3</v>
      </c>
      <c r="C26" s="4">
        <f>6*10^-3</f>
        <v>6.0000000000000001E-3</v>
      </c>
      <c r="D26" s="4">
        <f>5.1*10^-3</f>
        <v>5.0999999999999995E-3</v>
      </c>
      <c r="E26" s="5">
        <f t="shared" si="28"/>
        <v>1.7647058823529414E-7</v>
      </c>
      <c r="F26" s="6">
        <f t="shared" si="28"/>
        <v>1.4999999999999997E-7</v>
      </c>
      <c r="G26" s="4">
        <f t="shared" si="31"/>
        <v>0.4</v>
      </c>
      <c r="H26" s="4">
        <f>6.25*10^-3</f>
        <v>6.2500000000000003E-3</v>
      </c>
      <c r="I26" s="4">
        <f t="shared" si="32"/>
        <v>5.0999999999999995E-3</v>
      </c>
      <c r="J26" s="5">
        <f t="shared" si="29"/>
        <v>1.8382352941176472E-7</v>
      </c>
      <c r="K26" s="6">
        <f t="shared" si="29"/>
        <v>1.4999999999999997E-7</v>
      </c>
      <c r="L26" s="4">
        <f>680*10^-3</f>
        <v>0.68</v>
      </c>
      <c r="M26" s="4">
        <f>2.6*10^-3</f>
        <v>2.6000000000000003E-3</v>
      </c>
      <c r="N26" s="4">
        <f>2.3*10^-3</f>
        <v>2.3E-3</v>
      </c>
      <c r="O26" s="5">
        <f t="shared" si="30"/>
        <v>7.6470588235294131E-8</v>
      </c>
      <c r="P26" s="6">
        <f t="shared" si="30"/>
        <v>6.764705882352942E-8</v>
      </c>
    </row>
    <row r="27" spans="1:16" x14ac:dyDescent="0.25">
      <c r="A27" s="3"/>
      <c r="B27" s="4">
        <f t="shared" si="26"/>
        <v>0.28000000000000003</v>
      </c>
      <c r="C27" s="4">
        <f>6.15*10^-3</f>
        <v>6.1500000000000001E-3</v>
      </c>
      <c r="D27" s="4">
        <f>4.9*10^-3</f>
        <v>4.9000000000000007E-3</v>
      </c>
      <c r="E27" s="5">
        <f t="shared" si="28"/>
        <v>1.8088235294117647E-7</v>
      </c>
      <c r="F27" s="6">
        <f t="shared" si="28"/>
        <v>1.4411764705882356E-7</v>
      </c>
      <c r="G27" s="4">
        <f>340*10^-3</f>
        <v>0.34</v>
      </c>
      <c r="H27" s="4">
        <f>6.15*10^-3</f>
        <v>6.1500000000000001E-3</v>
      </c>
      <c r="I27" s="4">
        <f>5*10^-3</f>
        <v>5.0000000000000001E-3</v>
      </c>
      <c r="J27" s="5">
        <f t="shared" si="29"/>
        <v>1.8088235294117647E-7</v>
      </c>
      <c r="K27" s="6">
        <f t="shared" si="29"/>
        <v>1.4705882352941178E-7</v>
      </c>
      <c r="L27" s="4">
        <f t="shared" ref="L27" si="33">680*10^-3</f>
        <v>0.68</v>
      </c>
      <c r="M27" s="4">
        <f t="shared" ref="M27" si="34">2.65*10^-3</f>
        <v>2.65E-3</v>
      </c>
      <c r="N27" s="4">
        <f t="shared" ref="N27" si="35">2.4*10^-3</f>
        <v>2.3999999999999998E-3</v>
      </c>
      <c r="O27" s="5">
        <f t="shared" si="30"/>
        <v>7.7941176470588238E-8</v>
      </c>
      <c r="P27" s="6">
        <f t="shared" si="30"/>
        <v>7.0588235294117635E-8</v>
      </c>
    </row>
    <row r="28" spans="1:16" x14ac:dyDescent="0.25">
      <c r="A28" s="8" t="s">
        <v>9</v>
      </c>
      <c r="B28" s="8">
        <f>AVERAGE(B23:B27)</f>
        <v>0.28400000000000003</v>
      </c>
      <c r="C28" s="8">
        <f t="shared" ref="C28:P28" si="36">AVERAGE(C23:C27)</f>
        <v>6.0400000000000002E-3</v>
      </c>
      <c r="D28" s="8">
        <f t="shared" si="36"/>
        <v>5.1200000000000013E-3</v>
      </c>
      <c r="E28" s="8">
        <f t="shared" si="36"/>
        <v>1.7764705882352945E-7</v>
      </c>
      <c r="F28" s="8">
        <f t="shared" si="36"/>
        <v>1.5058823529411766E-7</v>
      </c>
      <c r="G28" s="8">
        <f t="shared" si="36"/>
        <v>0.38400000000000001</v>
      </c>
      <c r="H28" s="8">
        <f t="shared" si="36"/>
        <v>6.320000000000001E-3</v>
      </c>
      <c r="I28" s="8">
        <f t="shared" si="36"/>
        <v>5.1200000000000004E-3</v>
      </c>
      <c r="J28" s="8">
        <f t="shared" si="36"/>
        <v>1.8588235294117648E-7</v>
      </c>
      <c r="K28" s="8">
        <f t="shared" si="36"/>
        <v>1.5058823529411761E-7</v>
      </c>
      <c r="L28" s="8">
        <f t="shared" si="36"/>
        <v>0.68</v>
      </c>
      <c r="M28" s="8">
        <f t="shared" si="36"/>
        <v>2.65E-3</v>
      </c>
      <c r="N28" s="8">
        <f t="shared" si="36"/>
        <v>2.2599999999999999E-3</v>
      </c>
      <c r="O28" s="8">
        <f t="shared" si="36"/>
        <v>7.7941176470588238E-8</v>
      </c>
      <c r="P28" s="8">
        <f t="shared" si="36"/>
        <v>6.647058823529412E-8</v>
      </c>
    </row>
    <row r="29" spans="1:16" x14ac:dyDescent="0.25">
      <c r="A29" s="3" t="s">
        <v>11</v>
      </c>
      <c r="B29" s="4">
        <f>18*10^-3</f>
        <v>1.8000000000000002E-2</v>
      </c>
      <c r="C29" s="4">
        <f>109.4*10^-3</f>
        <v>0.10940000000000001</v>
      </c>
      <c r="D29" s="4">
        <f>78.9*10^-3</f>
        <v>7.8900000000000012E-2</v>
      </c>
      <c r="E29" s="5">
        <f>(C29/5)/(6.8*10^3)</f>
        <v>3.21764705882353E-6</v>
      </c>
      <c r="F29" s="6">
        <f>(D29/5)/(6.8*10^3)</f>
        <v>2.3205882352941179E-6</v>
      </c>
      <c r="G29" s="4">
        <f>36*10^-3</f>
        <v>3.6000000000000004E-2</v>
      </c>
      <c r="H29" s="4">
        <f>78.9*10^-3</f>
        <v>7.8900000000000012E-2</v>
      </c>
      <c r="I29" s="4">
        <f>1.82*10^-6</f>
        <v>1.8199999999999999E-6</v>
      </c>
      <c r="J29" s="5">
        <f>(H29/5)/(6.8*10^3)</f>
        <v>2.3205882352941179E-6</v>
      </c>
      <c r="K29" s="6">
        <f>(I29/5)/(6.8*10^3)</f>
        <v>5.3529411764705881E-11</v>
      </c>
      <c r="L29" s="4">
        <f>92*10^-3</f>
        <v>9.1999999999999998E-2</v>
      </c>
      <c r="M29" s="4">
        <f>48.8*10^-3</f>
        <v>4.8799999999999996E-2</v>
      </c>
      <c r="N29" s="4">
        <f>11*10^-3</f>
        <v>1.0999999999999999E-2</v>
      </c>
      <c r="O29" s="5">
        <f>(M29/5)/(6.8*10^3)</f>
        <v>1.4352941176470588E-6</v>
      </c>
      <c r="P29" s="6">
        <f>(N29/5)/(6.8*10^3)</f>
        <v>3.2352941176470581E-7</v>
      </c>
    </row>
    <row r="30" spans="1:16" x14ac:dyDescent="0.25">
      <c r="A30" s="3"/>
      <c r="B30" s="4">
        <f>20*10^-3</f>
        <v>0.02</v>
      </c>
      <c r="C30" s="4">
        <f>301.5*10^-3</f>
        <v>0.30149999999999999</v>
      </c>
      <c r="D30" s="4">
        <f>1.581*10^-6</f>
        <v>1.581E-6</v>
      </c>
      <c r="E30" s="5">
        <f t="shared" ref="E30:F33" si="37">(C30/5)/(6.8*10^3)</f>
        <v>8.8676470588235293E-6</v>
      </c>
      <c r="F30" s="6">
        <f t="shared" si="37"/>
        <v>4.6500000000000001E-11</v>
      </c>
      <c r="G30" s="4">
        <f>22*10^-3</f>
        <v>2.1999999999999999E-2</v>
      </c>
      <c r="H30" s="4">
        <f>194*10^-3</f>
        <v>0.19400000000000001</v>
      </c>
      <c r="I30" s="4">
        <f>1.52*10^-6</f>
        <v>1.5199999999999998E-6</v>
      </c>
      <c r="J30" s="5">
        <f t="shared" ref="J30:K33" si="38">(H30/5)/(6.8*10^3)</f>
        <v>5.7058823529411766E-6</v>
      </c>
      <c r="K30" s="6">
        <f t="shared" si="38"/>
        <v>4.4705882352941173E-11</v>
      </c>
      <c r="L30" s="4">
        <f>112*10^-3</f>
        <v>0.112</v>
      </c>
      <c r="M30" s="4">
        <f>67.7*10^-3</f>
        <v>6.770000000000001E-2</v>
      </c>
      <c r="N30" s="4">
        <f>49.2*10^-3</f>
        <v>4.9200000000000001E-2</v>
      </c>
      <c r="O30" s="5">
        <f t="shared" ref="O30:P33" si="39">(M30/5)/(6.8*10^3)</f>
        <v>1.9911764705882357E-6</v>
      </c>
      <c r="P30" s="6">
        <f t="shared" si="39"/>
        <v>1.4470588235294118E-6</v>
      </c>
    </row>
    <row r="31" spans="1:16" x14ac:dyDescent="0.25">
      <c r="A31" s="3"/>
      <c r="B31" s="4">
        <f>24*10^-3</f>
        <v>2.4E-2</v>
      </c>
      <c r="C31" s="4">
        <f>141*10^-3</f>
        <v>0.14100000000000001</v>
      </c>
      <c r="D31" s="4">
        <f>1.56*10^-6</f>
        <v>1.5599999999999999E-6</v>
      </c>
      <c r="E31" s="5">
        <f t="shared" si="37"/>
        <v>4.1470588235294124E-6</v>
      </c>
      <c r="F31" s="6">
        <f t="shared" si="37"/>
        <v>4.5882352941176468E-11</v>
      </c>
      <c r="G31" s="4">
        <f t="shared" ref="G31:G33" si="40">22*10^-3</f>
        <v>2.1999999999999999E-2</v>
      </c>
      <c r="H31" s="4">
        <f t="shared" ref="H31" si="41">194*10^-3</f>
        <v>0.19400000000000001</v>
      </c>
      <c r="I31" s="4">
        <f>1.54*10^-6</f>
        <v>1.5399999999999999E-6</v>
      </c>
      <c r="J31" s="5">
        <f t="shared" si="38"/>
        <v>5.7058823529411766E-6</v>
      </c>
      <c r="K31" s="6">
        <f t="shared" si="38"/>
        <v>4.5294117647058814E-11</v>
      </c>
      <c r="L31" s="4">
        <f>92*10^-3</f>
        <v>9.1999999999999998E-2</v>
      </c>
      <c r="M31" s="4">
        <f>99.7*10^-3</f>
        <v>9.9700000000000011E-2</v>
      </c>
      <c r="N31" s="4">
        <f>27.8*10^-3</f>
        <v>2.7800000000000002E-2</v>
      </c>
      <c r="O31" s="5">
        <f t="shared" si="39"/>
        <v>2.9323529411764712E-6</v>
      </c>
      <c r="P31" s="6">
        <f t="shared" si="39"/>
        <v>8.1764705882352952E-7</v>
      </c>
    </row>
    <row r="32" spans="1:16" x14ac:dyDescent="0.25">
      <c r="A32" s="3"/>
      <c r="B32" s="4">
        <f>28*10^-3</f>
        <v>2.8000000000000001E-2</v>
      </c>
      <c r="C32" s="4">
        <f>179*10^-3</f>
        <v>0.17899999999999999</v>
      </c>
      <c r="D32" s="4">
        <f>1.6*10^-6</f>
        <v>1.5999999999999999E-6</v>
      </c>
      <c r="E32" s="5">
        <f t="shared" si="37"/>
        <v>5.2647058823529405E-6</v>
      </c>
      <c r="F32" s="6">
        <f t="shared" si="37"/>
        <v>4.7058823529411763E-11</v>
      </c>
      <c r="G32" s="4">
        <f>52*10^-3</f>
        <v>5.2000000000000005E-2</v>
      </c>
      <c r="H32" s="4">
        <f>208*10^-3</f>
        <v>0.20800000000000002</v>
      </c>
      <c r="I32" s="4">
        <f>1.6*10^-6</f>
        <v>1.5999999999999999E-6</v>
      </c>
      <c r="J32" s="5">
        <f t="shared" si="38"/>
        <v>6.1176470588235302E-6</v>
      </c>
      <c r="K32" s="6">
        <f t="shared" si="38"/>
        <v>4.7058823529411763E-11</v>
      </c>
      <c r="L32" s="4">
        <f>92*10^-3</f>
        <v>9.1999999999999998E-2</v>
      </c>
      <c r="M32" s="4">
        <f>99.7*10^-3</f>
        <v>9.9700000000000011E-2</v>
      </c>
      <c r="N32" s="4">
        <f>27.8*10^-3</f>
        <v>2.7800000000000002E-2</v>
      </c>
      <c r="O32" s="5">
        <f t="shared" si="39"/>
        <v>2.9323529411764712E-6</v>
      </c>
      <c r="P32" s="6">
        <f t="shared" si="39"/>
        <v>8.1764705882352952E-7</v>
      </c>
    </row>
    <row r="33" spans="1:16" x14ac:dyDescent="0.25">
      <c r="A33" s="9"/>
      <c r="B33" s="4">
        <f>36*10^-3</f>
        <v>3.6000000000000004E-2</v>
      </c>
      <c r="C33" s="4">
        <f>78.9*10^-3</f>
        <v>7.8900000000000012E-2</v>
      </c>
      <c r="D33" s="4">
        <f>1.68*10^-6</f>
        <v>1.6799999999999998E-6</v>
      </c>
      <c r="E33" s="5">
        <f t="shared" si="37"/>
        <v>2.3205882352941179E-6</v>
      </c>
      <c r="F33" s="6">
        <f t="shared" si="37"/>
        <v>4.9411764705882341E-11</v>
      </c>
      <c r="G33" s="4">
        <f t="shared" si="40"/>
        <v>2.1999999999999999E-2</v>
      </c>
      <c r="H33" s="4">
        <f>130*10^-3</f>
        <v>0.13</v>
      </c>
      <c r="I33" s="4">
        <f>1.82*10^-6</f>
        <v>1.8199999999999999E-6</v>
      </c>
      <c r="J33" s="5">
        <f t="shared" si="38"/>
        <v>3.8235294117647064E-6</v>
      </c>
      <c r="K33" s="6">
        <f t="shared" si="38"/>
        <v>5.3529411764705881E-11</v>
      </c>
      <c r="L33" s="4">
        <f>80*10^-3</f>
        <v>0.08</v>
      </c>
      <c r="M33" s="4">
        <f>19.4*10^-3</f>
        <v>1.9400000000000001E-2</v>
      </c>
      <c r="N33" s="4">
        <f>88.2*10^-3</f>
        <v>8.8200000000000001E-2</v>
      </c>
      <c r="O33" s="5">
        <f t="shared" si="39"/>
        <v>5.7058823529411766E-7</v>
      </c>
      <c r="P33" s="6">
        <f t="shared" si="39"/>
        <v>2.5941176470588235E-6</v>
      </c>
    </row>
    <row r="34" spans="1:16" x14ac:dyDescent="0.25">
      <c r="A34" s="10" t="s">
        <v>9</v>
      </c>
      <c r="B34" s="11">
        <f>AVERAGE(B29:B33)</f>
        <v>2.52E-2</v>
      </c>
      <c r="C34" s="8">
        <f t="shared" ref="C34:P34" si="42">AVERAGE(C29:C33)</f>
        <v>0.16196000000000002</v>
      </c>
      <c r="D34" s="8">
        <f t="shared" si="42"/>
        <v>1.5781284200000002E-2</v>
      </c>
      <c r="E34" s="8">
        <f t="shared" si="42"/>
        <v>4.7635294117647059E-6</v>
      </c>
      <c r="F34" s="8">
        <f t="shared" si="42"/>
        <v>4.6415541764705884E-7</v>
      </c>
      <c r="G34" s="8">
        <f t="shared" si="42"/>
        <v>3.0800000000000001E-2</v>
      </c>
      <c r="H34" s="8">
        <f t="shared" si="42"/>
        <v>0.16098000000000001</v>
      </c>
      <c r="I34" s="11">
        <f t="shared" si="42"/>
        <v>1.66E-6</v>
      </c>
      <c r="J34" s="8">
        <f t="shared" si="42"/>
        <v>4.7347058823529414E-6</v>
      </c>
      <c r="K34" s="8">
        <f t="shared" si="42"/>
        <v>4.8823529411764706E-11</v>
      </c>
      <c r="L34" s="11">
        <f t="shared" si="42"/>
        <v>9.3600000000000003E-2</v>
      </c>
      <c r="M34" s="8">
        <f t="shared" si="42"/>
        <v>6.7060000000000008E-2</v>
      </c>
      <c r="N34" s="11">
        <f t="shared" si="42"/>
        <v>4.0800000000000003E-2</v>
      </c>
      <c r="O34" s="8">
        <f t="shared" si="42"/>
        <v>1.9723529411764711E-6</v>
      </c>
      <c r="P34" s="8">
        <f t="shared" si="42"/>
        <v>1.1999999999999999E-6</v>
      </c>
    </row>
    <row r="35" spans="1:16" x14ac:dyDescent="0.25">
      <c r="A35" s="3" t="s">
        <v>16</v>
      </c>
      <c r="B35" s="4">
        <f>4.081</f>
        <v>4.0810000000000004</v>
      </c>
      <c r="C35" s="4">
        <f>820*10^-9</f>
        <v>8.2000000000000009E-7</v>
      </c>
      <c r="D35" s="4">
        <f>2.58*10^-6</f>
        <v>2.5799999999999999E-6</v>
      </c>
      <c r="E35" s="5">
        <f>(C35/5)/(6.8*10^3)</f>
        <v>2.4117647058823533E-11</v>
      </c>
      <c r="F35" s="6">
        <f>(D35/5)/(6.8*10^3)</f>
        <v>7.5882352941176468E-11</v>
      </c>
      <c r="G35" s="4">
        <v>4.1609999999999996</v>
      </c>
      <c r="H35" s="4">
        <f>770*10^-9</f>
        <v>7.7000000000000004E-7</v>
      </c>
      <c r="I35" s="4">
        <f>2.02*10^-6</f>
        <v>2.0199999999999997E-6</v>
      </c>
      <c r="J35" s="5">
        <f>(H35/5)/(6.8*10^3)</f>
        <v>2.2647058823529413E-11</v>
      </c>
      <c r="K35" s="6">
        <f>(I35/5)/(6.8*10^3)</f>
        <v>5.9411764705882345E-11</v>
      </c>
      <c r="L35" s="4">
        <v>3.0409999999999999</v>
      </c>
      <c r="M35" s="4">
        <f>1.42*10^-6</f>
        <v>1.42E-6</v>
      </c>
      <c r="N35" s="4">
        <f>10.62*10^-6</f>
        <v>1.0619999999999998E-5</v>
      </c>
      <c r="O35" s="5">
        <f>(M35/5)/(6.8*10^3)</f>
        <v>4.1764705882352941E-11</v>
      </c>
      <c r="P35" s="6">
        <f>(N35/5)/(6.8*10^3)</f>
        <v>3.1235294117647053E-10</v>
      </c>
    </row>
    <row r="36" spans="1:16" x14ac:dyDescent="0.25">
      <c r="A36" s="3"/>
      <c r="B36" s="4">
        <f t="shared" ref="B36:B39" si="43">4.081</f>
        <v>4.0810000000000004</v>
      </c>
      <c r="C36" s="4">
        <f>800*10^-9</f>
        <v>8.0000000000000007E-7</v>
      </c>
      <c r="D36" s="4">
        <f>2.46*10^-6</f>
        <v>2.4599999999999997E-6</v>
      </c>
      <c r="E36" s="5">
        <f t="shared" ref="E36:E39" si="44">(C36/5)/(6.8*10^3)</f>
        <v>2.3529411764705882E-11</v>
      </c>
      <c r="F36" s="6">
        <f t="shared" ref="F36:F39" si="45">(D36/5)/(6.8*10^3)</f>
        <v>7.2352941176470569E-11</v>
      </c>
      <c r="G36" s="4">
        <v>4.1609999999999996</v>
      </c>
      <c r="H36" s="4">
        <f>790*10^-9</f>
        <v>7.9000000000000006E-7</v>
      </c>
      <c r="I36" s="4">
        <f>2.7*10^-6</f>
        <v>2.7E-6</v>
      </c>
      <c r="J36" s="5">
        <f t="shared" ref="J36:J39" si="46">(H36/5)/(6.8*10^3)</f>
        <v>2.3235294117647061E-11</v>
      </c>
      <c r="K36" s="6">
        <f t="shared" ref="K36:K39" si="47">(I36/5)/(6.8*10^3)</f>
        <v>7.9411764705882354E-11</v>
      </c>
      <c r="L36" s="4">
        <v>3.0409999999999999</v>
      </c>
      <c r="M36" s="4">
        <f>1.31*10^-6</f>
        <v>1.31E-6</v>
      </c>
      <c r="N36" s="4">
        <f>10.9*10^-6</f>
        <v>1.0900000000000001E-5</v>
      </c>
      <c r="O36" s="5">
        <f t="shared" ref="O36:O39" si="48">(M36/5)/(6.8*10^3)</f>
        <v>3.8529411764705882E-11</v>
      </c>
      <c r="P36" s="6">
        <f t="shared" ref="P36:P39" si="49">(N36/5)/(6.8*10^3)</f>
        <v>3.2058823529411769E-10</v>
      </c>
    </row>
    <row r="37" spans="1:16" x14ac:dyDescent="0.25">
      <c r="A37" s="3"/>
      <c r="B37" s="4">
        <f t="shared" si="43"/>
        <v>4.0810000000000004</v>
      </c>
      <c r="C37" s="4">
        <f>830*10^-9</f>
        <v>8.300000000000001E-7</v>
      </c>
      <c r="D37" s="4">
        <f>2.82*10^-6</f>
        <v>2.8199999999999997E-6</v>
      </c>
      <c r="E37" s="5">
        <f t="shared" si="44"/>
        <v>2.4411764705882356E-11</v>
      </c>
      <c r="F37" s="6">
        <f t="shared" si="45"/>
        <v>8.2941176470588227E-11</v>
      </c>
      <c r="G37" s="4">
        <v>4.0810000000000004</v>
      </c>
      <c r="H37" s="4">
        <f>760*10^-9</f>
        <v>7.6000000000000003E-7</v>
      </c>
      <c r="I37" s="4">
        <f>2.96*10^-6</f>
        <v>2.96E-6</v>
      </c>
      <c r="J37" s="5">
        <f t="shared" si="46"/>
        <v>2.235294117647059E-11</v>
      </c>
      <c r="K37" s="6">
        <f t="shared" si="47"/>
        <v>8.7058823529411767E-11</v>
      </c>
      <c r="L37" s="4">
        <v>3.0409999999999999</v>
      </c>
      <c r="M37" s="4">
        <f>1.43*10^-6</f>
        <v>1.4299999999999999E-6</v>
      </c>
      <c r="N37" s="4">
        <f>10.74*10^-6</f>
        <v>1.0740000000000001E-5</v>
      </c>
      <c r="O37" s="5">
        <f t="shared" si="48"/>
        <v>4.2058823529411761E-11</v>
      </c>
      <c r="P37" s="6">
        <f t="shared" si="49"/>
        <v>3.1588235294117645E-10</v>
      </c>
    </row>
    <row r="38" spans="1:16" x14ac:dyDescent="0.25">
      <c r="A38" s="3"/>
      <c r="B38" s="4">
        <f t="shared" si="43"/>
        <v>4.0810000000000004</v>
      </c>
      <c r="C38" s="4">
        <f>790*10^-9</f>
        <v>7.9000000000000006E-7</v>
      </c>
      <c r="D38" s="4">
        <f>3.06*10^-6</f>
        <v>3.0599999999999999E-6</v>
      </c>
      <c r="E38" s="5">
        <f t="shared" si="44"/>
        <v>2.3235294117647061E-11</v>
      </c>
      <c r="F38" s="6">
        <f t="shared" si="45"/>
        <v>8.9999999999999999E-11</v>
      </c>
      <c r="G38" s="4">
        <v>4.0810000000000004</v>
      </c>
      <c r="H38" s="4">
        <f>800*10^-9</f>
        <v>8.0000000000000007E-7</v>
      </c>
      <c r="I38" s="4">
        <f>2.62*10^-6</f>
        <v>2.6199999999999999E-6</v>
      </c>
      <c r="J38" s="5">
        <f t="shared" si="46"/>
        <v>2.3529411764705882E-11</v>
      </c>
      <c r="K38" s="6">
        <f t="shared" si="47"/>
        <v>7.7058823529411763E-11</v>
      </c>
      <c r="L38" s="4">
        <v>3.121</v>
      </c>
      <c r="M38" s="4">
        <f>1.47*10^-6</f>
        <v>1.4699999999999999E-6</v>
      </c>
      <c r="N38" s="4">
        <f>10.7*10^-6</f>
        <v>1.0699999999999999E-5</v>
      </c>
      <c r="O38" s="5">
        <f t="shared" si="48"/>
        <v>4.323529411764705E-11</v>
      </c>
      <c r="P38" s="6">
        <f t="shared" si="49"/>
        <v>3.1470588235294114E-10</v>
      </c>
    </row>
    <row r="39" spans="1:16" x14ac:dyDescent="0.25">
      <c r="A39" s="9"/>
      <c r="B39" s="4">
        <f t="shared" si="43"/>
        <v>4.0810000000000004</v>
      </c>
      <c r="C39" s="4">
        <f>790*10^-9</f>
        <v>7.9000000000000006E-7</v>
      </c>
      <c r="D39" s="4">
        <f>3.06*10^-6</f>
        <v>3.0599999999999999E-6</v>
      </c>
      <c r="E39" s="5">
        <f t="shared" si="44"/>
        <v>2.3235294117647061E-11</v>
      </c>
      <c r="F39" s="6">
        <f t="shared" si="45"/>
        <v>8.9999999999999999E-11</v>
      </c>
      <c r="G39" s="4">
        <v>4.1609999999999996</v>
      </c>
      <c r="H39" s="4">
        <f>860*10^-9</f>
        <v>8.6000000000000002E-7</v>
      </c>
      <c r="I39" s="4">
        <f>3.7*10^-6</f>
        <v>3.7000000000000002E-6</v>
      </c>
      <c r="J39" s="5">
        <f t="shared" si="46"/>
        <v>2.5294117647058825E-11</v>
      </c>
      <c r="K39" s="6">
        <f t="shared" si="47"/>
        <v>1.0882352941176471E-10</v>
      </c>
      <c r="L39" s="4">
        <v>3.0409999999999999</v>
      </c>
      <c r="M39" s="4">
        <f>1.58*10^-6</f>
        <v>1.5799999999999999E-6</v>
      </c>
      <c r="N39" s="4">
        <f>9.76*10^-6</f>
        <v>9.7599999999999997E-6</v>
      </c>
      <c r="O39" s="5">
        <f t="shared" si="48"/>
        <v>4.6470588235294116E-11</v>
      </c>
      <c r="P39" s="6">
        <f t="shared" si="49"/>
        <v>2.8705882352941176E-10</v>
      </c>
    </row>
    <row r="40" spans="1:16" x14ac:dyDescent="0.25">
      <c r="A40" s="10" t="s">
        <v>9</v>
      </c>
      <c r="B40" s="8">
        <f>AVERAGE(B35:B39)</f>
        <v>4.0810000000000004</v>
      </c>
      <c r="C40" s="8">
        <f t="shared" ref="C40:F40" si="50">AVERAGE(C35:C39)</f>
        <v>8.060000000000001E-7</v>
      </c>
      <c r="D40" s="8">
        <f t="shared" si="50"/>
        <v>2.7959999999999996E-6</v>
      </c>
      <c r="E40" s="8">
        <f t="shared" si="50"/>
        <v>2.3705882352941177E-11</v>
      </c>
      <c r="F40" s="8">
        <f t="shared" si="50"/>
        <v>8.2235294117647045E-11</v>
      </c>
      <c r="G40" s="8">
        <f>AVERAGE(G35:G39)</f>
        <v>4.1289999999999996</v>
      </c>
      <c r="H40" s="8">
        <f t="shared" ref="H40:K40" si="51">AVERAGE(H35:H39)</f>
        <v>7.9599999999999998E-7</v>
      </c>
      <c r="I40" s="8">
        <f t="shared" si="51"/>
        <v>2.7999999999999999E-6</v>
      </c>
      <c r="J40" s="8">
        <f t="shared" si="51"/>
        <v>2.3411764705882357E-11</v>
      </c>
      <c r="K40" s="8">
        <f t="shared" si="51"/>
        <v>8.2352941176470586E-11</v>
      </c>
      <c r="L40" s="8">
        <f>AVERAGE(L35:L39)</f>
        <v>3.0569999999999999</v>
      </c>
      <c r="M40" s="8">
        <f t="shared" ref="M40:P40" si="52">AVERAGE(M35:M39)</f>
        <v>1.4420000000000001E-6</v>
      </c>
      <c r="N40" s="8">
        <f t="shared" si="52"/>
        <v>1.0543999999999999E-5</v>
      </c>
      <c r="O40" s="8">
        <f t="shared" si="52"/>
        <v>4.2411764705882352E-11</v>
      </c>
      <c r="P40" s="8">
        <f t="shared" si="52"/>
        <v>3.101176470588235E-10</v>
      </c>
    </row>
    <row r="41" spans="1:16" x14ac:dyDescent="0.25">
      <c r="A41" s="3" t="s">
        <v>21</v>
      </c>
      <c r="B41" s="4">
        <f>3.921</f>
        <v>3.9209999999999998</v>
      </c>
      <c r="C41" s="4">
        <f>840*10^-9</f>
        <v>8.4E-7</v>
      </c>
      <c r="D41" s="4">
        <f>2.14*10^-6</f>
        <v>2.1399999999999998E-6</v>
      </c>
      <c r="E41" s="5">
        <f>(C41/5)/(6.8*10^3)</f>
        <v>2.4705882352941177E-11</v>
      </c>
      <c r="F41" s="6">
        <f>(D41/5)/(6.8*10^3)</f>
        <v>6.2941176470588232E-11</v>
      </c>
      <c r="G41" s="4">
        <f>3.921</f>
        <v>3.9209999999999998</v>
      </c>
      <c r="H41" s="4">
        <f>1.11*10^-6</f>
        <v>1.11E-6</v>
      </c>
      <c r="I41" s="4">
        <f>2.06*10^-6</f>
        <v>2.0599999999999998E-6</v>
      </c>
      <c r="J41" s="5">
        <f>(H41/5)/(6.8*10^3)</f>
        <v>3.2647058823529411E-11</v>
      </c>
      <c r="K41" s="6">
        <f>(I41/5)/(6.8*10^3)</f>
        <v>6.0588235294117641E-11</v>
      </c>
      <c r="L41" s="4">
        <f>3.401</f>
        <v>3.4009999999999998</v>
      </c>
      <c r="M41" s="4">
        <f>2.06*10^-6</f>
        <v>2.0599999999999998E-6</v>
      </c>
      <c r="N41" s="4">
        <f>9.06*10^-6</f>
        <v>9.0599999999999997E-6</v>
      </c>
      <c r="O41" s="5">
        <f>(M41/5)/(6.8*10^3)</f>
        <v>6.0588235294117641E-11</v>
      </c>
      <c r="P41" s="6">
        <f>(N41/5)/(6.8*10^3)</f>
        <v>2.6647058823529412E-10</v>
      </c>
    </row>
    <row r="42" spans="1:16" x14ac:dyDescent="0.25">
      <c r="A42" s="3"/>
      <c r="B42" s="4">
        <f t="shared" ref="B42:B45" si="53">3.921</f>
        <v>3.9209999999999998</v>
      </c>
      <c r="C42" s="4">
        <f>830*10^-9</f>
        <v>8.300000000000001E-7</v>
      </c>
      <c r="D42" s="4">
        <f>2.16*10^-6</f>
        <v>2.1600000000000001E-6</v>
      </c>
      <c r="E42" s="5">
        <f t="shared" ref="E42:E45" si="54">(C42/5)/(6.8*10^3)</f>
        <v>2.4411764705882356E-11</v>
      </c>
      <c r="F42" s="6">
        <f t="shared" ref="F42:F45" si="55">(D42/5)/(6.8*10^3)</f>
        <v>6.3529411764705886E-11</v>
      </c>
      <c r="G42" s="4">
        <f>3.881</f>
        <v>3.8809999999999998</v>
      </c>
      <c r="H42" s="4">
        <f>1.05*10^-6</f>
        <v>1.0499999999999999E-6</v>
      </c>
      <c r="I42" s="4">
        <f>2.02*10^-6</f>
        <v>2.0199999999999997E-6</v>
      </c>
      <c r="J42" s="5">
        <f t="shared" ref="J42:J45" si="56">(H42/5)/(6.8*10^3)</f>
        <v>3.0882352941176468E-11</v>
      </c>
      <c r="K42" s="6">
        <f t="shared" ref="K42:K45" si="57">(I42/5)/(6.8*10^3)</f>
        <v>5.9411764705882345E-11</v>
      </c>
      <c r="L42" s="4">
        <f>3.441</f>
        <v>3.4409999999999998</v>
      </c>
      <c r="M42" s="4">
        <f>2.02*10^-6</f>
        <v>2.0199999999999997E-6</v>
      </c>
      <c r="N42" s="4">
        <f>8.62*10^-6</f>
        <v>8.6199999999999988E-6</v>
      </c>
      <c r="O42" s="5">
        <f t="shared" ref="O42:O45" si="58">(M42/5)/(6.8*10^3)</f>
        <v>5.9411764705882345E-11</v>
      </c>
      <c r="P42" s="6">
        <f t="shared" ref="P42:P45" si="59">(N42/5)/(6.8*10^3)</f>
        <v>2.5352941176470584E-10</v>
      </c>
    </row>
    <row r="43" spans="1:16" x14ac:dyDescent="0.25">
      <c r="A43" s="3"/>
      <c r="B43" s="4">
        <f t="shared" si="53"/>
        <v>3.9209999999999998</v>
      </c>
      <c r="C43" s="4">
        <f>840*10^-9</f>
        <v>8.4E-7</v>
      </c>
      <c r="D43" s="4">
        <f t="shared" ref="D43" si="60">2.14*10^-6</f>
        <v>2.1399999999999998E-6</v>
      </c>
      <c r="E43" s="5">
        <f t="shared" si="54"/>
        <v>2.4705882352941177E-11</v>
      </c>
      <c r="F43" s="6">
        <f t="shared" si="55"/>
        <v>6.2941176470588232E-11</v>
      </c>
      <c r="G43" s="4">
        <f t="shared" ref="G43:G44" si="61">3.881</f>
        <v>3.8809999999999998</v>
      </c>
      <c r="H43" s="4">
        <f>1.13*10^-6</f>
        <v>1.1299999999999998E-6</v>
      </c>
      <c r="I43" s="4">
        <f t="shared" ref="I43:I44" si="62">2.02*10^-6</f>
        <v>2.0199999999999997E-6</v>
      </c>
      <c r="J43" s="5">
        <f t="shared" si="56"/>
        <v>3.3235294117647052E-11</v>
      </c>
      <c r="K43" s="6">
        <f t="shared" si="57"/>
        <v>5.9411764705882345E-11</v>
      </c>
      <c r="L43" s="4">
        <f>3.401</f>
        <v>3.4009999999999998</v>
      </c>
      <c r="M43" s="4">
        <f t="shared" ref="M43:M44" si="63">2.02*10^-6</f>
        <v>2.0199999999999997E-6</v>
      </c>
      <c r="N43" s="4">
        <f>8.42*10^-6</f>
        <v>8.419999999999999E-6</v>
      </c>
      <c r="O43" s="5">
        <f t="shared" si="58"/>
        <v>5.9411764705882345E-11</v>
      </c>
      <c r="P43" s="6">
        <f t="shared" si="59"/>
        <v>2.476470588235294E-10</v>
      </c>
    </row>
    <row r="44" spans="1:16" x14ac:dyDescent="0.25">
      <c r="A44" s="3"/>
      <c r="B44" s="4">
        <f t="shared" si="53"/>
        <v>3.9209999999999998</v>
      </c>
      <c r="C44" s="4">
        <f>820*10^-9</f>
        <v>8.2000000000000009E-7</v>
      </c>
      <c r="D44" s="4">
        <f>2.18*10^-6</f>
        <v>2.1799999999999999E-6</v>
      </c>
      <c r="E44" s="5">
        <f t="shared" si="54"/>
        <v>2.4117647058823533E-11</v>
      </c>
      <c r="F44" s="6">
        <f t="shared" si="55"/>
        <v>6.4117647058823527E-11</v>
      </c>
      <c r="G44" s="4">
        <f t="shared" si="61"/>
        <v>3.8809999999999998</v>
      </c>
      <c r="H44" s="4">
        <f>1.07*10^-6</f>
        <v>1.0699999999999999E-6</v>
      </c>
      <c r="I44" s="4">
        <f t="shared" si="62"/>
        <v>2.0199999999999997E-6</v>
      </c>
      <c r="J44" s="5">
        <f t="shared" si="56"/>
        <v>3.1470588235294116E-11</v>
      </c>
      <c r="K44" s="6">
        <f t="shared" si="57"/>
        <v>5.9411764705882345E-11</v>
      </c>
      <c r="L44" s="4">
        <f>3.401</f>
        <v>3.4009999999999998</v>
      </c>
      <c r="M44" s="4">
        <f t="shared" si="63"/>
        <v>2.0199999999999997E-6</v>
      </c>
      <c r="N44" s="4">
        <f>8.5*10^-6</f>
        <v>8.4999999999999999E-6</v>
      </c>
      <c r="O44" s="5">
        <f t="shared" si="58"/>
        <v>5.9411764705882345E-11</v>
      </c>
      <c r="P44" s="6">
        <f t="shared" si="59"/>
        <v>2.5000000000000002E-10</v>
      </c>
    </row>
    <row r="45" spans="1:16" x14ac:dyDescent="0.25">
      <c r="A45" s="9"/>
      <c r="B45" s="4">
        <f t="shared" si="53"/>
        <v>3.9209999999999998</v>
      </c>
      <c r="C45" s="4">
        <f>840*10^-9</f>
        <v>8.4E-7</v>
      </c>
      <c r="D45" s="4">
        <f>2.18*10^-6</f>
        <v>2.1799999999999999E-6</v>
      </c>
      <c r="E45" s="5">
        <f t="shared" si="54"/>
        <v>2.4705882352941177E-11</v>
      </c>
      <c r="F45" s="6">
        <f t="shared" si="55"/>
        <v>6.4117647058823527E-11</v>
      </c>
      <c r="G45" s="4">
        <f>3.921</f>
        <v>3.9209999999999998</v>
      </c>
      <c r="H45" s="4">
        <f>1.06*10^-6</f>
        <v>1.06E-6</v>
      </c>
      <c r="I45" s="4">
        <f>2.06*10^-6</f>
        <v>2.0599999999999998E-6</v>
      </c>
      <c r="J45" s="5">
        <f t="shared" si="56"/>
        <v>3.1176470588235295E-11</v>
      </c>
      <c r="K45" s="6">
        <f t="shared" si="57"/>
        <v>6.0588235294117641E-11</v>
      </c>
      <c r="L45" s="4">
        <f>3.441</f>
        <v>3.4409999999999998</v>
      </c>
      <c r="M45" s="4">
        <f t="shared" ref="M45" si="64">2.06*10^-6</f>
        <v>2.0599999999999998E-6</v>
      </c>
      <c r="N45" s="4">
        <f>8.44*10^-6</f>
        <v>8.4399999999999988E-6</v>
      </c>
      <c r="O45" s="5">
        <f t="shared" si="58"/>
        <v>6.0588235294117641E-11</v>
      </c>
      <c r="P45" s="6">
        <f t="shared" si="59"/>
        <v>2.48235294117647E-10</v>
      </c>
    </row>
    <row r="46" spans="1:16" x14ac:dyDescent="0.25">
      <c r="A46" s="10" t="s">
        <v>9</v>
      </c>
      <c r="B46" s="8">
        <f>AVERAGE(B41:B45)</f>
        <v>3.9210000000000003</v>
      </c>
      <c r="C46" s="8">
        <f t="shared" ref="C46:F46" si="65">AVERAGE(C41:C45)</f>
        <v>8.3400000000000019E-7</v>
      </c>
      <c r="D46" s="8">
        <f t="shared" si="65"/>
        <v>2.1599999999999996E-6</v>
      </c>
      <c r="E46" s="8">
        <f t="shared" si="65"/>
        <v>2.4529411764705885E-11</v>
      </c>
      <c r="F46" s="8">
        <f t="shared" si="65"/>
        <v>6.3529411764705886E-11</v>
      </c>
      <c r="G46" s="8">
        <f>AVERAGE(G41:G45)</f>
        <v>3.8969999999999998</v>
      </c>
      <c r="H46" s="8">
        <f t="shared" ref="H46:K46" si="66">AVERAGE(H41:H45)</f>
        <v>1.0839999999999997E-6</v>
      </c>
      <c r="I46" s="8">
        <f t="shared" si="66"/>
        <v>2.0359999999999996E-6</v>
      </c>
      <c r="J46" s="8">
        <f t="shared" si="66"/>
        <v>3.1882352941176465E-11</v>
      </c>
      <c r="K46" s="8">
        <f t="shared" si="66"/>
        <v>5.9882352941176471E-11</v>
      </c>
      <c r="L46" s="8">
        <f>AVERAGE(L41:L45)</f>
        <v>3.4169999999999994</v>
      </c>
      <c r="M46" s="8">
        <f t="shared" ref="M46:P46" si="67">AVERAGE(M41:M45)</f>
        <v>2.0359999999999996E-6</v>
      </c>
      <c r="N46" s="8">
        <f t="shared" si="67"/>
        <v>8.6079999999999996E-6</v>
      </c>
      <c r="O46" s="8">
        <f t="shared" si="67"/>
        <v>5.9882352941176471E-11</v>
      </c>
      <c r="P46" s="8">
        <f t="shared" si="67"/>
        <v>2.5317647058823527E-10</v>
      </c>
    </row>
  </sheetData>
  <mergeCells count="8">
    <mergeCell ref="A21:A22"/>
    <mergeCell ref="B21:F21"/>
    <mergeCell ref="G21:K21"/>
    <mergeCell ref="L21:P21"/>
    <mergeCell ref="A1:A2"/>
    <mergeCell ref="B1:F1"/>
    <mergeCell ref="G1:K1"/>
    <mergeCell ref="L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9" sqref="D9"/>
    </sheetView>
  </sheetViews>
  <sheetFormatPr defaultColWidth="11" defaultRowHeight="15.75" x14ac:dyDescent="0.25"/>
  <cols>
    <col min="8" max="8" width="12.125" bestFit="1" customWidth="1"/>
  </cols>
  <sheetData>
    <row r="1" spans="1:10" x14ac:dyDescent="0.25">
      <c r="A1" s="25" t="s">
        <v>0</v>
      </c>
      <c r="B1" s="27" t="s">
        <v>1</v>
      </c>
      <c r="C1" s="31"/>
      <c r="D1" s="32"/>
      <c r="E1" s="27" t="s">
        <v>2</v>
      </c>
      <c r="F1" s="31"/>
      <c r="G1" s="32"/>
      <c r="H1" s="33" t="s">
        <v>3</v>
      </c>
      <c r="I1" s="34"/>
      <c r="J1" s="35"/>
    </row>
    <row r="2" spans="1:10" x14ac:dyDescent="0.25">
      <c r="A2" s="26"/>
      <c r="B2" s="12" t="s">
        <v>4</v>
      </c>
      <c r="C2" s="1" t="s">
        <v>5</v>
      </c>
      <c r="D2" s="1" t="s">
        <v>6</v>
      </c>
      <c r="E2" s="12" t="s">
        <v>4</v>
      </c>
      <c r="F2" s="1" t="s">
        <v>5</v>
      </c>
      <c r="G2" s="1" t="s">
        <v>6</v>
      </c>
      <c r="H2" s="12" t="s">
        <v>4</v>
      </c>
      <c r="I2" s="1" t="s">
        <v>5</v>
      </c>
      <c r="J2" s="1" t="s">
        <v>6</v>
      </c>
    </row>
    <row r="3" spans="1:10" x14ac:dyDescent="0.25">
      <c r="A3" s="14" t="s">
        <v>22</v>
      </c>
      <c r="B3" s="15">
        <f>'After Cyclic Twisting Test'!B8</f>
        <v>4.3849999999999998</v>
      </c>
      <c r="C3" s="15">
        <f>'After Cyclic Twisting Test'!C8</f>
        <v>1.1000000000000001E-6</v>
      </c>
      <c r="D3" s="16">
        <f>'After Cyclic Twisting Test'!D8</f>
        <v>4.2559999999999996E-6</v>
      </c>
      <c r="E3" s="17">
        <f>'After Cyclic Twisting Test'!G8</f>
        <v>3.2327999999999997</v>
      </c>
      <c r="F3" s="18">
        <f>'After Cyclic Twisting Test'!H8</f>
        <v>5.9599999999999999E-7</v>
      </c>
      <c r="G3" s="19">
        <f>'After Cyclic Twisting Test'!I8</f>
        <v>3.2279999999999994E-6</v>
      </c>
      <c r="H3" s="17">
        <f>'After Cyclic Twisting Test'!L8</f>
        <v>3.6970000000000001</v>
      </c>
      <c r="I3" s="18">
        <f>'After Cyclic Twisting Test'!M8</f>
        <v>1.3059999999999999E-6</v>
      </c>
      <c r="J3" s="19">
        <f>'After Cyclic Twisting Test'!N8</f>
        <v>1.0488000000000002E-5</v>
      </c>
    </row>
    <row r="4" spans="1:10" x14ac:dyDescent="0.25">
      <c r="A4" s="13" t="s">
        <v>17</v>
      </c>
      <c r="B4" s="18">
        <f>'After Cyclic Twisting Test'!B14</f>
        <v>0.628</v>
      </c>
      <c r="C4" s="18">
        <f>'After Cyclic Twisting Test'!C14</f>
        <v>9.6000000000000009E-3</v>
      </c>
      <c r="D4" s="19">
        <f>'After Cyclic Twisting Test'!D14</f>
        <v>9.5600000000000008E-3</v>
      </c>
      <c r="E4" s="17">
        <f>'After Cyclic Twisting Test'!G14</f>
        <v>0.628</v>
      </c>
      <c r="F4" s="18">
        <f>'After Cyclic Twisting Test'!H14</f>
        <v>9.6000000000000009E-3</v>
      </c>
      <c r="G4" s="19">
        <f>'After Cyclic Twisting Test'!I14</f>
        <v>9.5999999999999992E-3</v>
      </c>
      <c r="H4" s="17">
        <f>'After Cyclic Twisting Test'!L14</f>
        <v>2.3809999999999997E-6</v>
      </c>
      <c r="I4" s="18">
        <f>'After Cyclic Twisting Test'!M14</f>
        <v>9.5600000000000008E-3</v>
      </c>
      <c r="J4" s="19">
        <f>'After Cyclic Twisting Test'!N14</f>
        <v>5.9400000000000008E-3</v>
      </c>
    </row>
    <row r="5" spans="1:10" x14ac:dyDescent="0.25">
      <c r="A5" s="13" t="s">
        <v>18</v>
      </c>
      <c r="B5" s="18">
        <f>'After Cyclic Twisting Test'!B20</f>
        <v>0.44000000000000006</v>
      </c>
      <c r="C5" s="18">
        <f>'After Cyclic Twisting Test'!C20</f>
        <v>4.96E-3</v>
      </c>
      <c r="D5" s="19">
        <f>'After Cyclic Twisting Test'!D20</f>
        <v>6.1600000000000005E-3</v>
      </c>
      <c r="E5" s="17">
        <f>'After Cyclic Twisting Test'!G20</f>
        <v>0.45600000000000007</v>
      </c>
      <c r="F5" s="18">
        <f>'After Cyclic Twisting Test'!H20</f>
        <v>8.6099999999999996E-3</v>
      </c>
      <c r="G5" s="19">
        <f>'After Cyclic Twisting Test'!I20</f>
        <v>9.1799999999999989E-3</v>
      </c>
      <c r="H5" s="17">
        <f>'After Cyclic Twisting Test'!L20</f>
        <v>2.2090000000000005</v>
      </c>
      <c r="I5" s="18">
        <f>'After Cyclic Twisting Test'!M20</f>
        <v>5.9800000000000009E-3</v>
      </c>
      <c r="J5" s="19">
        <f>'After Cyclic Twisting Test'!N20</f>
        <v>6.3799999999999994E-3</v>
      </c>
    </row>
    <row r="6" spans="1:10" x14ac:dyDescent="0.25">
      <c r="A6" s="13" t="s">
        <v>19</v>
      </c>
      <c r="B6" s="18">
        <f>'After Cyclic Twisting Test'!B28</f>
        <v>0.28400000000000003</v>
      </c>
      <c r="C6" s="18">
        <f>'After Cyclic Twisting Test'!C28</f>
        <v>6.0400000000000002E-3</v>
      </c>
      <c r="D6" s="19">
        <f>'After Cyclic Twisting Test'!D28</f>
        <v>5.1200000000000013E-3</v>
      </c>
      <c r="E6" s="17">
        <f>'After Cyclic Twisting Test'!G28</f>
        <v>0.38400000000000001</v>
      </c>
      <c r="F6" s="18">
        <f>'After Cyclic Twisting Test'!H28</f>
        <v>6.320000000000001E-3</v>
      </c>
      <c r="G6" s="19">
        <f>'After Cyclic Twisting Test'!I28</f>
        <v>5.1200000000000004E-3</v>
      </c>
      <c r="H6" s="17">
        <f>'After Cyclic Twisting Test'!L28</f>
        <v>0.68</v>
      </c>
      <c r="I6" s="18">
        <f>'After Cyclic Twisting Test'!M28</f>
        <v>2.65E-3</v>
      </c>
      <c r="J6" s="19">
        <f>'After Cyclic Twisting Test'!N28</f>
        <v>2.2599999999999999E-3</v>
      </c>
    </row>
    <row r="7" spans="1:10" x14ac:dyDescent="0.25">
      <c r="A7" s="13" t="s">
        <v>23</v>
      </c>
      <c r="B7" s="18">
        <f>'After Cyclic Twisting Test'!B34</f>
        <v>2.52E-2</v>
      </c>
      <c r="C7" s="18">
        <f>'After Cyclic Twisting Test'!C34</f>
        <v>0.16196000000000002</v>
      </c>
      <c r="D7" s="19">
        <f>'After Cyclic Twisting Test'!D34</f>
        <v>1.5781284200000002E-2</v>
      </c>
      <c r="E7" s="17">
        <f>'After Cyclic Twisting Test'!G34</f>
        <v>3.0800000000000001E-2</v>
      </c>
      <c r="F7" s="18">
        <f>'After Cyclic Twisting Test'!H34</f>
        <v>0.16098000000000001</v>
      </c>
      <c r="G7" s="19">
        <f>'After Cyclic Twisting Test'!I34</f>
        <v>1.66E-6</v>
      </c>
      <c r="H7" s="17">
        <f>'After Cyclic Twisting Test'!L34</f>
        <v>9.3600000000000003E-2</v>
      </c>
      <c r="I7" s="18">
        <f>'After Cyclic Twisting Test'!M34</f>
        <v>6.7060000000000008E-2</v>
      </c>
      <c r="J7" s="19">
        <f>'After Cyclic Twisting Test'!N34</f>
        <v>4.0800000000000003E-2</v>
      </c>
    </row>
    <row r="8" spans="1:10" x14ac:dyDescent="0.25">
      <c r="A8" s="13" t="s">
        <v>20</v>
      </c>
      <c r="B8" s="18">
        <f>'After Cyclic Twisting Test'!B40</f>
        <v>4.0810000000000004</v>
      </c>
      <c r="C8" s="18">
        <f>'After Cyclic Twisting Test'!C40</f>
        <v>8.060000000000001E-7</v>
      </c>
      <c r="D8" s="19">
        <f>'After Cyclic Twisting Test'!D40</f>
        <v>2.7959999999999996E-6</v>
      </c>
      <c r="E8" s="17">
        <f>'After Cyclic Twisting Test'!G40</f>
        <v>4.1289999999999996</v>
      </c>
      <c r="F8" s="18">
        <f>'After Cyclic Twisting Test'!H40</f>
        <v>7.9599999999999998E-7</v>
      </c>
      <c r="G8" s="19">
        <f>'After Cyclic Twisting Test'!I40</f>
        <v>2.7999999999999999E-6</v>
      </c>
      <c r="H8" s="17">
        <f>'After Cyclic Twisting Test'!L40</f>
        <v>3.0569999999999999</v>
      </c>
      <c r="I8" s="18">
        <f>'After Cyclic Twisting Test'!M40</f>
        <v>1.4420000000000001E-6</v>
      </c>
      <c r="J8" s="19">
        <f>'After Cyclic Twisting Test'!N40</f>
        <v>1.0543999999999999E-5</v>
      </c>
    </row>
    <row r="9" spans="1:10" x14ac:dyDescent="0.25">
      <c r="A9" s="13" t="s">
        <v>21</v>
      </c>
      <c r="B9" s="18">
        <f>'After Cyclic Twisting Test'!B46</f>
        <v>3.9210000000000003</v>
      </c>
      <c r="C9" s="18">
        <f>'After Cyclic Twisting Test'!C46</f>
        <v>8.3400000000000019E-7</v>
      </c>
      <c r="D9" s="19">
        <f>'After Cyclic Twisting Test'!D46</f>
        <v>2.1599999999999996E-6</v>
      </c>
      <c r="E9" s="17">
        <f>'After Cyclic Twisting Test'!G46</f>
        <v>3.8969999999999998</v>
      </c>
      <c r="F9" s="18">
        <f>'After Cyclic Twisting Test'!H46</f>
        <v>1.0839999999999997E-6</v>
      </c>
      <c r="G9" s="19">
        <f>'After Cyclic Twisting Test'!I46</f>
        <v>2.0359999999999996E-6</v>
      </c>
      <c r="H9" s="17">
        <f>'After Cyclic Twisting Test'!L46</f>
        <v>3.4169999999999994</v>
      </c>
      <c r="I9" s="18">
        <f>'After Cyclic Twisting Test'!M46</f>
        <v>2.0359999999999996E-6</v>
      </c>
      <c r="J9" s="19">
        <f>'After Cyclic Twisting Test'!N46</f>
        <v>8.6079999999999996E-6</v>
      </c>
    </row>
  </sheetData>
  <mergeCells count="4">
    <mergeCell ref="A1:A2"/>
    <mergeCell ref="B1:D1"/>
    <mergeCell ref="E1:G1"/>
    <mergeCell ref="H1:J1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Before Cyclic Twisting Test</vt:lpstr>
      <vt:lpstr>Before -Results</vt:lpstr>
      <vt:lpstr>After Cyclic Twisting Test</vt:lpstr>
      <vt:lpstr>After - Results</vt:lpstr>
      <vt:lpstr>Chart1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Olivia</cp:lastModifiedBy>
  <dcterms:created xsi:type="dcterms:W3CDTF">2018-05-04T09:09:59Z</dcterms:created>
  <dcterms:modified xsi:type="dcterms:W3CDTF">2019-03-24T13:48:01Z</dcterms:modified>
</cp:coreProperties>
</file>