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hD\"/>
    </mc:Choice>
  </mc:AlternateContent>
  <xr:revisionPtr revIDLastSave="0" documentId="13_ncr:1_{46443B75-0CE4-412F-B190-B45BB6B3A146}" xr6:coauthVersionLast="45" xr6:coauthVersionMax="45" xr10:uidLastSave="{00000000-0000-0000-0000-000000000000}"/>
  <bookViews>
    <workbookView xWindow="-120" yWindow="-120" windowWidth="20730" windowHeight="11160" activeTab="1" xr2:uid="{C519BEC3-01DC-4494-BE57-F56308126B29}"/>
  </bookViews>
  <sheets>
    <sheet name="Fish Data" sheetId="4" r:id="rId1"/>
    <sheet name="Hydraulic Data" sheetId="3" r:id="rId2"/>
    <sheet name="Co-ordinates" sheetId="2" r:id="rId3"/>
  </sheets>
  <definedNames>
    <definedName name="_xlnm._FilterDatabase" localSheetId="0" hidden="1">'Fish Data'!$B$10:$Q$103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O28" i="3" l="1"/>
  <c r="BT55" i="3"/>
  <c r="BS55" i="3"/>
  <c r="BR55" i="3"/>
  <c r="BQ55" i="3"/>
  <c r="BP55" i="3"/>
  <c r="BO55" i="3"/>
  <c r="BQ54" i="3"/>
  <c r="BP54" i="3"/>
  <c r="BO54" i="3"/>
  <c r="BT47" i="3"/>
  <c r="BS47" i="3"/>
  <c r="BR47" i="3"/>
  <c r="BQ47" i="3"/>
  <c r="BP47" i="3"/>
  <c r="BO47" i="3"/>
  <c r="BS46" i="3"/>
  <c r="BS63" i="3" s="1"/>
  <c r="BO46" i="3"/>
  <c r="BO60" i="3" s="1"/>
  <c r="BQ45" i="3"/>
  <c r="BP45" i="3"/>
  <c r="BO45" i="3"/>
  <c r="BS38" i="3"/>
  <c r="BS4" i="3" s="1"/>
  <c r="BR38" i="3"/>
  <c r="BO38" i="3"/>
  <c r="BO4" i="3" s="1"/>
  <c r="BT35" i="3"/>
  <c r="BT38" i="3" s="1"/>
  <c r="BT4" i="3" s="1"/>
  <c r="BS35" i="3"/>
  <c r="BR35" i="3"/>
  <c r="BQ35" i="3"/>
  <c r="BQ38" i="3" s="1"/>
  <c r="BQ4" i="3" s="1"/>
  <c r="BP35" i="3"/>
  <c r="BP38" i="3" s="1"/>
  <c r="BP4" i="3" s="1"/>
  <c r="BO35" i="3"/>
  <c r="BT11" i="3"/>
  <c r="BT24" i="3" s="1"/>
  <c r="BS11" i="3"/>
  <c r="BS24" i="3" s="1"/>
  <c r="BR11" i="3"/>
  <c r="BR24" i="3" s="1"/>
  <c r="BQ11" i="3"/>
  <c r="BQ24" i="3" s="1"/>
  <c r="BP11" i="3"/>
  <c r="BP24" i="3" s="1"/>
  <c r="BO11" i="3"/>
  <c r="BO24" i="3" s="1"/>
  <c r="BT10" i="3"/>
  <c r="BT23" i="3" s="1"/>
  <c r="BS10" i="3"/>
  <c r="BS23" i="3" s="1"/>
  <c r="BR10" i="3"/>
  <c r="BR23" i="3" s="1"/>
  <c r="BQ10" i="3"/>
  <c r="BQ23" i="3" s="1"/>
  <c r="BP10" i="3"/>
  <c r="BP23" i="3" s="1"/>
  <c r="BO10" i="3"/>
  <c r="BO23" i="3" s="1"/>
  <c r="BT9" i="3"/>
  <c r="BT22" i="3" s="1"/>
  <c r="BS9" i="3"/>
  <c r="BS22" i="3" s="1"/>
  <c r="BR9" i="3"/>
  <c r="BR22" i="3" s="1"/>
  <c r="BQ9" i="3"/>
  <c r="BQ22" i="3" s="1"/>
  <c r="BP9" i="3"/>
  <c r="BP22" i="3" s="1"/>
  <c r="BO9" i="3"/>
  <c r="BO22" i="3" s="1"/>
  <c r="BT8" i="3"/>
  <c r="BT21" i="3" s="1"/>
  <c r="BS8" i="3"/>
  <c r="BS21" i="3" s="1"/>
  <c r="BR8" i="3"/>
  <c r="BR21" i="3" s="1"/>
  <c r="BQ8" i="3"/>
  <c r="BQ21" i="3" s="1"/>
  <c r="BP8" i="3"/>
  <c r="BP21" i="3" s="1"/>
  <c r="BO8" i="3"/>
  <c r="BO21" i="3" s="1"/>
  <c r="BT7" i="3"/>
  <c r="BT20" i="3" s="1"/>
  <c r="BS7" i="3"/>
  <c r="BS32" i="3" s="1"/>
  <c r="BR7" i="3"/>
  <c r="BR20" i="3" s="1"/>
  <c r="BQ7" i="3"/>
  <c r="BQ20" i="3" s="1"/>
  <c r="BP7" i="3"/>
  <c r="BP20" i="3" s="1"/>
  <c r="BO7" i="3"/>
  <c r="BO20" i="3" s="1"/>
  <c r="BT6" i="3"/>
  <c r="BT43" i="3" s="1"/>
  <c r="BT44" i="3" s="1"/>
  <c r="BS6" i="3"/>
  <c r="BS43" i="3" s="1"/>
  <c r="BS44" i="3" s="1"/>
  <c r="BR6" i="3"/>
  <c r="BR46" i="3" s="1"/>
  <c r="BQ6" i="3"/>
  <c r="BQ46" i="3" s="1"/>
  <c r="BP6" i="3"/>
  <c r="BP43" i="3" s="1"/>
  <c r="BP44" i="3" s="1"/>
  <c r="BO6" i="3"/>
  <c r="BO43" i="3" s="1"/>
  <c r="BO44" i="3" s="1"/>
  <c r="BT5" i="3"/>
  <c r="BT54" i="3" s="1"/>
  <c r="BS5" i="3"/>
  <c r="BS54" i="3" s="1"/>
  <c r="BR5" i="3"/>
  <c r="BR54" i="3" s="1"/>
  <c r="BR4" i="3"/>
  <c r="BQ66" i="3" l="1"/>
  <c r="BQ60" i="3"/>
  <c r="BQ53" i="3"/>
  <c r="BQ63" i="3"/>
  <c r="BQ56" i="3"/>
  <c r="BQ57" i="3" s="1"/>
  <c r="BQ59" i="3" s="1"/>
  <c r="BR66" i="3"/>
  <c r="BR60" i="3"/>
  <c r="BR53" i="3"/>
  <c r="BR63" i="3"/>
  <c r="BR64" i="3" s="1"/>
  <c r="BR65" i="3" s="1"/>
  <c r="BR67" i="3" s="1"/>
  <c r="BR56" i="3"/>
  <c r="BS20" i="3"/>
  <c r="BO32" i="3"/>
  <c r="BS53" i="3"/>
  <c r="BS61" i="3" s="1"/>
  <c r="BS62" i="3" s="1"/>
  <c r="BS60" i="3"/>
  <c r="BS66" i="3"/>
  <c r="BR19" i="3"/>
  <c r="BP32" i="3"/>
  <c r="BT32" i="3"/>
  <c r="BR43" i="3"/>
  <c r="BR44" i="3" s="1"/>
  <c r="BR45" i="3"/>
  <c r="BP46" i="3"/>
  <c r="BT46" i="3"/>
  <c r="BQ19" i="3"/>
  <c r="BQ43" i="3"/>
  <c r="BQ44" i="3" s="1"/>
  <c r="BO66" i="3"/>
  <c r="BO19" i="3"/>
  <c r="BS19" i="3"/>
  <c r="BQ32" i="3"/>
  <c r="BS45" i="3"/>
  <c r="BO56" i="3"/>
  <c r="BS56" i="3"/>
  <c r="BS57" i="3" s="1"/>
  <c r="BS59" i="3" s="1"/>
  <c r="BO63" i="3"/>
  <c r="BO53" i="3"/>
  <c r="BO57" i="3" s="1"/>
  <c r="BO59" i="3" s="1"/>
  <c r="BP19" i="3"/>
  <c r="BT19" i="3"/>
  <c r="BR32" i="3"/>
  <c r="BT45" i="3"/>
  <c r="BR57" i="3"/>
  <c r="BR59" i="3" s="1"/>
  <c r="BR61" i="3" s="1"/>
  <c r="BR62" i="3" s="1"/>
  <c r="BR26" i="3" l="1"/>
  <c r="BR27" i="3"/>
  <c r="BR25" i="3"/>
  <c r="BR28" i="3" s="1"/>
  <c r="BS64" i="3"/>
  <c r="BS65" i="3" s="1"/>
  <c r="BS67" i="3" s="1"/>
  <c r="BT56" i="3"/>
  <c r="BT57" i="3" s="1"/>
  <c r="BT59" i="3" s="1"/>
  <c r="BT53" i="3"/>
  <c r="BO61" i="3"/>
  <c r="BO62" i="3" s="1"/>
  <c r="BO64" i="3" s="1"/>
  <c r="BO65" i="3" s="1"/>
  <c r="BO67" i="3" s="1"/>
  <c r="BP63" i="3"/>
  <c r="BP56" i="3"/>
  <c r="BP66" i="3"/>
  <c r="BP60" i="3"/>
  <c r="BP53" i="3"/>
  <c r="BQ61" i="3"/>
  <c r="BQ62" i="3" s="1"/>
  <c r="BQ64" i="3" s="1"/>
  <c r="BQ65" i="3" s="1"/>
  <c r="BQ67" i="3" s="1"/>
  <c r="BO26" i="3" l="1"/>
  <c r="BO27" i="3"/>
  <c r="BO25" i="3"/>
  <c r="BS27" i="3"/>
  <c r="BS25" i="3"/>
  <c r="BS26" i="3"/>
  <c r="BQ26" i="3"/>
  <c r="BQ27" i="3"/>
  <c r="BQ25" i="3"/>
  <c r="BT63" i="3"/>
  <c r="BT64" i="3" s="1"/>
  <c r="BT65" i="3" s="1"/>
  <c r="BT66" i="3" s="1"/>
  <c r="BT67" i="3" s="1"/>
  <c r="BT60" i="3"/>
  <c r="BT61" i="3" s="1"/>
  <c r="BT62" i="3" s="1"/>
  <c r="BP57" i="3"/>
  <c r="BP59" i="3" s="1"/>
  <c r="BP61" i="3" s="1"/>
  <c r="BP62" i="3" s="1"/>
  <c r="BP64" i="3" s="1"/>
  <c r="BP65" i="3" s="1"/>
  <c r="BP67" i="3" s="1"/>
  <c r="BR29" i="3"/>
  <c r="BP27" i="3" l="1"/>
  <c r="BP25" i="3"/>
  <c r="BP26" i="3"/>
  <c r="BT27" i="3"/>
  <c r="BT25" i="3"/>
  <c r="BT26" i="3"/>
  <c r="BO29" i="3"/>
  <c r="BQ28" i="3"/>
  <c r="BQ29" i="3"/>
  <c r="BS28" i="3"/>
  <c r="BS29" i="3"/>
  <c r="BP28" i="3" l="1"/>
  <c r="BP29" i="3"/>
  <c r="BT28" i="3"/>
  <c r="BT29" i="3"/>
  <c r="CE26" i="4" l="1"/>
  <c r="CD26" i="4"/>
  <c r="CD27" i="4" s="1"/>
  <c r="CQ5" i="4" s="1"/>
  <c r="BZ26" i="4"/>
  <c r="BY26" i="4"/>
  <c r="BY27" i="4" s="1"/>
  <c r="CP5" i="4" s="1"/>
  <c r="BS26" i="4"/>
  <c r="BR26" i="4"/>
  <c r="BR27" i="4" s="1"/>
  <c r="CO5" i="4" s="1"/>
  <c r="BM26" i="4"/>
  <c r="BL26" i="4"/>
  <c r="BL27" i="4" s="1"/>
  <c r="CN5" i="4" s="1"/>
  <c r="BB26" i="4"/>
  <c r="BA26" i="4"/>
  <c r="BA27" i="4" s="1"/>
  <c r="CQ4" i="4" s="1"/>
  <c r="AT26" i="4"/>
  <c r="AS26" i="4"/>
  <c r="AS27" i="4" s="1"/>
  <c r="CP4" i="4" s="1"/>
  <c r="AM26" i="4"/>
  <c r="AL26" i="4"/>
  <c r="AL27" i="4" s="1"/>
  <c r="CO4" i="4" s="1"/>
  <c r="AF26" i="4"/>
  <c r="AE26" i="4"/>
  <c r="AE27" i="4" s="1"/>
  <c r="CN4" i="4" s="1"/>
  <c r="Y26" i="4"/>
  <c r="X26" i="4"/>
  <c r="X27" i="4" s="1"/>
  <c r="CQ3" i="4" s="1"/>
  <c r="Q26" i="4"/>
  <c r="P26" i="4"/>
  <c r="P27" i="4" s="1"/>
  <c r="CP3" i="4" s="1"/>
  <c r="K26" i="4"/>
  <c r="J26" i="4"/>
  <c r="J27" i="4" s="1"/>
  <c r="CO3" i="4" s="1"/>
  <c r="D26" i="4"/>
  <c r="C26" i="4"/>
  <c r="C27" i="4" s="1"/>
  <c r="CN3" i="4" s="1"/>
  <c r="CJ25" i="4"/>
  <c r="CB25" i="4"/>
  <c r="BW25" i="4"/>
  <c r="BP25" i="4"/>
  <c r="BI25" i="4"/>
  <c r="AY25" i="4"/>
  <c r="AQ25" i="4"/>
  <c r="AK25" i="4"/>
  <c r="AJ25" i="4"/>
  <c r="AB25" i="4"/>
  <c r="V25" i="4"/>
  <c r="N25" i="4"/>
  <c r="H25" i="4"/>
  <c r="CJ24" i="4"/>
  <c r="CB24" i="4"/>
  <c r="BW24" i="4"/>
  <c r="BQ24" i="4"/>
  <c r="BP24" i="4"/>
  <c r="BI24" i="4"/>
  <c r="AY24" i="4"/>
  <c r="AQ24" i="4"/>
  <c r="AK24" i="4"/>
  <c r="AJ24" i="4"/>
  <c r="AB24" i="4"/>
  <c r="V24" i="4"/>
  <c r="N24" i="4"/>
  <c r="I24" i="4"/>
  <c r="H24" i="4"/>
  <c r="CJ23" i="4"/>
  <c r="CC23" i="4"/>
  <c r="CB23" i="4"/>
  <c r="BW23" i="4"/>
  <c r="BP23" i="4"/>
  <c r="BI23" i="4"/>
  <c r="AY23" i="4"/>
  <c r="AQ23" i="4"/>
  <c r="AJ23" i="4"/>
  <c r="AB23" i="4"/>
  <c r="V23" i="4"/>
  <c r="N23" i="4"/>
  <c r="H23" i="4"/>
  <c r="CK22" i="4"/>
  <c r="CJ22" i="4"/>
  <c r="CB22" i="4"/>
  <c r="BW22" i="4"/>
  <c r="BP22" i="4"/>
  <c r="BI22" i="4"/>
  <c r="AY22" i="4"/>
  <c r="AR22" i="4"/>
  <c r="AQ22" i="4"/>
  <c r="AK22" i="4"/>
  <c r="AJ22" i="4"/>
  <c r="AB22" i="4"/>
  <c r="V22" i="4"/>
  <c r="N22" i="4"/>
  <c r="H22" i="4"/>
  <c r="CJ21" i="4"/>
  <c r="CB21" i="4"/>
  <c r="BW21" i="4"/>
  <c r="BP21" i="4"/>
  <c r="BI21" i="4"/>
  <c r="AY21" i="4"/>
  <c r="AQ21" i="4"/>
  <c r="AK21" i="4"/>
  <c r="AJ21" i="4"/>
  <c r="AB21" i="4"/>
  <c r="V21" i="4"/>
  <c r="N21" i="4"/>
  <c r="H21" i="4"/>
  <c r="CJ20" i="4"/>
  <c r="CB20" i="4"/>
  <c r="BW20" i="4"/>
  <c r="BP20" i="4"/>
  <c r="BJ20" i="4"/>
  <c r="BI20" i="4"/>
  <c r="AZ20" i="4"/>
  <c r="AY20" i="4"/>
  <c r="AQ20" i="4"/>
  <c r="AJ20" i="4"/>
  <c r="AC20" i="4"/>
  <c r="AB20" i="4"/>
  <c r="V20" i="4"/>
  <c r="N20" i="4"/>
  <c r="I20" i="4"/>
  <c r="H20" i="4"/>
  <c r="CJ19" i="4"/>
  <c r="CB19" i="4"/>
  <c r="BX19" i="4"/>
  <c r="BW19" i="4"/>
  <c r="BP19" i="4"/>
  <c r="BI19" i="4"/>
  <c r="AY19" i="4"/>
  <c r="AQ19" i="4"/>
  <c r="AJ19" i="4"/>
  <c r="AB19" i="4"/>
  <c r="V19" i="4"/>
  <c r="N19" i="4"/>
  <c r="I19" i="4"/>
  <c r="H19" i="4"/>
  <c r="CJ18" i="4"/>
  <c r="CB18" i="4"/>
  <c r="BW18" i="4"/>
  <c r="BP18" i="4"/>
  <c r="BI18" i="4"/>
  <c r="AY18" i="4"/>
  <c r="AQ18" i="4"/>
  <c r="AJ18" i="4"/>
  <c r="AB18" i="4"/>
  <c r="V18" i="4"/>
  <c r="N18" i="4"/>
  <c r="I18" i="4"/>
  <c r="H18" i="4"/>
  <c r="CJ17" i="4"/>
  <c r="CB17" i="4"/>
  <c r="BW17" i="4"/>
  <c r="BP17" i="4"/>
  <c r="BI17" i="4"/>
  <c r="AY17" i="4"/>
  <c r="AR17" i="4"/>
  <c r="AQ17" i="4"/>
  <c r="AJ17" i="4"/>
  <c r="AB17" i="4"/>
  <c r="V17" i="4"/>
  <c r="N17" i="4"/>
  <c r="H17" i="4"/>
  <c r="CJ16" i="4"/>
  <c r="CC16" i="4"/>
  <c r="CB16" i="4"/>
  <c r="BW16" i="4"/>
  <c r="BP16" i="4"/>
  <c r="BJ16" i="4"/>
  <c r="BI16" i="4"/>
  <c r="AZ16" i="4"/>
  <c r="AY16" i="4"/>
  <c r="AQ16" i="4"/>
  <c r="AK16" i="4"/>
  <c r="AJ16" i="4"/>
  <c r="AB16" i="4"/>
  <c r="W16" i="4"/>
  <c r="V16" i="4"/>
  <c r="N16" i="4"/>
  <c r="I16" i="4"/>
  <c r="H16" i="4"/>
  <c r="CK15" i="4"/>
  <c r="CJ15" i="4"/>
  <c r="CC15" i="4"/>
  <c r="CB15" i="4"/>
  <c r="BW15" i="4"/>
  <c r="BP15" i="4"/>
  <c r="BI15" i="4"/>
  <c r="AY15" i="4"/>
  <c r="AQ15" i="4"/>
  <c r="AJ15" i="4"/>
  <c r="AB15" i="4"/>
  <c r="V15" i="4"/>
  <c r="O15" i="4"/>
  <c r="N15" i="4"/>
  <c r="H15" i="4"/>
  <c r="CK14" i="4"/>
  <c r="CJ14" i="4"/>
  <c r="CB14" i="4"/>
  <c r="BW14" i="4"/>
  <c r="BP14" i="4"/>
  <c r="BI14" i="4"/>
  <c r="AZ14" i="4"/>
  <c r="AY14" i="4"/>
  <c r="AQ14" i="4"/>
  <c r="AJ14" i="4"/>
  <c r="AB14" i="4"/>
  <c r="W14" i="4"/>
  <c r="V14" i="4"/>
  <c r="N14" i="4"/>
  <c r="H14" i="4"/>
  <c r="CJ13" i="4"/>
  <c r="CC13" i="4"/>
  <c r="CB13" i="4"/>
  <c r="BX13" i="4"/>
  <c r="BW13" i="4"/>
  <c r="BQ13" i="4"/>
  <c r="BP13" i="4"/>
  <c r="BI13" i="4"/>
  <c r="AY13" i="4"/>
  <c r="AR13" i="4"/>
  <c r="AQ13" i="4"/>
  <c r="AJ13" i="4"/>
  <c r="AB13" i="4"/>
  <c r="V13" i="4"/>
  <c r="O13" i="4"/>
  <c r="N13" i="4"/>
  <c r="H13" i="4"/>
  <c r="CK12" i="4"/>
  <c r="CJ12" i="4"/>
  <c r="CC12" i="4"/>
  <c r="CB12" i="4"/>
  <c r="BX12" i="4"/>
  <c r="BW12" i="4"/>
  <c r="BP12" i="4"/>
  <c r="BJ12" i="4"/>
  <c r="BI12" i="4"/>
  <c r="AZ12" i="4"/>
  <c r="AY12" i="4"/>
  <c r="AR12" i="4"/>
  <c r="AQ12" i="4"/>
  <c r="AJ12" i="4"/>
  <c r="AC12" i="4"/>
  <c r="AB12" i="4"/>
  <c r="W12" i="4"/>
  <c r="V12" i="4"/>
  <c r="O12" i="4"/>
  <c r="N12" i="4"/>
  <c r="I12" i="4"/>
  <c r="H12" i="4"/>
  <c r="CJ11" i="4"/>
  <c r="CC11" i="4"/>
  <c r="CB11" i="4"/>
  <c r="BW11" i="4"/>
  <c r="BQ11" i="4"/>
  <c r="BP11" i="4"/>
  <c r="BI11" i="4"/>
  <c r="AY11" i="4"/>
  <c r="AQ11" i="4"/>
  <c r="AJ11" i="4"/>
  <c r="AB11" i="4"/>
  <c r="V11" i="4"/>
  <c r="N11" i="4"/>
  <c r="H11" i="4"/>
  <c r="CJ10" i="4"/>
  <c r="CC10" i="4"/>
  <c r="CB10" i="4"/>
  <c r="BX10" i="4"/>
  <c r="BW10" i="4"/>
  <c r="BP10" i="4"/>
  <c r="BI10" i="4"/>
  <c r="AZ10" i="4"/>
  <c r="AY10" i="4"/>
  <c r="AQ10" i="4"/>
  <c r="AK10" i="4"/>
  <c r="AJ10" i="4"/>
  <c r="AC10" i="4"/>
  <c r="AB10" i="4"/>
  <c r="V10" i="4"/>
  <c r="O10" i="4"/>
  <c r="N10" i="4"/>
  <c r="I10" i="4"/>
  <c r="H10" i="4"/>
  <c r="CJ9" i="4"/>
  <c r="CC9" i="4"/>
  <c r="CB9" i="4"/>
  <c r="BW9" i="4"/>
  <c r="BQ9" i="4"/>
  <c r="BP9" i="4"/>
  <c r="BJ9" i="4"/>
  <c r="BI9" i="4"/>
  <c r="AY9" i="4"/>
  <c r="AR9" i="4"/>
  <c r="AQ9" i="4"/>
  <c r="AJ9" i="4"/>
  <c r="AC9" i="4"/>
  <c r="AB9" i="4"/>
  <c r="V9" i="4"/>
  <c r="N9" i="4"/>
  <c r="H9" i="4"/>
  <c r="CK8" i="4"/>
  <c r="CJ8" i="4"/>
  <c r="CC8" i="4"/>
  <c r="CB8" i="4"/>
  <c r="BX8" i="4"/>
  <c r="BW8" i="4"/>
  <c r="BQ8" i="4"/>
  <c r="BP8" i="4"/>
  <c r="BJ8" i="4"/>
  <c r="BI8" i="4"/>
  <c r="AZ8" i="4"/>
  <c r="AY8" i="4"/>
  <c r="AR8" i="4"/>
  <c r="AQ8" i="4"/>
  <c r="AK8" i="4"/>
  <c r="AJ8" i="4"/>
  <c r="AC8" i="4"/>
  <c r="AB8" i="4"/>
  <c r="W8" i="4"/>
  <c r="V8" i="4"/>
  <c r="O8" i="4"/>
  <c r="N8" i="4"/>
  <c r="I8" i="4"/>
  <c r="H8" i="4"/>
  <c r="CK7" i="4"/>
  <c r="CJ7" i="4"/>
  <c r="CC7" i="4"/>
  <c r="CB7" i="4"/>
  <c r="BX7" i="4"/>
  <c r="BW7" i="4"/>
  <c r="BQ7" i="4"/>
  <c r="BP7" i="4"/>
  <c r="BJ7" i="4"/>
  <c r="BI7" i="4"/>
  <c r="AZ7" i="4"/>
  <c r="AY7" i="4"/>
  <c r="AR7" i="4"/>
  <c r="AQ7" i="4"/>
  <c r="AK7" i="4"/>
  <c r="AJ7" i="4"/>
  <c r="AC7" i="4"/>
  <c r="AB7" i="4"/>
  <c r="W7" i="4"/>
  <c r="V7" i="4"/>
  <c r="O7" i="4"/>
  <c r="N7" i="4"/>
  <c r="I7" i="4"/>
  <c r="H7" i="4"/>
  <c r="CK6" i="4"/>
  <c r="CJ6" i="4"/>
  <c r="CC6" i="4"/>
  <c r="CB6" i="4"/>
  <c r="BX6" i="4"/>
  <c r="BW6" i="4"/>
  <c r="BQ6" i="4"/>
  <c r="BP6" i="4"/>
  <c r="BJ6" i="4"/>
  <c r="BI6" i="4"/>
  <c r="AZ6" i="4"/>
  <c r="AY6" i="4"/>
  <c r="AR6" i="4"/>
  <c r="AQ6" i="4"/>
  <c r="AK6" i="4"/>
  <c r="AJ6" i="4"/>
  <c r="AC6" i="4"/>
  <c r="AB6" i="4"/>
  <c r="W6" i="4"/>
  <c r="V6" i="4"/>
  <c r="O6" i="4"/>
  <c r="N6" i="4"/>
  <c r="I6" i="4"/>
  <c r="H6" i="4"/>
  <c r="CK5" i="4"/>
  <c r="CJ5" i="4"/>
  <c r="CC5" i="4"/>
  <c r="CB5" i="4"/>
  <c r="BX5" i="4"/>
  <c r="BW5" i="4"/>
  <c r="BP5" i="4"/>
  <c r="BJ5" i="4"/>
  <c r="BI5" i="4"/>
  <c r="AZ5" i="4"/>
  <c r="AY5" i="4"/>
  <c r="AR5" i="4"/>
  <c r="AQ5" i="4"/>
  <c r="AK5" i="4"/>
  <c r="AJ5" i="4"/>
  <c r="AC5" i="4"/>
  <c r="AB5" i="4"/>
  <c r="W5" i="4"/>
  <c r="V5" i="4"/>
  <c r="O5" i="4"/>
  <c r="N5" i="4"/>
  <c r="I5" i="4"/>
  <c r="H5" i="4"/>
  <c r="CK4" i="4"/>
  <c r="CJ4" i="4"/>
  <c r="CB4" i="4"/>
  <c r="BX4" i="4"/>
  <c r="BW4" i="4"/>
  <c r="BQ4" i="4"/>
  <c r="BP4" i="4"/>
  <c r="BI4" i="4"/>
  <c r="AY4" i="4"/>
  <c r="AQ4" i="4"/>
  <c r="AJ4" i="4"/>
  <c r="AC4" i="4"/>
  <c r="AB4" i="4"/>
  <c r="W4" i="4"/>
  <c r="V4" i="4"/>
  <c r="O4" i="4"/>
  <c r="N4" i="4"/>
  <c r="H4" i="4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BF46" i="3"/>
  <c r="BE46" i="3"/>
  <c r="BD46" i="3"/>
  <c r="BC46" i="3"/>
  <c r="BB46" i="3"/>
  <c r="BA46" i="3"/>
  <c r="AZ46" i="3"/>
  <c r="AY46" i="3"/>
  <c r="AX46" i="3"/>
  <c r="AW46" i="3"/>
  <c r="AV46" i="3"/>
  <c r="AV53" i="3" s="1"/>
  <c r="AU46" i="3"/>
  <c r="AT46" i="3"/>
  <c r="AS46" i="3"/>
  <c r="AR46" i="3"/>
  <c r="AR53" i="3" s="1"/>
  <c r="AQ46" i="3"/>
  <c r="AL46" i="3"/>
  <c r="AK46" i="3"/>
  <c r="AJ46" i="3"/>
  <c r="AI46" i="3"/>
  <c r="AH46" i="3"/>
  <c r="AG46" i="3"/>
  <c r="AF46" i="3"/>
  <c r="AF53" i="3" s="1"/>
  <c r="AE46" i="3"/>
  <c r="AD46" i="3"/>
  <c r="AC46" i="3"/>
  <c r="AB46" i="3"/>
  <c r="AB53" i="3" s="1"/>
  <c r="AA46" i="3"/>
  <c r="Z46" i="3"/>
  <c r="Y46" i="3"/>
  <c r="X46" i="3"/>
  <c r="S46" i="3"/>
  <c r="S53" i="3" s="1"/>
  <c r="R46" i="3"/>
  <c r="Q46" i="3"/>
  <c r="P46" i="3"/>
  <c r="O46" i="3"/>
  <c r="O53" i="3" s="1"/>
  <c r="N46" i="3"/>
  <c r="M46" i="3"/>
  <c r="L46" i="3"/>
  <c r="K46" i="3"/>
  <c r="K53" i="3" s="1"/>
  <c r="J46" i="3"/>
  <c r="I46" i="3"/>
  <c r="H46" i="3"/>
  <c r="G46" i="3"/>
  <c r="F46" i="3"/>
  <c r="E46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BF43" i="3"/>
  <c r="BF44" i="3" s="1"/>
  <c r="BE43" i="3"/>
  <c r="BE44" i="3" s="1"/>
  <c r="BD43" i="3"/>
  <c r="BD44" i="3" s="1"/>
  <c r="BC43" i="3"/>
  <c r="BC44" i="3" s="1"/>
  <c r="BB43" i="3"/>
  <c r="BB44" i="3" s="1"/>
  <c r="BA43" i="3"/>
  <c r="BA44" i="3" s="1"/>
  <c r="AZ43" i="3"/>
  <c r="AZ44" i="3" s="1"/>
  <c r="AY43" i="3"/>
  <c r="AY44" i="3" s="1"/>
  <c r="AX43" i="3"/>
  <c r="AX44" i="3" s="1"/>
  <c r="AW43" i="3"/>
  <c r="AW44" i="3" s="1"/>
  <c r="AV43" i="3"/>
  <c r="AV44" i="3" s="1"/>
  <c r="AU43" i="3"/>
  <c r="AU44" i="3" s="1"/>
  <c r="AT43" i="3"/>
  <c r="AT44" i="3" s="1"/>
  <c r="AS43" i="3"/>
  <c r="AS44" i="3" s="1"/>
  <c r="AR43" i="3"/>
  <c r="AR44" i="3" s="1"/>
  <c r="AQ43" i="3"/>
  <c r="AQ44" i="3" s="1"/>
  <c r="AL43" i="3"/>
  <c r="AL44" i="3" s="1"/>
  <c r="AK43" i="3"/>
  <c r="AK44" i="3" s="1"/>
  <c r="AJ43" i="3"/>
  <c r="AJ44" i="3" s="1"/>
  <c r="AI43" i="3"/>
  <c r="AI44" i="3" s="1"/>
  <c r="AH43" i="3"/>
  <c r="AH44" i="3" s="1"/>
  <c r="AG43" i="3"/>
  <c r="AG44" i="3" s="1"/>
  <c r="AF43" i="3"/>
  <c r="AF44" i="3" s="1"/>
  <c r="AE43" i="3"/>
  <c r="AE44" i="3" s="1"/>
  <c r="AD43" i="3"/>
  <c r="AD44" i="3" s="1"/>
  <c r="AC43" i="3"/>
  <c r="AC44" i="3" s="1"/>
  <c r="AB43" i="3"/>
  <c r="AB44" i="3" s="1"/>
  <c r="AA43" i="3"/>
  <c r="AA44" i="3" s="1"/>
  <c r="Z43" i="3"/>
  <c r="Z44" i="3" s="1"/>
  <c r="Y43" i="3"/>
  <c r="Y44" i="3" s="1"/>
  <c r="X43" i="3"/>
  <c r="X44" i="3" s="1"/>
  <c r="S43" i="3"/>
  <c r="S44" i="3" s="1"/>
  <c r="R43" i="3"/>
  <c r="R44" i="3" s="1"/>
  <c r="Q43" i="3"/>
  <c r="Q44" i="3" s="1"/>
  <c r="P43" i="3"/>
  <c r="P44" i="3" s="1"/>
  <c r="O43" i="3"/>
  <c r="O44" i="3" s="1"/>
  <c r="N43" i="3"/>
  <c r="N44" i="3" s="1"/>
  <c r="M43" i="3"/>
  <c r="M44" i="3" s="1"/>
  <c r="L43" i="3"/>
  <c r="L44" i="3" s="1"/>
  <c r="K43" i="3"/>
  <c r="K44" i="3" s="1"/>
  <c r="J43" i="3"/>
  <c r="J44" i="3" s="1"/>
  <c r="I43" i="3"/>
  <c r="I44" i="3" s="1"/>
  <c r="H43" i="3"/>
  <c r="H44" i="3" s="1"/>
  <c r="G43" i="3"/>
  <c r="G44" i="3" s="1"/>
  <c r="F43" i="3"/>
  <c r="F44" i="3" s="1"/>
  <c r="E43" i="3"/>
  <c r="E44" i="3" s="1"/>
  <c r="BM35" i="3"/>
  <c r="BM38" i="3" s="1"/>
  <c r="BM4" i="3" s="1"/>
  <c r="BL35" i="3"/>
  <c r="BL38" i="3" s="1"/>
  <c r="BL4" i="3" s="1"/>
  <c r="BK35" i="3"/>
  <c r="BK38" i="3" s="1"/>
  <c r="BK4" i="3" s="1"/>
  <c r="BJ35" i="3"/>
  <c r="BJ38" i="3" s="1"/>
  <c r="BI35" i="3"/>
  <c r="BI38" i="3" s="1"/>
  <c r="BH35" i="3"/>
  <c r="BH38" i="3" s="1"/>
  <c r="BG35" i="3"/>
  <c r="BG38" i="3" s="1"/>
  <c r="BG4" i="3" s="1"/>
  <c r="BF35" i="3"/>
  <c r="BF38" i="3" s="1"/>
  <c r="BF4" i="3" s="1"/>
  <c r="BE35" i="3"/>
  <c r="BE38" i="3" s="1"/>
  <c r="BE4" i="3" s="1"/>
  <c r="BD35" i="3"/>
  <c r="BD38" i="3" s="1"/>
  <c r="BC35" i="3"/>
  <c r="BC38" i="3" s="1"/>
  <c r="BC4" i="3" s="1"/>
  <c r="BB35" i="3"/>
  <c r="BB38" i="3" s="1"/>
  <c r="BB4" i="3" s="1"/>
  <c r="BA35" i="3"/>
  <c r="BA38" i="3" s="1"/>
  <c r="AZ35" i="3"/>
  <c r="AZ38" i="3" s="1"/>
  <c r="AZ4" i="3" s="1"/>
  <c r="AY35" i="3"/>
  <c r="AY38" i="3" s="1"/>
  <c r="AX35" i="3"/>
  <c r="AX38" i="3" s="1"/>
  <c r="AX4" i="3" s="1"/>
  <c r="AW35" i="3"/>
  <c r="AW38" i="3" s="1"/>
  <c r="AV35" i="3"/>
  <c r="AV38" i="3" s="1"/>
  <c r="AV4" i="3" s="1"/>
  <c r="AU35" i="3"/>
  <c r="AU38" i="3" s="1"/>
  <c r="AU4" i="3" s="1"/>
  <c r="AT35" i="3"/>
  <c r="AT38" i="3" s="1"/>
  <c r="AT4" i="3" s="1"/>
  <c r="AS35" i="3"/>
  <c r="AS38" i="3" s="1"/>
  <c r="AR35" i="3"/>
  <c r="AR38" i="3" s="1"/>
  <c r="AR4" i="3" s="1"/>
  <c r="AQ35" i="3"/>
  <c r="AQ38" i="3" s="1"/>
  <c r="AQ4" i="3" s="1"/>
  <c r="AO35" i="3"/>
  <c r="AO38" i="3" s="1"/>
  <c r="AO4" i="3" s="1"/>
  <c r="AN35" i="3"/>
  <c r="AN38" i="3" s="1"/>
  <c r="AN4" i="3" s="1"/>
  <c r="AM35" i="3"/>
  <c r="AM38" i="3" s="1"/>
  <c r="AM4" i="3" s="1"/>
  <c r="AL35" i="3"/>
  <c r="AL38" i="3" s="1"/>
  <c r="AL4" i="3" s="1"/>
  <c r="AK35" i="3"/>
  <c r="AK38" i="3" s="1"/>
  <c r="AK4" i="3" s="1"/>
  <c r="AJ35" i="3"/>
  <c r="AJ38" i="3" s="1"/>
  <c r="AJ4" i="3" s="1"/>
  <c r="AI35" i="3"/>
  <c r="AI38" i="3" s="1"/>
  <c r="AI4" i="3" s="1"/>
  <c r="AH35" i="3"/>
  <c r="AH38" i="3" s="1"/>
  <c r="AH4" i="3" s="1"/>
  <c r="AG35" i="3"/>
  <c r="AG38" i="3" s="1"/>
  <c r="AF35" i="3"/>
  <c r="AF38" i="3" s="1"/>
  <c r="AF4" i="3" s="1"/>
  <c r="AE35" i="3"/>
  <c r="AE38" i="3" s="1"/>
  <c r="AE4" i="3" s="1"/>
  <c r="AD35" i="3"/>
  <c r="AD38" i="3" s="1"/>
  <c r="AD4" i="3" s="1"/>
  <c r="AC35" i="3"/>
  <c r="AC38" i="3" s="1"/>
  <c r="AB35" i="3"/>
  <c r="AB38" i="3" s="1"/>
  <c r="AA35" i="3"/>
  <c r="AA38" i="3" s="1"/>
  <c r="AA4" i="3" s="1"/>
  <c r="Z35" i="3"/>
  <c r="Z38" i="3" s="1"/>
  <c r="Z4" i="3" s="1"/>
  <c r="Y35" i="3"/>
  <c r="Y38" i="3" s="1"/>
  <c r="Y4" i="3" s="1"/>
  <c r="X35" i="3"/>
  <c r="X38" i="3" s="1"/>
  <c r="X4" i="3" s="1"/>
  <c r="V35" i="3"/>
  <c r="V38" i="3" s="1"/>
  <c r="V4" i="3" s="1"/>
  <c r="U35" i="3"/>
  <c r="U38" i="3" s="1"/>
  <c r="T35" i="3"/>
  <c r="T38" i="3" s="1"/>
  <c r="T4" i="3" s="1"/>
  <c r="S35" i="3"/>
  <c r="S38" i="3" s="1"/>
  <c r="S4" i="3" s="1"/>
  <c r="R35" i="3"/>
  <c r="R38" i="3" s="1"/>
  <c r="R4" i="3" s="1"/>
  <c r="Q35" i="3"/>
  <c r="Q38" i="3" s="1"/>
  <c r="Q4" i="3" s="1"/>
  <c r="P35" i="3"/>
  <c r="P38" i="3" s="1"/>
  <c r="O35" i="3"/>
  <c r="O38" i="3" s="1"/>
  <c r="O4" i="3" s="1"/>
  <c r="N35" i="3"/>
  <c r="N38" i="3" s="1"/>
  <c r="N4" i="3" s="1"/>
  <c r="M35" i="3"/>
  <c r="M38" i="3" s="1"/>
  <c r="M4" i="3" s="1"/>
  <c r="L35" i="3"/>
  <c r="L38" i="3" s="1"/>
  <c r="K35" i="3"/>
  <c r="K38" i="3" s="1"/>
  <c r="K4" i="3" s="1"/>
  <c r="J35" i="3"/>
  <c r="J38" i="3" s="1"/>
  <c r="J4" i="3" s="1"/>
  <c r="I35" i="3"/>
  <c r="I38" i="3" s="1"/>
  <c r="I4" i="3" s="1"/>
  <c r="H35" i="3"/>
  <c r="H38" i="3" s="1"/>
  <c r="H4" i="3" s="1"/>
  <c r="G35" i="3"/>
  <c r="G38" i="3" s="1"/>
  <c r="G4" i="3" s="1"/>
  <c r="F35" i="3"/>
  <c r="F38" i="3" s="1"/>
  <c r="F4" i="3" s="1"/>
  <c r="E35" i="3"/>
  <c r="E38" i="3" s="1"/>
  <c r="E4" i="3" s="1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BM11" i="3"/>
  <c r="BM24" i="3" s="1"/>
  <c r="BL11" i="3"/>
  <c r="BL24" i="3" s="1"/>
  <c r="BK11" i="3"/>
  <c r="BK24" i="3" s="1"/>
  <c r="BJ11" i="3"/>
  <c r="BJ24" i="3" s="1"/>
  <c r="BI11" i="3"/>
  <c r="BI24" i="3" s="1"/>
  <c r="BH11" i="3"/>
  <c r="BH24" i="3" s="1"/>
  <c r="BG11" i="3"/>
  <c r="BG24" i="3" s="1"/>
  <c r="AO11" i="3"/>
  <c r="AO24" i="3" s="1"/>
  <c r="AN11" i="3"/>
  <c r="AN24" i="3" s="1"/>
  <c r="AM11" i="3"/>
  <c r="AM24" i="3" s="1"/>
  <c r="V11" i="3"/>
  <c r="V24" i="3" s="1"/>
  <c r="U11" i="3"/>
  <c r="U24" i="3" s="1"/>
  <c r="T11" i="3"/>
  <c r="T24" i="3" s="1"/>
  <c r="BM10" i="3"/>
  <c r="BM23" i="3" s="1"/>
  <c r="BL10" i="3"/>
  <c r="BL23" i="3" s="1"/>
  <c r="BK10" i="3"/>
  <c r="BK23" i="3" s="1"/>
  <c r="BJ10" i="3"/>
  <c r="BJ23" i="3" s="1"/>
  <c r="BI10" i="3"/>
  <c r="BI23" i="3" s="1"/>
  <c r="BH10" i="3"/>
  <c r="BH23" i="3" s="1"/>
  <c r="BG10" i="3"/>
  <c r="BG23" i="3" s="1"/>
  <c r="AO10" i="3"/>
  <c r="AO23" i="3" s="1"/>
  <c r="AN10" i="3"/>
  <c r="AN23" i="3" s="1"/>
  <c r="AM10" i="3"/>
  <c r="AM23" i="3" s="1"/>
  <c r="V10" i="3"/>
  <c r="V23" i="3" s="1"/>
  <c r="U10" i="3"/>
  <c r="U23" i="3" s="1"/>
  <c r="T10" i="3"/>
  <c r="T23" i="3" s="1"/>
  <c r="BM9" i="3"/>
  <c r="BM22" i="3" s="1"/>
  <c r="BL9" i="3"/>
  <c r="BL22" i="3" s="1"/>
  <c r="BK9" i="3"/>
  <c r="BK22" i="3" s="1"/>
  <c r="BJ9" i="3"/>
  <c r="BJ22" i="3" s="1"/>
  <c r="BI9" i="3"/>
  <c r="BI22" i="3" s="1"/>
  <c r="BH9" i="3"/>
  <c r="BH22" i="3" s="1"/>
  <c r="BG9" i="3"/>
  <c r="BG22" i="3" s="1"/>
  <c r="AO9" i="3"/>
  <c r="AO22" i="3" s="1"/>
  <c r="AN9" i="3"/>
  <c r="AN22" i="3" s="1"/>
  <c r="AM9" i="3"/>
  <c r="AM22" i="3" s="1"/>
  <c r="V9" i="3"/>
  <c r="V22" i="3" s="1"/>
  <c r="U9" i="3"/>
  <c r="U22" i="3" s="1"/>
  <c r="T9" i="3"/>
  <c r="T22" i="3" s="1"/>
  <c r="BM8" i="3"/>
  <c r="BM21" i="3" s="1"/>
  <c r="BL8" i="3"/>
  <c r="BL21" i="3" s="1"/>
  <c r="BK8" i="3"/>
  <c r="BK21" i="3" s="1"/>
  <c r="BJ8" i="3"/>
  <c r="BJ21" i="3" s="1"/>
  <c r="BI8" i="3"/>
  <c r="BI21" i="3" s="1"/>
  <c r="BH8" i="3"/>
  <c r="BH21" i="3" s="1"/>
  <c r="BG8" i="3"/>
  <c r="AO8" i="3"/>
  <c r="AO21" i="3" s="1"/>
  <c r="AN8" i="3"/>
  <c r="AN21" i="3" s="1"/>
  <c r="AM8" i="3"/>
  <c r="AM21" i="3" s="1"/>
  <c r="V8" i="3"/>
  <c r="V21" i="3" s="1"/>
  <c r="U8" i="3"/>
  <c r="U21" i="3" s="1"/>
  <c r="T8" i="3"/>
  <c r="T21" i="3" s="1"/>
  <c r="BM7" i="3"/>
  <c r="BM20" i="3" s="1"/>
  <c r="BL7" i="3"/>
  <c r="BL20" i="3" s="1"/>
  <c r="BK7" i="3"/>
  <c r="BK20" i="3" s="1"/>
  <c r="BJ7" i="3"/>
  <c r="BJ20" i="3" s="1"/>
  <c r="BI7" i="3"/>
  <c r="BI20" i="3" s="1"/>
  <c r="BH7" i="3"/>
  <c r="BH20" i="3" s="1"/>
  <c r="BG7" i="3"/>
  <c r="BG20" i="3" s="1"/>
  <c r="AO7" i="3"/>
  <c r="AO20" i="3" s="1"/>
  <c r="AN7" i="3"/>
  <c r="AN20" i="3" s="1"/>
  <c r="AM7" i="3"/>
  <c r="AM20" i="3" s="1"/>
  <c r="V7" i="3"/>
  <c r="V20" i="3" s="1"/>
  <c r="U7" i="3"/>
  <c r="U20" i="3" s="1"/>
  <c r="T7" i="3"/>
  <c r="T20" i="3" s="1"/>
  <c r="BM6" i="3"/>
  <c r="BL6" i="3"/>
  <c r="BK6" i="3"/>
  <c r="BJ6" i="3"/>
  <c r="BI6" i="3"/>
  <c r="BH6" i="3"/>
  <c r="BG6" i="3"/>
  <c r="BG19" i="3" s="1"/>
  <c r="AO6" i="3"/>
  <c r="AN6" i="3"/>
  <c r="AN43" i="3" s="1"/>
  <c r="AN44" i="3" s="1"/>
  <c r="AM6" i="3"/>
  <c r="V6" i="3"/>
  <c r="V19" i="3" s="1"/>
  <c r="U6" i="3"/>
  <c r="T6" i="3"/>
  <c r="BM5" i="3"/>
  <c r="BL5" i="3"/>
  <c r="BK5" i="3"/>
  <c r="AO5" i="3"/>
  <c r="AN5" i="3"/>
  <c r="AN54" i="3" s="1"/>
  <c r="AM5" i="3"/>
  <c r="V5" i="3"/>
  <c r="U5" i="3"/>
  <c r="T5" i="3"/>
  <c r="BI4" i="3"/>
  <c r="AW4" i="3"/>
  <c r="AS4" i="3"/>
  <c r="AG4" i="3"/>
  <c r="AC4" i="3"/>
  <c r="AB4" i="3"/>
  <c r="U4" i="3"/>
  <c r="P4" i="3"/>
  <c r="L4" i="3"/>
  <c r="AW60" i="3" l="1"/>
  <c r="AG60" i="3"/>
  <c r="P60" i="3"/>
  <c r="BK32" i="3"/>
  <c r="T32" i="3"/>
  <c r="BL32" i="3"/>
  <c r="AM32" i="3"/>
  <c r="V32" i="3"/>
  <c r="BG32" i="3"/>
  <c r="BK19" i="3"/>
  <c r="AN19" i="3"/>
  <c r="BG21" i="3"/>
  <c r="CN7" i="4"/>
  <c r="CN15" i="4" s="1"/>
  <c r="CN8" i="4"/>
  <c r="CN16" i="4" s="1"/>
  <c r="CP16" i="4"/>
  <c r="CP8" i="4"/>
  <c r="CP12" i="4" s="1"/>
  <c r="CN9" i="4"/>
  <c r="CN13" i="4" s="1"/>
  <c r="CO7" i="4"/>
  <c r="CO15" i="4" s="1"/>
  <c r="CQ7" i="4"/>
  <c r="CQ15" i="4" s="1"/>
  <c r="CO8" i="4"/>
  <c r="CO16" i="4" s="1"/>
  <c r="CQ8" i="4"/>
  <c r="CQ16" i="4" s="1"/>
  <c r="CO9" i="4"/>
  <c r="CO17" i="4" s="1"/>
  <c r="CQ9" i="4"/>
  <c r="CQ17" i="4" s="1"/>
  <c r="CP11" i="4"/>
  <c r="CP7" i="4"/>
  <c r="CP15" i="4" s="1"/>
  <c r="CP9" i="4"/>
  <c r="CP17" i="4" s="1"/>
  <c r="AM54" i="3"/>
  <c r="AM45" i="3"/>
  <c r="BH43" i="3"/>
  <c r="BH44" i="3" s="1"/>
  <c r="BH32" i="3"/>
  <c r="T46" i="3"/>
  <c r="T43" i="3"/>
  <c r="T44" i="3" s="1"/>
  <c r="T19" i="3"/>
  <c r="BI46" i="3"/>
  <c r="BI43" i="3"/>
  <c r="BI44" i="3" s="1"/>
  <c r="BI32" i="3"/>
  <c r="BI19" i="3"/>
  <c r="X66" i="3"/>
  <c r="X60" i="3"/>
  <c r="X63" i="3"/>
  <c r="X56" i="3"/>
  <c r="X53" i="3"/>
  <c r="AB66" i="3"/>
  <c r="AB60" i="3"/>
  <c r="AB63" i="3"/>
  <c r="AB56" i="3"/>
  <c r="AB57" i="3" s="1"/>
  <c r="AB59" i="3" s="1"/>
  <c r="AF66" i="3"/>
  <c r="AF60" i="3"/>
  <c r="AF63" i="3"/>
  <c r="AF56" i="3"/>
  <c r="AF57" i="3" s="1"/>
  <c r="AF59" i="3" s="1"/>
  <c r="AJ66" i="3"/>
  <c r="AJ63" i="3"/>
  <c r="AJ60" i="3"/>
  <c r="AJ56" i="3"/>
  <c r="AJ53" i="3"/>
  <c r="BH46" i="3"/>
  <c r="BL54" i="3"/>
  <c r="BL45" i="3"/>
  <c r="AM46" i="3"/>
  <c r="AM43" i="3"/>
  <c r="AM44" i="3" s="1"/>
  <c r="BL43" i="3"/>
  <c r="BL44" i="3" s="1"/>
  <c r="BL46" i="3"/>
  <c r="BL19" i="3"/>
  <c r="T54" i="3"/>
  <c r="T45" i="3"/>
  <c r="BM54" i="3"/>
  <c r="BM45" i="3"/>
  <c r="AN46" i="3"/>
  <c r="AN32" i="3"/>
  <c r="BM46" i="3"/>
  <c r="BM43" i="3"/>
  <c r="BM44" i="3" s="1"/>
  <c r="BM32" i="3"/>
  <c r="BM19" i="3"/>
  <c r="AM19" i="3"/>
  <c r="BH19" i="3"/>
  <c r="AN45" i="3"/>
  <c r="U54" i="3"/>
  <c r="U45" i="3"/>
  <c r="AO54" i="3"/>
  <c r="AO45" i="3"/>
  <c r="U46" i="3"/>
  <c r="U43" i="3"/>
  <c r="U44" i="3" s="1"/>
  <c r="U32" i="3"/>
  <c r="AO46" i="3"/>
  <c r="AO43" i="3"/>
  <c r="AO44" i="3" s="1"/>
  <c r="BJ46" i="3"/>
  <c r="BJ43" i="3"/>
  <c r="BJ44" i="3" s="1"/>
  <c r="BJ32" i="3"/>
  <c r="AO19" i="3"/>
  <c r="AR66" i="3"/>
  <c r="AR60" i="3"/>
  <c r="AR63" i="3"/>
  <c r="AR56" i="3"/>
  <c r="AR57" i="3" s="1"/>
  <c r="AR59" i="3" s="1"/>
  <c r="AV66" i="3"/>
  <c r="AV60" i="3"/>
  <c r="AV63" i="3"/>
  <c r="AV56" i="3"/>
  <c r="AV57" i="3" s="1"/>
  <c r="AV59" i="3" s="1"/>
  <c r="AZ66" i="3"/>
  <c r="AZ63" i="3"/>
  <c r="AZ60" i="3"/>
  <c r="AZ56" i="3"/>
  <c r="BD66" i="3"/>
  <c r="BD60" i="3"/>
  <c r="BD63" i="3"/>
  <c r="BD56" i="3"/>
  <c r="AZ53" i="3"/>
  <c r="V54" i="3"/>
  <c r="V45" i="3"/>
  <c r="BK54" i="3"/>
  <c r="BK45" i="3"/>
  <c r="V46" i="3"/>
  <c r="V43" i="3"/>
  <c r="V44" i="3" s="1"/>
  <c r="BG46" i="3"/>
  <c r="BG43" i="3"/>
  <c r="BG44" i="3" s="1"/>
  <c r="BK46" i="3"/>
  <c r="BK43" i="3"/>
  <c r="BK44" i="3" s="1"/>
  <c r="U19" i="3"/>
  <c r="BJ19" i="3"/>
  <c r="AO32" i="3"/>
  <c r="G66" i="3"/>
  <c r="G60" i="3"/>
  <c r="G63" i="3"/>
  <c r="G56" i="3"/>
  <c r="K66" i="3"/>
  <c r="K60" i="3"/>
  <c r="K63" i="3"/>
  <c r="K56" i="3"/>
  <c r="K57" i="3" s="1"/>
  <c r="K59" i="3" s="1"/>
  <c r="O66" i="3"/>
  <c r="O60" i="3"/>
  <c r="O63" i="3"/>
  <c r="O56" i="3"/>
  <c r="O57" i="3" s="1"/>
  <c r="O59" i="3" s="1"/>
  <c r="O61" i="3" s="1"/>
  <c r="O62" i="3" s="1"/>
  <c r="O64" i="3" s="1"/>
  <c r="O65" i="3" s="1"/>
  <c r="S66" i="3"/>
  <c r="S63" i="3"/>
  <c r="S60" i="3"/>
  <c r="S56" i="3"/>
  <c r="S57" i="3" s="1"/>
  <c r="S59" i="3" s="1"/>
  <c r="G53" i="3"/>
  <c r="BD53" i="3"/>
  <c r="H66" i="3"/>
  <c r="H63" i="3"/>
  <c r="L66" i="3"/>
  <c r="L63" i="3"/>
  <c r="P66" i="3"/>
  <c r="P63" i="3"/>
  <c r="Y66" i="3"/>
  <c r="Y63" i="3"/>
  <c r="AC66" i="3"/>
  <c r="AC63" i="3"/>
  <c r="AG66" i="3"/>
  <c r="AG63" i="3"/>
  <c r="AK66" i="3"/>
  <c r="AK63" i="3"/>
  <c r="AS66" i="3"/>
  <c r="AS63" i="3"/>
  <c r="AW66" i="3"/>
  <c r="AW63" i="3"/>
  <c r="BA66" i="3"/>
  <c r="BA63" i="3"/>
  <c r="BE66" i="3"/>
  <c r="BE63" i="3"/>
  <c r="BE60" i="3"/>
  <c r="H53" i="3"/>
  <c r="L53" i="3"/>
  <c r="P53" i="3"/>
  <c r="Y53" i="3"/>
  <c r="Y57" i="3" s="1"/>
  <c r="Y59" i="3" s="1"/>
  <c r="AC53" i="3"/>
  <c r="AG53" i="3"/>
  <c r="AK53" i="3"/>
  <c r="AS53" i="3"/>
  <c r="AW53" i="3"/>
  <c r="BA53" i="3"/>
  <c r="BE53" i="3"/>
  <c r="BE57" i="3" s="1"/>
  <c r="BE59" i="3" s="1"/>
  <c r="BE61" i="3" s="1"/>
  <c r="BE62" i="3" s="1"/>
  <c r="H56" i="3"/>
  <c r="H57" i="3" s="1"/>
  <c r="H59" i="3" s="1"/>
  <c r="L56" i="3"/>
  <c r="P56" i="3"/>
  <c r="Y56" i="3"/>
  <c r="AC56" i="3"/>
  <c r="AC57" i="3" s="1"/>
  <c r="AC59" i="3" s="1"/>
  <c r="AG56" i="3"/>
  <c r="AK56" i="3"/>
  <c r="AS56" i="3"/>
  <c r="AW56" i="3"/>
  <c r="AW57" i="3" s="1"/>
  <c r="AW59" i="3" s="1"/>
  <c r="AW61" i="3" s="1"/>
  <c r="AW62" i="3" s="1"/>
  <c r="BA56" i="3"/>
  <c r="BE56" i="3"/>
  <c r="AK60" i="3"/>
  <c r="BA60" i="3"/>
  <c r="E63" i="3"/>
  <c r="E66" i="3"/>
  <c r="E60" i="3"/>
  <c r="I63" i="3"/>
  <c r="I66" i="3"/>
  <c r="I60" i="3"/>
  <c r="M66" i="3"/>
  <c r="M63" i="3"/>
  <c r="M60" i="3"/>
  <c r="Q66" i="3"/>
  <c r="Q63" i="3"/>
  <c r="Q60" i="3"/>
  <c r="Z63" i="3"/>
  <c r="Z66" i="3"/>
  <c r="Z60" i="3"/>
  <c r="AD66" i="3"/>
  <c r="AD63" i="3"/>
  <c r="AD60" i="3"/>
  <c r="AH66" i="3"/>
  <c r="AH63" i="3"/>
  <c r="AH60" i="3"/>
  <c r="AL63" i="3"/>
  <c r="AL66" i="3"/>
  <c r="AL60" i="3"/>
  <c r="AT66" i="3"/>
  <c r="AT63" i="3"/>
  <c r="AT60" i="3"/>
  <c r="AX66" i="3"/>
  <c r="AX63" i="3"/>
  <c r="AX60" i="3"/>
  <c r="BB63" i="3"/>
  <c r="BB60" i="3"/>
  <c r="BF63" i="3"/>
  <c r="BF66" i="3"/>
  <c r="E53" i="3"/>
  <c r="I53" i="3"/>
  <c r="M53" i="3"/>
  <c r="Q53" i="3"/>
  <c r="Z53" i="3"/>
  <c r="AD53" i="3"/>
  <c r="AH53" i="3"/>
  <c r="AL53" i="3"/>
  <c r="AT53" i="3"/>
  <c r="AX53" i="3"/>
  <c r="BB53" i="3"/>
  <c r="BF53" i="3"/>
  <c r="E56" i="3"/>
  <c r="E57" i="3" s="1"/>
  <c r="E59" i="3" s="1"/>
  <c r="E61" i="3" s="1"/>
  <c r="E62" i="3" s="1"/>
  <c r="E64" i="3" s="1"/>
  <c r="E65" i="3" s="1"/>
  <c r="I56" i="3"/>
  <c r="M56" i="3"/>
  <c r="Q56" i="3"/>
  <c r="Z56" i="3"/>
  <c r="Z57" i="3" s="1"/>
  <c r="Z59" i="3" s="1"/>
  <c r="AD56" i="3"/>
  <c r="AH56" i="3"/>
  <c r="AL56" i="3"/>
  <c r="AT56" i="3"/>
  <c r="AX56" i="3"/>
  <c r="BB56" i="3"/>
  <c r="BF56" i="3"/>
  <c r="BF57" i="3" s="1"/>
  <c r="BF59" i="3" s="1"/>
  <c r="AG57" i="3"/>
  <c r="AG59" i="3" s="1"/>
  <c r="H60" i="3"/>
  <c r="Y60" i="3"/>
  <c r="BF60" i="3"/>
  <c r="BB66" i="3"/>
  <c r="J66" i="3"/>
  <c r="J63" i="3"/>
  <c r="J60" i="3"/>
  <c r="N66" i="3"/>
  <c r="N63" i="3"/>
  <c r="N60" i="3"/>
  <c r="R66" i="3"/>
  <c r="R63" i="3"/>
  <c r="R60" i="3"/>
  <c r="AA66" i="3"/>
  <c r="AA63" i="3"/>
  <c r="AA60" i="3"/>
  <c r="AE66" i="3"/>
  <c r="AE63" i="3"/>
  <c r="AE60" i="3"/>
  <c r="AI66" i="3"/>
  <c r="AI63" i="3"/>
  <c r="AI60" i="3"/>
  <c r="AQ66" i="3"/>
  <c r="AQ63" i="3"/>
  <c r="AQ60" i="3"/>
  <c r="AU66" i="3"/>
  <c r="AU63" i="3"/>
  <c r="AU60" i="3"/>
  <c r="AY66" i="3"/>
  <c r="AY63" i="3"/>
  <c r="AY60" i="3"/>
  <c r="BC66" i="3"/>
  <c r="BC63" i="3"/>
  <c r="BC60" i="3"/>
  <c r="F53" i="3"/>
  <c r="J53" i="3"/>
  <c r="N53" i="3"/>
  <c r="R53" i="3"/>
  <c r="AA53" i="3"/>
  <c r="AE53" i="3"/>
  <c r="AI53" i="3"/>
  <c r="AQ53" i="3"/>
  <c r="AU53" i="3"/>
  <c r="AY53" i="3"/>
  <c r="BC53" i="3"/>
  <c r="J56" i="3"/>
  <c r="N56" i="3"/>
  <c r="R56" i="3"/>
  <c r="AA56" i="3"/>
  <c r="AE56" i="3"/>
  <c r="AI56" i="3"/>
  <c r="AQ56" i="3"/>
  <c r="AU56" i="3"/>
  <c r="AY56" i="3"/>
  <c r="BC56" i="3"/>
  <c r="L60" i="3"/>
  <c r="AC60" i="3"/>
  <c r="AS60" i="3"/>
  <c r="AS57" i="3" l="1"/>
  <c r="AS59" i="3" s="1"/>
  <c r="AU57" i="3"/>
  <c r="AU59" i="3" s="1"/>
  <c r="AU61" i="3" s="1"/>
  <c r="AU62" i="3" s="1"/>
  <c r="AA57" i="3"/>
  <c r="AA59" i="3" s="1"/>
  <c r="AA61" i="3" s="1"/>
  <c r="AA62" i="3" s="1"/>
  <c r="AS61" i="3"/>
  <c r="AS62" i="3" s="1"/>
  <c r="AS64" i="3" s="1"/>
  <c r="AS65" i="3" s="1"/>
  <c r="AS67" i="3" s="1"/>
  <c r="I57" i="3"/>
  <c r="I59" i="3" s="1"/>
  <c r="BA57" i="3"/>
  <c r="BA59" i="3" s="1"/>
  <c r="L57" i="3"/>
  <c r="L59" i="3" s="1"/>
  <c r="AW64" i="3"/>
  <c r="AW65" i="3" s="1"/>
  <c r="AW67" i="3" s="1"/>
  <c r="AL57" i="3"/>
  <c r="AL59" i="3" s="1"/>
  <c r="Y61" i="3"/>
  <c r="Y62" i="3" s="1"/>
  <c r="Y64" i="3" s="1"/>
  <c r="Y65" i="3" s="1"/>
  <c r="BB57" i="3"/>
  <c r="BB59" i="3" s="1"/>
  <c r="BB61" i="3" s="1"/>
  <c r="BB62" i="3" s="1"/>
  <c r="Q57" i="3"/>
  <c r="Q59" i="3" s="1"/>
  <c r="Q61" i="3" s="1"/>
  <c r="Q62" i="3" s="1"/>
  <c r="Q64" i="3" s="1"/>
  <c r="Q65" i="3" s="1"/>
  <c r="Q67" i="3" s="1"/>
  <c r="Q26" i="3" s="1"/>
  <c r="BF61" i="3"/>
  <c r="BF62" i="3" s="1"/>
  <c r="AX57" i="3"/>
  <c r="AX59" i="3" s="1"/>
  <c r="AH57" i="3"/>
  <c r="AH59" i="3" s="1"/>
  <c r="AH61" i="3" s="1"/>
  <c r="AH62" i="3" s="1"/>
  <c r="AH64" i="3" s="1"/>
  <c r="AH65" i="3" s="1"/>
  <c r="AH67" i="3" s="1"/>
  <c r="M57" i="3"/>
  <c r="M59" i="3" s="1"/>
  <c r="M61" i="3" s="1"/>
  <c r="M62" i="3" s="1"/>
  <c r="M64" i="3" s="1"/>
  <c r="M65" i="3" s="1"/>
  <c r="M67" i="3" s="1"/>
  <c r="BD57" i="3"/>
  <c r="BD59" i="3" s="1"/>
  <c r="BD61" i="3" s="1"/>
  <c r="BD62" i="3" s="1"/>
  <c r="BD64" i="3" s="1"/>
  <c r="BD65" i="3" s="1"/>
  <c r="BD67" i="3" s="1"/>
  <c r="AZ57" i="3"/>
  <c r="AZ59" i="3" s="1"/>
  <c r="AZ61" i="3" s="1"/>
  <c r="AZ62" i="3" s="1"/>
  <c r="AZ64" i="3" s="1"/>
  <c r="AZ65" i="3" s="1"/>
  <c r="AZ67" i="3" s="1"/>
  <c r="AV61" i="3"/>
  <c r="AV62" i="3" s="1"/>
  <c r="AV64" i="3" s="1"/>
  <c r="AV65" i="3" s="1"/>
  <c r="AV67" i="3" s="1"/>
  <c r="AV27" i="3" s="1"/>
  <c r="AR61" i="3"/>
  <c r="AR62" i="3" s="1"/>
  <c r="AR64" i="3" s="1"/>
  <c r="AR65" i="3" s="1"/>
  <c r="AR67" i="3" s="1"/>
  <c r="AR26" i="3" s="1"/>
  <c r="AJ57" i="3"/>
  <c r="AJ59" i="3" s="1"/>
  <c r="AJ61" i="3" s="1"/>
  <c r="AJ62" i="3" s="1"/>
  <c r="AJ64" i="3" s="1"/>
  <c r="AJ65" i="3" s="1"/>
  <c r="AJ67" i="3" s="1"/>
  <c r="AF61" i="3"/>
  <c r="AF62" i="3" s="1"/>
  <c r="AF64" i="3" s="1"/>
  <c r="AF65" i="3" s="1"/>
  <c r="AF67" i="3" s="1"/>
  <c r="AB61" i="3"/>
  <c r="AB62" i="3" s="1"/>
  <c r="AB64" i="3" s="1"/>
  <c r="AB65" i="3" s="1"/>
  <c r="AB67" i="3" s="1"/>
  <c r="AB26" i="3" s="1"/>
  <c r="CN11" i="4"/>
  <c r="AC61" i="3"/>
  <c r="AC62" i="3" s="1"/>
  <c r="AC64" i="3" s="1"/>
  <c r="AC65" i="3" s="1"/>
  <c r="BC57" i="3"/>
  <c r="BC59" i="3" s="1"/>
  <c r="BC61" i="3" s="1"/>
  <c r="BC62" i="3" s="1"/>
  <c r="AI57" i="3"/>
  <c r="AI59" i="3" s="1"/>
  <c r="AI61" i="3" s="1"/>
  <c r="AI62" i="3" s="1"/>
  <c r="AI64" i="3" s="1"/>
  <c r="AI65" i="3" s="1"/>
  <c r="AI67" i="3" s="1"/>
  <c r="N57" i="3"/>
  <c r="N59" i="3" s="1"/>
  <c r="N61" i="3" s="1"/>
  <c r="N62" i="3" s="1"/>
  <c r="N64" i="3" s="1"/>
  <c r="N65" i="3" s="1"/>
  <c r="N67" i="3" s="1"/>
  <c r="AL61" i="3"/>
  <c r="AL62" i="3" s="1"/>
  <c r="S61" i="3"/>
  <c r="S62" i="3" s="1"/>
  <c r="S64" i="3" s="1"/>
  <c r="S65" i="3" s="1"/>
  <c r="S67" i="3" s="1"/>
  <c r="K61" i="3"/>
  <c r="K62" i="3" s="1"/>
  <c r="K64" i="3" s="1"/>
  <c r="K65" i="3" s="1"/>
  <c r="K67" i="3" s="1"/>
  <c r="AY57" i="3"/>
  <c r="AY59" i="3" s="1"/>
  <c r="AE57" i="3"/>
  <c r="AE59" i="3" s="1"/>
  <c r="AE61" i="3" s="1"/>
  <c r="AE62" i="3" s="1"/>
  <c r="AE64" i="3" s="1"/>
  <c r="AE65" i="3" s="1"/>
  <c r="AE67" i="3" s="1"/>
  <c r="CN17" i="4"/>
  <c r="AX61" i="3"/>
  <c r="AX62" i="3" s="1"/>
  <c r="AX64" i="3" s="1"/>
  <c r="AX65" i="3" s="1"/>
  <c r="AX67" i="3" s="1"/>
  <c r="AD57" i="3"/>
  <c r="AD59" i="3" s="1"/>
  <c r="AD61" i="3" s="1"/>
  <c r="AD62" i="3" s="1"/>
  <c r="AD64" i="3" s="1"/>
  <c r="AD65" i="3" s="1"/>
  <c r="AD67" i="3" s="1"/>
  <c r="O67" i="3"/>
  <c r="O26" i="3" s="1"/>
  <c r="G57" i="3"/>
  <c r="G59" i="3" s="1"/>
  <c r="G61" i="3" s="1"/>
  <c r="G62" i="3" s="1"/>
  <c r="G64" i="3" s="1"/>
  <c r="G65" i="3" s="1"/>
  <c r="G67" i="3" s="1"/>
  <c r="G27" i="3" s="1"/>
  <c r="AY61" i="3"/>
  <c r="AY62" i="3" s="1"/>
  <c r="AY64" i="3" s="1"/>
  <c r="AY65" i="3" s="1"/>
  <c r="AY67" i="3" s="1"/>
  <c r="AG61" i="3"/>
  <c r="AG62" i="3" s="1"/>
  <c r="AG64" i="3" s="1"/>
  <c r="AG65" i="3" s="1"/>
  <c r="AG67" i="3" s="1"/>
  <c r="AG27" i="3" s="1"/>
  <c r="BA61" i="3"/>
  <c r="BA62" i="3" s="1"/>
  <c r="BA64" i="3" s="1"/>
  <c r="BA65" i="3" s="1"/>
  <c r="BA67" i="3" s="1"/>
  <c r="BA26" i="3" s="1"/>
  <c r="H61" i="3"/>
  <c r="H62" i="3" s="1"/>
  <c r="H64" i="3" s="1"/>
  <c r="H65" i="3" s="1"/>
  <c r="H67" i="3" s="1"/>
  <c r="CQ13" i="4"/>
  <c r="L61" i="3"/>
  <c r="L62" i="3" s="1"/>
  <c r="AL64" i="3"/>
  <c r="AL65" i="3" s="1"/>
  <c r="AL67" i="3" s="1"/>
  <c r="AL26" i="3" s="1"/>
  <c r="AQ57" i="3"/>
  <c r="AQ59" i="3" s="1"/>
  <c r="AQ61" i="3" s="1"/>
  <c r="AQ62" i="3" s="1"/>
  <c r="AQ64" i="3" s="1"/>
  <c r="AQ65" i="3" s="1"/>
  <c r="AQ67" i="3" s="1"/>
  <c r="R57" i="3"/>
  <c r="R59" i="3" s="1"/>
  <c r="R61" i="3" s="1"/>
  <c r="R62" i="3" s="1"/>
  <c r="R64" i="3" s="1"/>
  <c r="R65" i="3" s="1"/>
  <c r="R67" i="3" s="1"/>
  <c r="BB64" i="3"/>
  <c r="BB65" i="3" s="1"/>
  <c r="BB67" i="3" s="1"/>
  <c r="Z61" i="3"/>
  <c r="Z62" i="3" s="1"/>
  <c r="Z64" i="3" s="1"/>
  <c r="Z65" i="3" s="1"/>
  <c r="Z67" i="3" s="1"/>
  <c r="CQ11" i="4"/>
  <c r="CN12" i="4"/>
  <c r="CP13" i="4"/>
  <c r="CQ12" i="4"/>
  <c r="CO12" i="4"/>
  <c r="CO13" i="4"/>
  <c r="CO11" i="4"/>
  <c r="O27" i="3"/>
  <c r="BC64" i="3"/>
  <c r="BC65" i="3" s="1"/>
  <c r="BC67" i="3" s="1"/>
  <c r="E67" i="3"/>
  <c r="BF64" i="3"/>
  <c r="BF65" i="3" s="1"/>
  <c r="BF67" i="3" s="1"/>
  <c r="Y67" i="3"/>
  <c r="AJ27" i="3"/>
  <c r="AJ25" i="3"/>
  <c r="AJ26" i="3"/>
  <c r="AZ27" i="3"/>
  <c r="AZ25" i="3"/>
  <c r="AZ26" i="3"/>
  <c r="BE64" i="3"/>
  <c r="BE65" i="3" s="1"/>
  <c r="BE67" i="3" s="1"/>
  <c r="AG25" i="3"/>
  <c r="AC67" i="3"/>
  <c r="BD27" i="3"/>
  <c r="BD26" i="3"/>
  <c r="BD25" i="3"/>
  <c r="AF27" i="3"/>
  <c r="AF26" i="3"/>
  <c r="AF25" i="3"/>
  <c r="I61" i="3"/>
  <c r="I62" i="3" s="1"/>
  <c r="I64" i="3" s="1"/>
  <c r="I65" i="3" s="1"/>
  <c r="I67" i="3" s="1"/>
  <c r="U63" i="3"/>
  <c r="U66" i="3"/>
  <c r="U60" i="3"/>
  <c r="U56" i="3"/>
  <c r="U53" i="3"/>
  <c r="AN66" i="3"/>
  <c r="AN60" i="3"/>
  <c r="AN63" i="3"/>
  <c r="AN56" i="3"/>
  <c r="AN53" i="3"/>
  <c r="AM66" i="3"/>
  <c r="AM63" i="3"/>
  <c r="AM60" i="3"/>
  <c r="AM56" i="3"/>
  <c r="AM53" i="3"/>
  <c r="BI66" i="3"/>
  <c r="BI63" i="3"/>
  <c r="BI60" i="3"/>
  <c r="BI56" i="3"/>
  <c r="BI53" i="3"/>
  <c r="BJ66" i="3"/>
  <c r="BJ63" i="3"/>
  <c r="BJ60" i="3"/>
  <c r="BJ56" i="3"/>
  <c r="BJ53" i="3"/>
  <c r="T66" i="3"/>
  <c r="T63" i="3"/>
  <c r="T60" i="3"/>
  <c r="T56" i="3"/>
  <c r="T53" i="3"/>
  <c r="J57" i="3"/>
  <c r="J59" i="3" s="1"/>
  <c r="J61" i="3" s="1"/>
  <c r="J62" i="3" s="1"/>
  <c r="J64" i="3" s="1"/>
  <c r="J65" i="3" s="1"/>
  <c r="J67" i="3" s="1"/>
  <c r="AU64" i="3"/>
  <c r="AU65" i="3" s="1"/>
  <c r="AU67" i="3" s="1"/>
  <c r="AA64" i="3"/>
  <c r="AA65" i="3" s="1"/>
  <c r="AA67" i="3" s="1"/>
  <c r="P57" i="3"/>
  <c r="P59" i="3" s="1"/>
  <c r="P61" i="3" s="1"/>
  <c r="P62" i="3" s="1"/>
  <c r="P64" i="3" s="1"/>
  <c r="P65" i="3" s="1"/>
  <c r="P67" i="3" s="1"/>
  <c r="AK57" i="3"/>
  <c r="AK59" i="3" s="1"/>
  <c r="AK61" i="3" s="1"/>
  <c r="AK62" i="3" s="1"/>
  <c r="AK64" i="3" s="1"/>
  <c r="AK65" i="3" s="1"/>
  <c r="AK67" i="3" s="1"/>
  <c r="L64" i="3"/>
  <c r="L65" i="3" s="1"/>
  <c r="L67" i="3" s="1"/>
  <c r="X57" i="3"/>
  <c r="X59" i="3" s="1"/>
  <c r="X61" i="3" s="1"/>
  <c r="X62" i="3" s="1"/>
  <c r="X64" i="3" s="1"/>
  <c r="X65" i="3" s="1"/>
  <c r="X67" i="3" s="1"/>
  <c r="BG66" i="3"/>
  <c r="BG63" i="3"/>
  <c r="BG60" i="3"/>
  <c r="BG56" i="3"/>
  <c r="BG53" i="3"/>
  <c r="AO66" i="3"/>
  <c r="AO63" i="3"/>
  <c r="AO60" i="3"/>
  <c r="AO56" i="3"/>
  <c r="AO53" i="3"/>
  <c r="BL66" i="3"/>
  <c r="BL63" i="3"/>
  <c r="BL60" i="3"/>
  <c r="BL56" i="3"/>
  <c r="BL53" i="3"/>
  <c r="BH66" i="3"/>
  <c r="BH60" i="3"/>
  <c r="BH63" i="3"/>
  <c r="BH56" i="3"/>
  <c r="BH53" i="3"/>
  <c r="BK66" i="3"/>
  <c r="BK63" i="3"/>
  <c r="BK60" i="3"/>
  <c r="BK56" i="3"/>
  <c r="BK53" i="3"/>
  <c r="V66" i="3"/>
  <c r="V63" i="3"/>
  <c r="V60" i="3"/>
  <c r="V56" i="3"/>
  <c r="V53" i="3"/>
  <c r="AT57" i="3"/>
  <c r="AT59" i="3" s="1"/>
  <c r="AT61" i="3" s="1"/>
  <c r="AT62" i="3" s="1"/>
  <c r="AT64" i="3" s="1"/>
  <c r="AT65" i="3" s="1"/>
  <c r="AT67" i="3" s="1"/>
  <c r="F56" i="3"/>
  <c r="F57" i="3" s="1"/>
  <c r="F59" i="3" s="1"/>
  <c r="F60" i="3" s="1"/>
  <c r="F61" i="3" s="1"/>
  <c r="F62" i="3" s="1"/>
  <c r="F63" i="3" s="1"/>
  <c r="F64" i="3" s="1"/>
  <c r="F65" i="3" s="1"/>
  <c r="F66" i="3" s="1"/>
  <c r="F67" i="3" s="1"/>
  <c r="BM66" i="3"/>
  <c r="BM63" i="3"/>
  <c r="BM60" i="3"/>
  <c r="BM56" i="3"/>
  <c r="BM53" i="3"/>
  <c r="AW27" i="3" l="1"/>
  <c r="AW25" i="3"/>
  <c r="G25" i="3"/>
  <c r="AB25" i="3"/>
  <c r="AB29" i="3" s="1"/>
  <c r="AR25" i="3"/>
  <c r="BA27" i="3"/>
  <c r="O25" i="3"/>
  <c r="O29" i="3" s="1"/>
  <c r="Q27" i="3"/>
  <c r="AR27" i="3"/>
  <c r="G26" i="3"/>
  <c r="AL27" i="3"/>
  <c r="BG57" i="3"/>
  <c r="BG59" i="3" s="1"/>
  <c r="BG61" i="3" s="1"/>
  <c r="BG62" i="3" s="1"/>
  <c r="BG64" i="3" s="1"/>
  <c r="BG65" i="3" s="1"/>
  <c r="BG67" i="3" s="1"/>
  <c r="BB27" i="3"/>
  <c r="BB26" i="3"/>
  <c r="BB25" i="3"/>
  <c r="BB28" i="3" s="1"/>
  <c r="BH57" i="3"/>
  <c r="BH59" i="3" s="1"/>
  <c r="BH61" i="3" s="1"/>
  <c r="BH62" i="3" s="1"/>
  <c r="BH64" i="3" s="1"/>
  <c r="BH65" i="3" s="1"/>
  <c r="BH67" i="3" s="1"/>
  <c r="AN57" i="3"/>
  <c r="AN59" i="3" s="1"/>
  <c r="AB27" i="3"/>
  <c r="AV25" i="3"/>
  <c r="AV29" i="3" s="1"/>
  <c r="AV26" i="3"/>
  <c r="BA25" i="3"/>
  <c r="Z27" i="3"/>
  <c r="Z26" i="3"/>
  <c r="Z25" i="3"/>
  <c r="Z29" i="3" s="1"/>
  <c r="H25" i="3"/>
  <c r="H28" i="3" s="1"/>
  <c r="H26" i="3"/>
  <c r="H27" i="3"/>
  <c r="BI57" i="3"/>
  <c r="BI59" i="3" s="1"/>
  <c r="AG26" i="3"/>
  <c r="AW26" i="3"/>
  <c r="BL57" i="3"/>
  <c r="BL59" i="3" s="1"/>
  <c r="BK57" i="3"/>
  <c r="BK59" i="3" s="1"/>
  <c r="BK61" i="3" s="1"/>
  <c r="BK62" i="3" s="1"/>
  <c r="BK64" i="3" s="1"/>
  <c r="BK65" i="3" s="1"/>
  <c r="BK67" i="3" s="1"/>
  <c r="Q25" i="3"/>
  <c r="Q29" i="3" s="1"/>
  <c r="AL25" i="3"/>
  <c r="AT27" i="3"/>
  <c r="AT26" i="3"/>
  <c r="AT25" i="3"/>
  <c r="X27" i="3"/>
  <c r="X26" i="3"/>
  <c r="X25" i="3"/>
  <c r="AA26" i="3"/>
  <c r="AA27" i="3"/>
  <c r="AA25" i="3"/>
  <c r="L27" i="3"/>
  <c r="L26" i="3"/>
  <c r="L25" i="3"/>
  <c r="AU27" i="3"/>
  <c r="AU26" i="3"/>
  <c r="AU25" i="3"/>
  <c r="J26" i="3"/>
  <c r="J27" i="3"/>
  <c r="J25" i="3"/>
  <c r="F27" i="3"/>
  <c r="F26" i="3"/>
  <c r="F25" i="3"/>
  <c r="I27" i="3"/>
  <c r="I26" i="3"/>
  <c r="I25" i="3"/>
  <c r="BF27" i="3"/>
  <c r="BF26" i="3"/>
  <c r="BF25" i="3"/>
  <c r="AK27" i="3"/>
  <c r="AK26" i="3"/>
  <c r="AK25" i="3"/>
  <c r="AD27" i="3"/>
  <c r="AD26" i="3"/>
  <c r="AD25" i="3"/>
  <c r="S27" i="3"/>
  <c r="S25" i="3"/>
  <c r="S26" i="3"/>
  <c r="AH27" i="3"/>
  <c r="AH26" i="3"/>
  <c r="AH25" i="3"/>
  <c r="AE27" i="3"/>
  <c r="AE26" i="3"/>
  <c r="AE25" i="3"/>
  <c r="BL61" i="3"/>
  <c r="BL62" i="3" s="1"/>
  <c r="BL64" i="3" s="1"/>
  <c r="BL65" i="3" s="1"/>
  <c r="BL67" i="3" s="1"/>
  <c r="BI61" i="3"/>
  <c r="BI62" i="3" s="1"/>
  <c r="BI64" i="3" s="1"/>
  <c r="BI65" i="3" s="1"/>
  <c r="BI67" i="3" s="1"/>
  <c r="BE27" i="3"/>
  <c r="BE26" i="3"/>
  <c r="BE25" i="3"/>
  <c r="AX27" i="3"/>
  <c r="AX26" i="3"/>
  <c r="AX25" i="3"/>
  <c r="N27" i="3"/>
  <c r="N26" i="3"/>
  <c r="N25" i="3"/>
  <c r="BC27" i="3"/>
  <c r="BC26" i="3"/>
  <c r="BC25" i="3"/>
  <c r="Y27" i="3"/>
  <c r="Y26" i="3"/>
  <c r="Y25" i="3"/>
  <c r="AQ26" i="3"/>
  <c r="AQ27" i="3"/>
  <c r="AQ25" i="3"/>
  <c r="AW29" i="3"/>
  <c r="AW28" i="3"/>
  <c r="BM57" i="3"/>
  <c r="BM59" i="3" s="1"/>
  <c r="BM61" i="3" s="1"/>
  <c r="BM62" i="3" s="1"/>
  <c r="BM64" i="3" s="1"/>
  <c r="BM65" i="3" s="1"/>
  <c r="BM67" i="3" s="1"/>
  <c r="V57" i="3"/>
  <c r="V59" i="3" s="1"/>
  <c r="V61" i="3" s="1"/>
  <c r="V62" i="3" s="1"/>
  <c r="V64" i="3" s="1"/>
  <c r="V65" i="3" s="1"/>
  <c r="V67" i="3" s="1"/>
  <c r="T57" i="3"/>
  <c r="T59" i="3" s="1"/>
  <c r="T61" i="3" s="1"/>
  <c r="T62" i="3" s="1"/>
  <c r="T64" i="3" s="1"/>
  <c r="T65" i="3" s="1"/>
  <c r="T67" i="3" s="1"/>
  <c r="AM57" i="3"/>
  <c r="AM59" i="3" s="1"/>
  <c r="AM61" i="3" s="1"/>
  <c r="AM62" i="3" s="1"/>
  <c r="AM64" i="3" s="1"/>
  <c r="AM65" i="3" s="1"/>
  <c r="AM67" i="3" s="1"/>
  <c r="AN61" i="3"/>
  <c r="AN62" i="3" s="1"/>
  <c r="AN64" i="3" s="1"/>
  <c r="AN65" i="3" s="1"/>
  <c r="AN67" i="3" s="1"/>
  <c r="AF29" i="3"/>
  <c r="AF28" i="3"/>
  <c r="AR29" i="3"/>
  <c r="AR28" i="3"/>
  <c r="R27" i="3"/>
  <c r="R25" i="3"/>
  <c r="R26" i="3"/>
  <c r="G28" i="3"/>
  <c r="G29" i="3"/>
  <c r="AZ29" i="3"/>
  <c r="AZ28" i="3"/>
  <c r="AS27" i="3"/>
  <c r="AS26" i="3"/>
  <c r="AS25" i="3"/>
  <c r="BA29" i="3"/>
  <c r="BA28" i="3"/>
  <c r="E27" i="3"/>
  <c r="E26" i="3"/>
  <c r="E25" i="3"/>
  <c r="AY27" i="3"/>
  <c r="AY25" i="3"/>
  <c r="AY26" i="3"/>
  <c r="BD28" i="3"/>
  <c r="BD29" i="3"/>
  <c r="P27" i="3"/>
  <c r="P26" i="3"/>
  <c r="P25" i="3"/>
  <c r="AO57" i="3"/>
  <c r="AO59" i="3" s="1"/>
  <c r="AO61" i="3" s="1"/>
  <c r="AO62" i="3" s="1"/>
  <c r="AO64" i="3" s="1"/>
  <c r="AO65" i="3" s="1"/>
  <c r="AO67" i="3" s="1"/>
  <c r="BJ57" i="3"/>
  <c r="BJ59" i="3" s="1"/>
  <c r="BJ61" i="3" s="1"/>
  <c r="BJ62" i="3" s="1"/>
  <c r="BJ64" i="3" s="1"/>
  <c r="BJ65" i="3" s="1"/>
  <c r="BJ67" i="3" s="1"/>
  <c r="U57" i="3"/>
  <c r="U59" i="3" s="1"/>
  <c r="U61" i="3" s="1"/>
  <c r="U62" i="3" s="1"/>
  <c r="U64" i="3" s="1"/>
  <c r="U65" i="3" s="1"/>
  <c r="U67" i="3" s="1"/>
  <c r="AB28" i="3"/>
  <c r="K26" i="3"/>
  <c r="K27" i="3"/>
  <c r="K25" i="3"/>
  <c r="AC27" i="3"/>
  <c r="AC26" i="3"/>
  <c r="AC25" i="3"/>
  <c r="AG29" i="3"/>
  <c r="AG28" i="3"/>
  <c r="M27" i="3"/>
  <c r="M26" i="3"/>
  <c r="M25" i="3"/>
  <c r="AI27" i="3"/>
  <c r="AI25" i="3"/>
  <c r="AI26" i="3"/>
  <c r="AJ29" i="3"/>
  <c r="AJ28" i="3"/>
  <c r="AL29" i="3"/>
  <c r="AL28" i="3"/>
  <c r="Z28" i="3"/>
  <c r="AV28" i="3" l="1"/>
  <c r="O28" i="3"/>
  <c r="BB29" i="3"/>
  <c r="H29" i="3"/>
  <c r="Q28" i="3"/>
  <c r="T27" i="3"/>
  <c r="T26" i="3"/>
  <c r="T25" i="3"/>
  <c r="U27" i="3"/>
  <c r="U26" i="3"/>
  <c r="U25" i="3"/>
  <c r="AN27" i="3"/>
  <c r="AN26" i="3"/>
  <c r="AN25" i="3"/>
  <c r="AO27" i="3"/>
  <c r="AO26" i="3"/>
  <c r="AO25" i="3"/>
  <c r="BI27" i="3"/>
  <c r="BI26" i="3"/>
  <c r="BI25" i="3"/>
  <c r="AM27" i="3"/>
  <c r="AM26" i="3"/>
  <c r="AM25" i="3"/>
  <c r="BJ27" i="3"/>
  <c r="BJ26" i="3"/>
  <c r="BJ25" i="3"/>
  <c r="V27" i="3"/>
  <c r="V26" i="3"/>
  <c r="V25" i="3"/>
  <c r="BG26" i="3"/>
  <c r="BG27" i="3"/>
  <c r="BG25" i="3"/>
  <c r="AA28" i="3"/>
  <c r="AA29" i="3"/>
  <c r="AY29" i="3"/>
  <c r="AY28" i="3"/>
  <c r="AS28" i="3"/>
  <c r="AS29" i="3"/>
  <c r="BK27" i="3"/>
  <c r="BK26" i="3"/>
  <c r="BK25" i="3"/>
  <c r="N29" i="3"/>
  <c r="N28" i="3"/>
  <c r="AH29" i="3"/>
  <c r="AH28" i="3"/>
  <c r="AD29" i="3"/>
  <c r="AD28" i="3"/>
  <c r="I29" i="3"/>
  <c r="I28" i="3"/>
  <c r="J29" i="3"/>
  <c r="J28" i="3"/>
  <c r="AT29" i="3"/>
  <c r="AT28" i="3"/>
  <c r="P28" i="3"/>
  <c r="P29" i="3"/>
  <c r="R29" i="3"/>
  <c r="R28" i="3"/>
  <c r="AU29" i="3"/>
  <c r="AU28" i="3"/>
  <c r="K29" i="3"/>
  <c r="K28" i="3"/>
  <c r="E29" i="3"/>
  <c r="E28" i="3"/>
  <c r="BC28" i="3"/>
  <c r="BC29" i="3"/>
  <c r="AE29" i="3"/>
  <c r="AE28" i="3"/>
  <c r="BF29" i="3"/>
  <c r="BF28" i="3"/>
  <c r="F29" i="3"/>
  <c r="F28" i="3"/>
  <c r="X28" i="3"/>
  <c r="X29" i="3"/>
  <c r="AQ28" i="3"/>
  <c r="AQ29" i="3"/>
  <c r="Y28" i="3"/>
  <c r="Y29" i="3"/>
  <c r="AX29" i="3"/>
  <c r="AX28" i="3"/>
  <c r="BM27" i="3"/>
  <c r="BM26" i="3"/>
  <c r="BM25" i="3"/>
  <c r="AI28" i="3"/>
  <c r="AI29" i="3"/>
  <c r="M29" i="3"/>
  <c r="M28" i="3"/>
  <c r="AC28" i="3"/>
  <c r="AC29" i="3"/>
  <c r="BL27" i="3"/>
  <c r="BL26" i="3"/>
  <c r="BL25" i="3"/>
  <c r="BH26" i="3"/>
  <c r="BH27" i="3"/>
  <c r="BH25" i="3"/>
  <c r="BE28" i="3"/>
  <c r="BE29" i="3"/>
  <c r="S29" i="3"/>
  <c r="S28" i="3"/>
  <c r="AK29" i="3"/>
  <c r="AK28" i="3"/>
  <c r="L28" i="3"/>
  <c r="L29" i="3"/>
  <c r="AO28" i="3" l="1"/>
  <c r="AO29" i="3"/>
  <c r="BJ28" i="3"/>
  <c r="BJ29" i="3"/>
  <c r="T28" i="3"/>
  <c r="T29" i="3"/>
  <c r="BH28" i="3"/>
  <c r="BH29" i="3"/>
  <c r="BM28" i="3"/>
  <c r="BM29" i="3"/>
  <c r="BK28" i="3"/>
  <c r="BK29" i="3"/>
  <c r="V28" i="3"/>
  <c r="V29" i="3"/>
  <c r="U28" i="3"/>
  <c r="U29" i="3"/>
  <c r="AM28" i="3"/>
  <c r="AM29" i="3"/>
  <c r="BL28" i="3"/>
  <c r="BL29" i="3"/>
  <c r="BG28" i="3"/>
  <c r="BG29" i="3"/>
  <c r="BI28" i="3"/>
  <c r="BI29" i="3"/>
  <c r="AN28" i="3"/>
  <c r="AN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Daniella</author>
  </authors>
  <commentList>
    <comment ref="BO1" authorId="0" shapeId="0" xr:uid="{78FDAB12-DEFC-46F4-8EA5-2464B6E0F275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Density 4 is Density 4a modified to be 21cm from the crest instead of 6cm and with greater spacing in the centre</t>
        </r>
      </text>
    </comment>
    <comment ref="B12" authorId="0" shapeId="0" xr:uid="{DB21137D-ADBA-4FA4-A448-9B2A8243E58D}">
      <text>
        <r>
          <rPr>
            <b/>
            <sz val="9"/>
            <color indexed="81"/>
            <rFont val="Tahoma"/>
            <family val="2"/>
          </rPr>
          <t>Daniella:</t>
        </r>
        <r>
          <rPr>
            <sz val="9"/>
            <color indexed="81"/>
            <rFont val="Tahoma"/>
            <family val="2"/>
          </rPr>
          <t xml:space="preserve">
difficult to determine accurately =- 0.5cm</t>
        </r>
      </text>
    </comment>
  </commentList>
</comments>
</file>

<file path=xl/sharedStrings.xml><?xml version="1.0" encoding="utf-8"?>
<sst xmlns="http://schemas.openxmlformats.org/spreadsheetml/2006/main" count="246" uniqueCount="86">
  <si>
    <t>Velocity (m/s)</t>
  </si>
  <si>
    <t>Discharge (m³/s)</t>
  </si>
  <si>
    <t>LOW</t>
  </si>
  <si>
    <t>MED</t>
  </si>
  <si>
    <t>HIGH</t>
  </si>
  <si>
    <t>Flow</t>
  </si>
  <si>
    <t>Experiment</t>
  </si>
  <si>
    <r>
      <t>Discharge (m</t>
    </r>
    <r>
      <rPr>
        <sz val="11"/>
        <color theme="1"/>
        <rFont val="Calibri"/>
        <family val="2"/>
      </rPr>
      <t>³/s)</t>
    </r>
  </si>
  <si>
    <t>x (mm)</t>
  </si>
  <si>
    <t>Depth (mm)</t>
  </si>
  <si>
    <t>Upstream</t>
  </si>
  <si>
    <t>Weir Face</t>
  </si>
  <si>
    <t>Downstream</t>
  </si>
  <si>
    <t>Froude</t>
  </si>
  <si>
    <t>Fr (Crest)</t>
  </si>
  <si>
    <t>Fr (Point 2)</t>
  </si>
  <si>
    <t>Fr (Point 3)</t>
  </si>
  <si>
    <t>Fr (Point 4)</t>
  </si>
  <si>
    <t>Fr (Point 5)</t>
  </si>
  <si>
    <t>Fr (Point 6)</t>
  </si>
  <si>
    <t>Velocity</t>
  </si>
  <si>
    <t>V Calculated Crest (m/s)</t>
  </si>
  <si>
    <t>V Calculated Point 2 (m/s)</t>
  </si>
  <si>
    <t>V Calculated Point 3 (m/s)</t>
  </si>
  <si>
    <t>We</t>
  </si>
  <si>
    <t>Re</t>
  </si>
  <si>
    <t>ϑ</t>
  </si>
  <si>
    <t>ρ</t>
  </si>
  <si>
    <t>d</t>
  </si>
  <si>
    <t>σ</t>
  </si>
  <si>
    <t>Height of weir crest , P (m)</t>
  </si>
  <si>
    <t>Depth over weir h (m)</t>
  </si>
  <si>
    <t>Error h (cm)</t>
  </si>
  <si>
    <t>Broad- Crested Weir</t>
  </si>
  <si>
    <t>Weir breadth, b (m)</t>
  </si>
  <si>
    <t>Cd</t>
  </si>
  <si>
    <t>Flat-V weir</t>
  </si>
  <si>
    <t>Cde</t>
  </si>
  <si>
    <t>Cross slope, m</t>
  </si>
  <si>
    <t>Shape factor, Zh</t>
  </si>
  <si>
    <t>Height above crest H (m)</t>
  </si>
  <si>
    <t>Flat-V weir Correction</t>
  </si>
  <si>
    <t>upstream gauged depth, h1</t>
  </si>
  <si>
    <t>crest head reading, h1 (m)</t>
  </si>
  <si>
    <t>h' (m)</t>
  </si>
  <si>
    <t>crest width, b (m)</t>
  </si>
  <si>
    <t>base width (m)</t>
  </si>
  <si>
    <t>P1 (m)</t>
  </si>
  <si>
    <t>wall slope degree, theta</t>
  </si>
  <si>
    <t>correction factor, kh</t>
  </si>
  <si>
    <t>effective gauged head, h1e</t>
  </si>
  <si>
    <t>Area, A</t>
  </si>
  <si>
    <t>kh</t>
  </si>
  <si>
    <t>Shape Factor, Zh</t>
  </si>
  <si>
    <t>1st iteration</t>
  </si>
  <si>
    <t>coriolis coefficient, alpha</t>
  </si>
  <si>
    <t>2nd iteration</t>
  </si>
  <si>
    <t>velocity head</t>
  </si>
  <si>
    <t>Zh</t>
  </si>
  <si>
    <t>3rd iteration</t>
  </si>
  <si>
    <t>4th iteration</t>
  </si>
  <si>
    <t>Error</t>
  </si>
  <si>
    <t>SUM</t>
  </si>
  <si>
    <t>%</t>
  </si>
  <si>
    <t>Body length (cm)</t>
  </si>
  <si>
    <t>low</t>
  </si>
  <si>
    <t>med</t>
  </si>
  <si>
    <t>high</t>
  </si>
  <si>
    <t>SE</t>
  </si>
  <si>
    <t>Upper CI</t>
  </si>
  <si>
    <t>Lower CI</t>
  </si>
  <si>
    <t xml:space="preserve">PASSAGE </t>
  </si>
  <si>
    <t>% PASSING</t>
  </si>
  <si>
    <t>Point Gauge Measurements 1 (mm)</t>
  </si>
  <si>
    <t>Point Gauge Measurements 2 (mm)</t>
  </si>
  <si>
    <t>Flow (m3s-1)</t>
  </si>
  <si>
    <t>weir bed</t>
  </si>
  <si>
    <t>water surface</t>
  </si>
  <si>
    <t>Distance along weir face US to DS  (mm)</t>
  </si>
  <si>
    <t>Location (y)</t>
  </si>
  <si>
    <t>Treatment</t>
  </si>
  <si>
    <t>README: 1= pass, 0 = fail. 20 trials per treatment</t>
  </si>
  <si>
    <t>λ1</t>
  </si>
  <si>
    <t>λ2</t>
  </si>
  <si>
    <t>λ3</t>
  </si>
  <si>
    <t>λ4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</si>
</sst>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2" fontId="0" fillId="0" borderId="1" xfId="0" applyNumberFormat="1" applyFill="1" applyBorder="1"/>
    <xf numFmtId="2" fontId="2" fillId="0" borderId="1" xfId="0" applyNumberFormat="1" applyFont="1" applyFill="1" applyBorder="1"/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2" fontId="2" fillId="0" borderId="0" xfId="0" applyNumberFormat="1" applyFont="1" applyFill="1" applyBorder="1"/>
    <xf numFmtId="0" fontId="0" fillId="0" borderId="0" xfId="0" applyBorder="1"/>
    <xf numFmtId="2" fontId="0" fillId="0" borderId="5" xfId="0" applyNumberFormat="1" applyFill="1" applyBorder="1"/>
    <xf numFmtId="0" fontId="0" fillId="0" borderId="5" xfId="0" applyBorder="1"/>
    <xf numFmtId="2" fontId="0" fillId="0" borderId="4" xfId="0" applyNumberFormat="1" applyFill="1" applyBorder="1"/>
    <xf numFmtId="2" fontId="2" fillId="0" borderId="4" xfId="0" applyNumberFormat="1" applyFont="1" applyFill="1" applyBorder="1"/>
    <xf numFmtId="2" fontId="0" fillId="4" borderId="0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2" fontId="0" fillId="3" borderId="0" xfId="0" applyNumberFormat="1" applyFill="1" applyBorder="1"/>
    <xf numFmtId="1" fontId="0" fillId="0" borderId="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/>
    </xf>
    <xf numFmtId="2" fontId="0" fillId="5" borderId="5" xfId="0" applyNumberFormat="1" applyFill="1" applyBorder="1"/>
    <xf numFmtId="2" fontId="0" fillId="5" borderId="14" xfId="0" applyNumberFormat="1" applyFill="1" applyBorder="1"/>
    <xf numFmtId="2" fontId="0" fillId="3" borderId="14" xfId="0" applyNumberFormat="1" applyFill="1" applyBorder="1"/>
    <xf numFmtId="2" fontId="0" fillId="5" borderId="15" xfId="0" applyNumberFormat="1" applyFill="1" applyBorder="1"/>
    <xf numFmtId="2" fontId="0" fillId="3" borderId="15" xfId="0" applyNumberFormat="1" applyFill="1" applyBorder="1"/>
    <xf numFmtId="2" fontId="0" fillId="5" borderId="7" xfId="0" applyNumberFormat="1" applyFill="1" applyBorder="1"/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/>
    <xf numFmtId="2" fontId="0" fillId="4" borderId="10" xfId="0" applyNumberFormat="1" applyFill="1" applyBorder="1"/>
    <xf numFmtId="2" fontId="0" fillId="3" borderId="1" xfId="0" applyNumberFormat="1" applyFill="1" applyBorder="1"/>
    <xf numFmtId="2" fontId="0" fillId="4" borderId="12" xfId="0" applyNumberFormat="1" applyFill="1" applyBorder="1"/>
    <xf numFmtId="2" fontId="0" fillId="4" borderId="2" xfId="0" applyNumberFormat="1" applyFill="1" applyBorder="1"/>
    <xf numFmtId="2" fontId="0" fillId="4" borderId="10" xfId="0" applyNumberFormat="1" applyFill="1" applyBorder="1" applyAlignment="1">
      <alignment vertical="center"/>
    </xf>
    <xf numFmtId="2" fontId="0" fillId="4" borderId="1" xfId="0" applyNumberFormat="1" applyFill="1" applyBorder="1"/>
    <xf numFmtId="1" fontId="0" fillId="4" borderId="0" xfId="0" applyNumberFormat="1" applyFill="1" applyBorder="1"/>
    <xf numFmtId="2" fontId="2" fillId="4" borderId="13" xfId="0" applyNumberFormat="1" applyFont="1" applyFill="1" applyBorder="1"/>
    <xf numFmtId="2" fontId="2" fillId="3" borderId="0" xfId="0" applyNumberFormat="1" applyFont="1" applyFill="1" applyBorder="1"/>
    <xf numFmtId="2" fontId="2" fillId="4" borderId="11" xfId="0" applyNumberFormat="1" applyFont="1" applyFill="1" applyBorder="1"/>
    <xf numFmtId="2" fontId="2" fillId="4" borderId="3" xfId="0" applyNumberFormat="1" applyFont="1" applyFill="1" applyBorder="1"/>
    <xf numFmtId="2" fontId="0" fillId="4" borderId="13" xfId="0" applyNumberFormat="1" applyFill="1" applyBorder="1"/>
    <xf numFmtId="2" fontId="0" fillId="0" borderId="11" xfId="0" applyNumberFormat="1" applyFill="1" applyBorder="1"/>
    <xf numFmtId="2" fontId="0" fillId="4" borderId="0" xfId="0" applyNumberFormat="1" applyFill="1" applyBorder="1"/>
    <xf numFmtId="2" fontId="0" fillId="4" borderId="4" xfId="0" applyNumberFormat="1" applyFill="1" applyBorder="1" applyAlignment="1">
      <alignment horizontal="center"/>
    </xf>
    <xf numFmtId="1" fontId="0" fillId="4" borderId="4" xfId="0" applyNumberFormat="1" applyFill="1" applyBorder="1"/>
    <xf numFmtId="2" fontId="0" fillId="4" borderId="16" xfId="0" applyNumberFormat="1" applyFill="1" applyBorder="1"/>
    <xf numFmtId="2" fontId="0" fillId="3" borderId="4" xfId="0" applyNumberFormat="1" applyFill="1" applyBorder="1"/>
    <xf numFmtId="2" fontId="0" fillId="4" borderId="17" xfId="0" applyNumberFormat="1" applyFill="1" applyBorder="1"/>
    <xf numFmtId="2" fontId="0" fillId="4" borderId="6" xfId="0" applyNumberFormat="1" applyFill="1" applyBorder="1"/>
    <xf numFmtId="2" fontId="0" fillId="4" borderId="4" xfId="0" applyNumberFormat="1" applyFill="1" applyBorder="1"/>
    <xf numFmtId="2" fontId="2" fillId="4" borderId="10" xfId="0" applyNumberFormat="1" applyFont="1" applyFill="1" applyBorder="1"/>
    <xf numFmtId="2" fontId="2" fillId="3" borderId="1" xfId="0" applyNumberFormat="1" applyFont="1" applyFill="1" applyBorder="1"/>
    <xf numFmtId="2" fontId="2" fillId="4" borderId="12" xfId="0" applyNumberFormat="1" applyFont="1" applyFill="1" applyBorder="1"/>
    <xf numFmtId="2" fontId="2" fillId="4" borderId="2" xfId="0" applyNumberFormat="1" applyFont="1" applyFill="1" applyBorder="1"/>
    <xf numFmtId="2" fontId="0" fillId="4" borderId="4" xfId="0" applyNumberFormat="1" applyFill="1" applyBorder="1" applyAlignment="1">
      <alignment horizontal="center" vertical="center"/>
    </xf>
    <xf numFmtId="2" fontId="2" fillId="4" borderId="16" xfId="0" applyNumberFormat="1" applyFont="1" applyFill="1" applyBorder="1"/>
    <xf numFmtId="2" fontId="2" fillId="3" borderId="4" xfId="0" applyNumberFormat="1" applyFont="1" applyFill="1" applyBorder="1"/>
    <xf numFmtId="2" fontId="2" fillId="4" borderId="17" xfId="0" applyNumberFormat="1" applyFont="1" applyFill="1" applyBorder="1"/>
    <xf numFmtId="2" fontId="2" fillId="4" borderId="6" xfId="0" applyNumberFormat="1" applyFont="1" applyFill="1" applyBorder="1"/>
    <xf numFmtId="2" fontId="0" fillId="4" borderId="1" xfId="0" applyNumberFormat="1" applyFill="1" applyBorder="1" applyAlignment="1">
      <alignment horizontal="center" vertical="center"/>
    </xf>
    <xf numFmtId="1" fontId="0" fillId="0" borderId="1" xfId="0" applyNumberFormat="1" applyFill="1" applyBorder="1"/>
    <xf numFmtId="2" fontId="2" fillId="0" borderId="10" xfId="0" applyNumberFormat="1" applyFont="1" applyFill="1" applyBorder="1"/>
    <xf numFmtId="2" fontId="2" fillId="3" borderId="10" xfId="0" applyNumberFormat="1" applyFont="1" applyFill="1" applyBorder="1"/>
    <xf numFmtId="1" fontId="0" fillId="0" borderId="0" xfId="0" applyNumberFormat="1" applyFill="1" applyBorder="1"/>
    <xf numFmtId="2" fontId="2" fillId="0" borderId="13" xfId="0" applyNumberFormat="1" applyFont="1" applyFill="1" applyBorder="1"/>
    <xf numFmtId="2" fontId="2" fillId="3" borderId="13" xfId="0" applyNumberFormat="1" applyFont="1" applyFill="1" applyBorder="1"/>
    <xf numFmtId="2" fontId="2" fillId="0" borderId="11" xfId="0" applyNumberFormat="1" applyFont="1" applyFill="1" applyBorder="1"/>
    <xf numFmtId="1" fontId="0" fillId="0" borderId="4" xfId="0" applyNumberFormat="1" applyFill="1" applyBorder="1"/>
    <xf numFmtId="2" fontId="2" fillId="0" borderId="16" xfId="0" applyNumberFormat="1" applyFont="1" applyFill="1" applyBorder="1"/>
    <xf numFmtId="2" fontId="2" fillId="3" borderId="16" xfId="0" applyNumberFormat="1" applyFont="1" applyFill="1" applyBorder="1"/>
    <xf numFmtId="2" fontId="0" fillId="2" borderId="0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4" borderId="18" xfId="0" applyNumberFormat="1" applyFill="1" applyBorder="1" applyAlignment="1">
      <alignment horizontal="center" vertical="center"/>
    </xf>
    <xf numFmtId="1" fontId="0" fillId="0" borderId="18" xfId="0" applyNumberFormat="1" applyFill="1" applyBorder="1"/>
    <xf numFmtId="2" fontId="2" fillId="0" borderId="19" xfId="0" applyNumberFormat="1" applyFont="1" applyFill="1" applyBorder="1"/>
    <xf numFmtId="2" fontId="2" fillId="3" borderId="19" xfId="0" applyNumberFormat="1" applyFont="1" applyFill="1" applyBorder="1"/>
    <xf numFmtId="2" fontId="2" fillId="0" borderId="18" xfId="0" applyNumberFormat="1" applyFont="1" applyFill="1" applyBorder="1"/>
    <xf numFmtId="2" fontId="0" fillId="0" borderId="18" xfId="0" applyNumberFormat="1" applyFill="1" applyBorder="1"/>
    <xf numFmtId="2" fontId="0" fillId="0" borderId="9" xfId="0" applyNumberFormat="1" applyFill="1" applyBorder="1" applyAlignment="1">
      <alignment horizontal="center" vertical="center"/>
    </xf>
    <xf numFmtId="1" fontId="0" fillId="0" borderId="9" xfId="0" applyNumberFormat="1" applyFill="1" applyBorder="1"/>
    <xf numFmtId="2" fontId="2" fillId="0" borderId="20" xfId="0" applyNumberFormat="1" applyFont="1" applyFill="1" applyBorder="1"/>
    <xf numFmtId="2" fontId="2" fillId="3" borderId="20" xfId="0" applyNumberFormat="1" applyFont="1" applyFill="1" applyBorder="1"/>
    <xf numFmtId="2" fontId="2" fillId="0" borderId="9" xfId="0" applyNumberFormat="1" applyFont="1" applyFill="1" applyBorder="1"/>
    <xf numFmtId="2" fontId="0" fillId="0" borderId="9" xfId="0" applyNumberFormat="1" applyFill="1" applyBorder="1"/>
    <xf numFmtId="2" fontId="3" fillId="0" borderId="0" xfId="0" applyNumberFormat="1" applyFont="1" applyFill="1" applyBorder="1" applyAlignment="1">
      <alignment horizontal="center"/>
    </xf>
    <xf numFmtId="2" fontId="0" fillId="0" borderId="13" xfId="0" applyNumberFormat="1" applyFill="1" applyBorder="1"/>
    <xf numFmtId="2" fontId="0" fillId="3" borderId="13" xfId="0" applyNumberFormat="1" applyFill="1" applyBorder="1"/>
    <xf numFmtId="0" fontId="2" fillId="0" borderId="0" xfId="0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0" fillId="0" borderId="9" xfId="0" applyNumberFormat="1" applyBorder="1"/>
    <xf numFmtId="2" fontId="0" fillId="0" borderId="20" xfId="0" applyNumberFormat="1" applyBorder="1"/>
    <xf numFmtId="2" fontId="0" fillId="3" borderId="20" xfId="0" applyNumberFormat="1" applyFill="1" applyBorder="1"/>
    <xf numFmtId="2" fontId="2" fillId="0" borderId="0" xfId="0" applyNumberFormat="1" applyFont="1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2" fontId="2" fillId="5" borderId="0" xfId="0" applyNumberFormat="1" applyFont="1" applyFill="1" applyBorder="1"/>
    <xf numFmtId="2" fontId="2" fillId="5" borderId="13" xfId="0" applyNumberFormat="1" applyFont="1" applyFill="1" applyBorder="1"/>
    <xf numFmtId="2" fontId="0" fillId="5" borderId="0" xfId="0" applyNumberFormat="1" applyFill="1" applyBorder="1"/>
    <xf numFmtId="2" fontId="2" fillId="0" borderId="3" xfId="0" applyNumberFormat="1" applyFont="1" applyFill="1" applyBorder="1"/>
    <xf numFmtId="2" fontId="0" fillId="0" borderId="3" xfId="0" applyNumberFormat="1" applyFill="1" applyBorder="1"/>
    <xf numFmtId="2" fontId="0" fillId="0" borderId="13" xfId="0" applyNumberFormat="1" applyBorder="1"/>
    <xf numFmtId="2" fontId="0" fillId="0" borderId="11" xfId="0" applyNumberFormat="1" applyBorder="1"/>
    <xf numFmtId="2" fontId="0" fillId="0" borderId="3" xfId="0" applyNumberFormat="1" applyBorder="1"/>
    <xf numFmtId="164" fontId="0" fillId="0" borderId="7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5" xfId="0" applyNumberFormat="1" applyBorder="1"/>
    <xf numFmtId="164" fontId="0" fillId="0" borderId="0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13" xfId="0" applyNumberFormat="1" applyBorder="1"/>
    <xf numFmtId="1" fontId="0" fillId="0" borderId="3" xfId="0" applyNumberFormat="1" applyBorder="1"/>
    <xf numFmtId="1" fontId="0" fillId="0" borderId="11" xfId="0" applyNumberFormat="1" applyBorder="1"/>
    <xf numFmtId="1" fontId="0" fillId="0" borderId="3" xfId="0" applyNumberFormat="1" applyFill="1" applyBorder="1" applyAlignment="1">
      <alignment horizontal="center"/>
    </xf>
    <xf numFmtId="1" fontId="0" fillId="4" borderId="3" xfId="0" applyNumberFormat="1" applyFill="1" applyBorder="1" applyAlignment="1">
      <alignment horizontal="center" vertical="center"/>
    </xf>
    <xf numFmtId="1" fontId="0" fillId="4" borderId="0" xfId="0" applyNumberForma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0" fillId="4" borderId="3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" fontId="0" fillId="0" borderId="11" xfId="0" applyNumberFormat="1" applyFill="1" applyBorder="1"/>
    <xf numFmtId="1" fontId="0" fillId="0" borderId="3" xfId="0" applyNumberFormat="1" applyFill="1" applyBorder="1"/>
    <xf numFmtId="1" fontId="0" fillId="4" borderId="3" xfId="0" applyNumberFormat="1" applyFill="1" applyBorder="1"/>
    <xf numFmtId="164" fontId="0" fillId="0" borderId="7" xfId="0" applyNumberFormat="1" applyBorder="1" applyAlignment="1">
      <alignment horizontal="center"/>
    </xf>
    <xf numFmtId="1" fontId="0" fillId="0" borderId="7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" fontId="0" fillId="0" borderId="14" xfId="0" applyNumberFormat="1" applyFill="1" applyBorder="1"/>
    <xf numFmtId="1" fontId="0" fillId="0" borderId="7" xfId="0" applyNumberFormat="1" applyFill="1" applyBorder="1"/>
    <xf numFmtId="164" fontId="0" fillId="0" borderId="0" xfId="0" applyNumberFormat="1" applyBorder="1" applyAlignment="1">
      <alignment horizontal="center"/>
    </xf>
    <xf numFmtId="1" fontId="0" fillId="0" borderId="13" xfId="0" applyNumberFormat="1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21" xfId="0" applyBorder="1"/>
    <xf numFmtId="0" fontId="1" fillId="0" borderId="21" xfId="0" applyFont="1" applyBorder="1"/>
    <xf numFmtId="2" fontId="1" fillId="0" borderId="21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 vertical="center"/>
    </xf>
    <xf numFmtId="0" fontId="0" fillId="0" borderId="21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4" borderId="11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5" xfId="0" applyNumberFormat="1" applyBorder="1"/>
    <xf numFmtId="2" fontId="0" fillId="0" borderId="15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2" fontId="0" fillId="3" borderId="0" xfId="0" applyNumberFormat="1" applyFill="1"/>
    <xf numFmtId="2" fontId="0" fillId="0" borderId="0" xfId="0" applyNumberFormat="1"/>
    <xf numFmtId="2" fontId="0" fillId="0" borderId="4" xfId="0" applyNumberFormat="1" applyBorder="1"/>
    <xf numFmtId="2" fontId="0" fillId="0" borderId="17" xfId="0" applyNumberFormat="1" applyBorder="1"/>
    <xf numFmtId="2" fontId="2" fillId="0" borderId="10" xfId="0" applyNumberFormat="1" applyFont="1" applyBorder="1"/>
    <xf numFmtId="2" fontId="2" fillId="0" borderId="1" xfId="0" applyNumberFormat="1" applyFont="1" applyBorder="1"/>
    <xf numFmtId="2" fontId="2" fillId="0" borderId="12" xfId="0" applyNumberFormat="1" applyFont="1" applyBorder="1"/>
    <xf numFmtId="2" fontId="2" fillId="0" borderId="13" xfId="0" applyNumberFormat="1" applyFont="1" applyBorder="1"/>
    <xf numFmtId="2" fontId="2" fillId="0" borderId="0" xfId="0" applyNumberFormat="1" applyFont="1"/>
    <xf numFmtId="2" fontId="2" fillId="0" borderId="11" xfId="0" applyNumberFormat="1" applyFont="1" applyBorder="1"/>
    <xf numFmtId="2" fontId="2" fillId="0" borderId="16" xfId="0" applyNumberFormat="1" applyFont="1" applyBorder="1"/>
    <xf numFmtId="2" fontId="2" fillId="0" borderId="4" xfId="0" applyNumberFormat="1" applyFont="1" applyBorder="1"/>
    <xf numFmtId="2" fontId="2" fillId="0" borderId="17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/>
    <xf numFmtId="2" fontId="2" fillId="0" borderId="22" xfId="0" applyNumberFormat="1" applyFont="1" applyBorder="1"/>
    <xf numFmtId="2" fontId="2" fillId="0" borderId="20" xfId="0" applyNumberFormat="1" applyFont="1" applyBorder="1"/>
    <xf numFmtId="2" fontId="2" fillId="0" borderId="9" xfId="0" applyNumberFormat="1" applyFont="1" applyBorder="1"/>
    <xf numFmtId="2" fontId="2" fillId="0" borderId="23" xfId="0" applyNumberFormat="1" applyFont="1" applyBorder="1"/>
    <xf numFmtId="2" fontId="0" fillId="0" borderId="23" xfId="0" applyNumberFormat="1" applyBorder="1"/>
    <xf numFmtId="169" fontId="0" fillId="0" borderId="13" xfId="0" applyNumberFormat="1" applyBorder="1"/>
    <xf numFmtId="169" fontId="0" fillId="3" borderId="0" xfId="0" applyNumberFormat="1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1F4F-E762-40B9-9968-B22BECED0DFD}">
  <dimension ref="A1:CQ105"/>
  <sheetViews>
    <sheetView zoomScale="90" zoomScaleNormal="90" workbookViewId="0">
      <pane xSplit="1" topLeftCell="BD1" activePane="topRight" state="frozen"/>
      <selection pane="topRight" activeCell="CN2" sqref="CN2"/>
    </sheetView>
  </sheetViews>
  <sheetFormatPr defaultRowHeight="15" x14ac:dyDescent="0.25"/>
  <cols>
    <col min="1" max="1" width="16.140625" style="149" bestFit="1" customWidth="1"/>
    <col min="2" max="2" width="10.28515625" style="21" bestFit="1" customWidth="1"/>
    <col min="3" max="3" width="3.42578125" style="123" bestFit="1" customWidth="1"/>
    <col min="4" max="4" width="3.28515625" style="21" bestFit="1" customWidth="1"/>
    <col min="5" max="7" width="2.140625" style="21" customWidth="1"/>
    <col min="8" max="8" width="5" style="24" bestFit="1" customWidth="1"/>
    <col min="9" max="9" width="7.7109375" style="123" bestFit="1" customWidth="1"/>
    <col min="10" max="10" width="4.42578125" style="123" bestFit="1" customWidth="1"/>
    <col min="11" max="11" width="3.28515625" style="119" bestFit="1" customWidth="1"/>
    <col min="12" max="12" width="2.140625" style="119" customWidth="1"/>
    <col min="13" max="13" width="2.140625" style="122" customWidth="1"/>
    <col min="14" max="14" width="5" style="120" bestFit="1" customWidth="1"/>
    <col min="15" max="15" width="5.5703125" style="120" bestFit="1" customWidth="1"/>
    <col min="16" max="16" width="3.42578125" style="21" bestFit="1" customWidth="1"/>
    <col min="17" max="17" width="3.28515625" style="21" bestFit="1" customWidth="1"/>
    <col min="18" max="21" width="2.140625" style="119" customWidth="1"/>
    <col min="22" max="22" width="5" style="120" bestFit="1" customWidth="1"/>
    <col min="23" max="23" width="5" style="121" customWidth="1"/>
    <col min="24" max="24" width="3.28515625" style="121" bestFit="1" customWidth="1"/>
    <col min="25" max="26" width="3.140625" style="119" customWidth="1"/>
    <col min="27" max="27" width="3.140625" style="122" customWidth="1"/>
    <col min="28" max="28" width="5" style="120" bestFit="1" customWidth="1"/>
    <col min="29" max="29" width="5.5703125" style="120" bestFit="1" customWidth="1"/>
    <col min="30" max="30" width="9.140625" style="119"/>
    <col min="31" max="31" width="4" style="121" bestFit="1" customWidth="1"/>
    <col min="32" max="32" width="3.28515625" style="119" bestFit="1" customWidth="1"/>
    <col min="33" max="35" width="2.140625" style="119" customWidth="1"/>
    <col min="36" max="36" width="5" style="120" bestFit="1" customWidth="1"/>
    <col min="37" max="37" width="7.7109375" style="121" bestFit="1" customWidth="1"/>
    <col min="38" max="38" width="3.28515625" style="121" bestFit="1" customWidth="1"/>
    <col min="39" max="39" width="3.28515625" style="119" bestFit="1" customWidth="1"/>
    <col min="40" max="41" width="2.140625" style="119" customWidth="1"/>
    <col min="42" max="42" width="2.140625" style="122" customWidth="1"/>
    <col min="43" max="43" width="5" style="120" bestFit="1" customWidth="1"/>
    <col min="44" max="44" width="5" style="120" customWidth="1"/>
    <col min="45" max="45" width="3.42578125" style="119" bestFit="1" customWidth="1"/>
    <col min="46" max="46" width="3.28515625" style="119" bestFit="1" customWidth="1"/>
    <col min="47" max="50" width="2.140625" style="119" customWidth="1"/>
    <col min="51" max="51" width="5" style="120" bestFit="1" customWidth="1"/>
    <col min="52" max="52" width="7.7109375" style="121" bestFit="1" customWidth="1"/>
    <col min="53" max="53" width="4.42578125" style="121" bestFit="1" customWidth="1"/>
    <col min="54" max="55" width="3.28515625" style="119" bestFit="1" customWidth="1"/>
    <col min="56" max="59" width="3.140625" style="119" customWidth="1"/>
    <col min="60" max="60" width="3.140625" style="122" customWidth="1"/>
    <col min="61" max="61" width="5" style="120" bestFit="1" customWidth="1"/>
    <col min="62" max="62" width="5" style="120" customWidth="1"/>
    <col min="63" max="63" width="9.140625" style="119"/>
    <col min="64" max="64" width="3.42578125" style="121" bestFit="1" customWidth="1"/>
    <col min="65" max="65" width="3.28515625" style="119" bestFit="1" customWidth="1"/>
    <col min="66" max="66" width="2.140625" style="119" bestFit="1" customWidth="1"/>
    <col min="67" max="67" width="2.140625" style="119" customWidth="1"/>
    <col min="68" max="68" width="5" style="148" bestFit="1" customWidth="1"/>
    <col min="69" max="69" width="5" style="139" customWidth="1"/>
    <col min="70" max="70" width="3.42578125" style="121" bestFit="1" customWidth="1"/>
    <col min="71" max="73" width="3.42578125" style="119" customWidth="1"/>
    <col min="74" max="74" width="3.42578125" style="122" customWidth="1"/>
    <col min="75" max="75" width="5" style="120" bestFit="1" customWidth="1"/>
    <col min="76" max="76" width="7.7109375" style="120" bestFit="1" customWidth="1"/>
    <col min="77" max="77" width="3.42578125" style="119" bestFit="1" customWidth="1"/>
    <col min="78" max="78" width="3.28515625" style="119" bestFit="1" customWidth="1"/>
    <col min="79" max="79" width="2.28515625" style="119" customWidth="1"/>
    <col min="80" max="80" width="5" style="148" bestFit="1" customWidth="1"/>
    <col min="81" max="81" width="7.7109375" style="139" bestFit="1" customWidth="1"/>
    <col min="82" max="82" width="4.42578125" style="121" bestFit="1" customWidth="1"/>
    <col min="83" max="85" width="3.28515625" style="119" bestFit="1" customWidth="1"/>
    <col min="86" max="86" width="3.28515625" style="122" bestFit="1" customWidth="1"/>
    <col min="87" max="87" width="0" style="119" hidden="1" customWidth="1"/>
    <col min="88" max="88" width="5" style="120" bestFit="1" customWidth="1"/>
    <col min="89" max="89" width="5.5703125" style="120" bestFit="1" customWidth="1"/>
    <col min="90" max="90" width="9.140625" style="119"/>
    <col min="91" max="16384" width="9.140625" style="8"/>
  </cols>
  <sheetData>
    <row r="1" spans="1:95" ht="15.75" thickBot="1" x14ac:dyDescent="0.3">
      <c r="A1" s="159" t="s">
        <v>81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60"/>
    </row>
    <row r="2" spans="1:95" s="10" customFormat="1" ht="15.75" thickBot="1" x14ac:dyDescent="0.3">
      <c r="A2" s="109"/>
      <c r="B2" s="110" t="s">
        <v>80</v>
      </c>
      <c r="C2" s="164" t="s">
        <v>82</v>
      </c>
      <c r="D2" s="165"/>
      <c r="E2" s="165"/>
      <c r="F2" s="165"/>
      <c r="G2" s="166"/>
      <c r="H2" s="111" t="s">
        <v>62</v>
      </c>
      <c r="I2" s="112" t="s">
        <v>63</v>
      </c>
      <c r="J2" s="164" t="s">
        <v>83</v>
      </c>
      <c r="K2" s="165"/>
      <c r="L2" s="165"/>
      <c r="M2" s="166"/>
      <c r="N2" s="111" t="s">
        <v>62</v>
      </c>
      <c r="O2" s="111" t="s">
        <v>63</v>
      </c>
      <c r="P2" s="164" t="s">
        <v>84</v>
      </c>
      <c r="Q2" s="165"/>
      <c r="R2" s="165"/>
      <c r="S2" s="165"/>
      <c r="T2" s="165"/>
      <c r="U2" s="166"/>
      <c r="V2" s="111" t="s">
        <v>62</v>
      </c>
      <c r="W2" s="112" t="s">
        <v>63</v>
      </c>
      <c r="X2" s="161" t="s">
        <v>85</v>
      </c>
      <c r="Y2" s="162"/>
      <c r="Z2" s="162"/>
      <c r="AA2" s="163"/>
      <c r="AB2" s="111" t="s">
        <v>62</v>
      </c>
      <c r="AC2" s="111" t="s">
        <v>63</v>
      </c>
      <c r="AD2" s="113"/>
      <c r="AE2" s="164" t="s">
        <v>82</v>
      </c>
      <c r="AF2" s="165"/>
      <c r="AG2" s="165"/>
      <c r="AH2" s="165"/>
      <c r="AI2" s="166"/>
      <c r="AJ2" s="111" t="s">
        <v>62</v>
      </c>
      <c r="AK2" s="112" t="s">
        <v>63</v>
      </c>
      <c r="AL2" s="161" t="s">
        <v>83</v>
      </c>
      <c r="AM2" s="162"/>
      <c r="AN2" s="162"/>
      <c r="AO2" s="162"/>
      <c r="AP2" s="163"/>
      <c r="AQ2" s="111" t="s">
        <v>62</v>
      </c>
      <c r="AR2" s="111" t="s">
        <v>63</v>
      </c>
      <c r="AS2" s="164" t="s">
        <v>84</v>
      </c>
      <c r="AT2" s="165"/>
      <c r="AU2" s="165"/>
      <c r="AV2" s="165"/>
      <c r="AW2" s="165"/>
      <c r="AX2" s="166"/>
      <c r="AY2" s="111" t="s">
        <v>62</v>
      </c>
      <c r="AZ2" s="112" t="s">
        <v>63</v>
      </c>
      <c r="BA2" s="161" t="s">
        <v>85</v>
      </c>
      <c r="BB2" s="162"/>
      <c r="BC2" s="162"/>
      <c r="BD2" s="162"/>
      <c r="BE2" s="162"/>
      <c r="BF2" s="162"/>
      <c r="BG2" s="162"/>
      <c r="BH2" s="163"/>
      <c r="BI2" s="111" t="s">
        <v>62</v>
      </c>
      <c r="BJ2" s="111" t="s">
        <v>63</v>
      </c>
      <c r="BK2" s="113"/>
      <c r="BL2" s="161" t="s">
        <v>82</v>
      </c>
      <c r="BM2" s="162"/>
      <c r="BN2" s="162"/>
      <c r="BO2" s="163"/>
      <c r="BP2" s="111" t="s">
        <v>62</v>
      </c>
      <c r="BQ2" s="112" t="s">
        <v>63</v>
      </c>
      <c r="BR2" s="161" t="s">
        <v>83</v>
      </c>
      <c r="BS2" s="162"/>
      <c r="BT2" s="162"/>
      <c r="BU2" s="162"/>
      <c r="BV2" s="163"/>
      <c r="BW2" s="111" t="s">
        <v>62</v>
      </c>
      <c r="BX2" s="111" t="s">
        <v>63</v>
      </c>
      <c r="BY2" s="161" t="s">
        <v>84</v>
      </c>
      <c r="BZ2" s="162"/>
      <c r="CA2" s="163"/>
      <c r="CB2" s="111" t="s">
        <v>62</v>
      </c>
      <c r="CC2" s="112" t="s">
        <v>63</v>
      </c>
      <c r="CD2" s="161" t="s">
        <v>85</v>
      </c>
      <c r="CE2" s="162"/>
      <c r="CF2" s="162"/>
      <c r="CG2" s="162"/>
      <c r="CH2" s="163"/>
      <c r="CI2" s="113"/>
      <c r="CJ2" s="111" t="s">
        <v>62</v>
      </c>
      <c r="CK2" s="111" t="s">
        <v>63</v>
      </c>
      <c r="CL2" s="113"/>
      <c r="CN2" s="186" t="s">
        <v>82</v>
      </c>
      <c r="CO2" s="186" t="s">
        <v>83</v>
      </c>
      <c r="CP2" s="186" t="s">
        <v>84</v>
      </c>
      <c r="CQ2" s="187" t="s">
        <v>85</v>
      </c>
    </row>
    <row r="3" spans="1:95" x14ac:dyDescent="0.25">
      <c r="A3" s="114" t="s">
        <v>64</v>
      </c>
      <c r="B3" s="21" t="s">
        <v>5</v>
      </c>
      <c r="C3" s="115"/>
      <c r="D3" s="116"/>
      <c r="E3" s="116"/>
      <c r="F3" s="116"/>
      <c r="G3" s="116"/>
      <c r="H3" s="117"/>
      <c r="I3" s="115"/>
      <c r="J3" s="115"/>
      <c r="K3" s="116"/>
      <c r="L3" s="116"/>
      <c r="M3" s="118"/>
      <c r="N3" s="117"/>
      <c r="O3" s="117"/>
      <c r="P3" s="119"/>
      <c r="Q3" s="119"/>
      <c r="AD3" s="21" t="s">
        <v>5</v>
      </c>
      <c r="AE3" s="115"/>
      <c r="AF3" s="116"/>
      <c r="AG3" s="116"/>
      <c r="AH3" s="116"/>
      <c r="AI3" s="116"/>
      <c r="AJ3" s="117"/>
      <c r="AK3" s="115"/>
      <c r="AL3" s="115"/>
      <c r="AM3" s="116"/>
      <c r="AN3" s="116"/>
      <c r="AO3" s="116"/>
      <c r="AP3" s="118"/>
      <c r="AQ3" s="117"/>
      <c r="AR3" s="117"/>
      <c r="AS3" s="116"/>
      <c r="AT3" s="116"/>
      <c r="AU3" s="116"/>
      <c r="AV3" s="116"/>
      <c r="AW3" s="116"/>
      <c r="AX3" s="116"/>
      <c r="AY3" s="117"/>
      <c r="AZ3" s="115"/>
      <c r="BA3" s="115"/>
      <c r="BB3" s="116"/>
      <c r="BC3" s="116"/>
      <c r="BD3" s="116"/>
      <c r="BE3" s="116"/>
      <c r="BF3" s="116"/>
      <c r="BG3" s="116"/>
      <c r="BH3" s="118"/>
      <c r="BI3" s="117"/>
      <c r="BJ3" s="117"/>
      <c r="BK3" s="21" t="s">
        <v>5</v>
      </c>
      <c r="BL3" s="123"/>
      <c r="BM3" s="21"/>
      <c r="BN3" s="21"/>
      <c r="BO3" s="21"/>
      <c r="BP3" s="24"/>
      <c r="BQ3" s="123"/>
      <c r="BR3" s="115"/>
      <c r="BS3" s="116"/>
      <c r="BT3" s="116"/>
      <c r="BU3" s="116"/>
      <c r="BV3" s="118"/>
      <c r="BW3" s="117"/>
      <c r="BX3" s="117"/>
      <c r="BY3" s="116"/>
      <c r="BZ3" s="116"/>
      <c r="CA3" s="116"/>
      <c r="CB3" s="117"/>
      <c r="CC3" s="115"/>
      <c r="CM3" s="8" t="s">
        <v>2</v>
      </c>
      <c r="CN3" s="119">
        <f>C27</f>
        <v>35</v>
      </c>
      <c r="CO3" s="119">
        <f>J27</f>
        <v>75</v>
      </c>
      <c r="CP3" s="119">
        <f>P27</f>
        <v>80</v>
      </c>
      <c r="CQ3" s="119">
        <f>X27</f>
        <v>75</v>
      </c>
    </row>
    <row r="4" spans="1:95" x14ac:dyDescent="0.25">
      <c r="A4" s="114">
        <v>7</v>
      </c>
      <c r="B4" s="21" t="s">
        <v>65</v>
      </c>
      <c r="C4" s="115"/>
      <c r="D4" s="116"/>
      <c r="E4" s="116"/>
      <c r="F4" s="116"/>
      <c r="G4" s="116"/>
      <c r="H4" s="117">
        <f>COUNT(C4:G4)</f>
        <v>0</v>
      </c>
      <c r="J4" s="124">
        <v>1</v>
      </c>
      <c r="K4" s="125">
        <v>1</v>
      </c>
      <c r="L4" s="125">
        <v>1</v>
      </c>
      <c r="M4" s="118"/>
      <c r="N4" s="117">
        <f>COUNT(J4:M4)</f>
        <v>3</v>
      </c>
      <c r="O4" s="117">
        <f>SUM(J4:M4)/COUNT(J4:M4)*100</f>
        <v>100</v>
      </c>
      <c r="P4" s="42">
        <v>1</v>
      </c>
      <c r="Q4" s="119"/>
      <c r="V4" s="120">
        <f>COUNT(P4:U4)</f>
        <v>1</v>
      </c>
      <c r="W4" s="117">
        <f>SUM(P4:U4)/COUNT(P4:U4)*100</f>
        <v>100</v>
      </c>
      <c r="X4" s="126">
        <v>1</v>
      </c>
      <c r="Y4" s="127">
        <v>1</v>
      </c>
      <c r="Z4" s="127">
        <v>1</v>
      </c>
      <c r="AA4" s="128"/>
      <c r="AB4" s="129">
        <f>COUNT(X4:AA4)</f>
        <v>3</v>
      </c>
      <c r="AC4" s="117">
        <f>SUM(X4:AA4)/COUNT(X4:AA4)*100</f>
        <v>100</v>
      </c>
      <c r="AD4" s="21" t="s">
        <v>66</v>
      </c>
      <c r="AE4" s="123"/>
      <c r="AF4" s="21"/>
      <c r="AG4" s="21"/>
      <c r="AH4" s="21"/>
      <c r="AI4" s="21"/>
      <c r="AJ4" s="24">
        <f>COUNT(AE4:AI4)</f>
        <v>0</v>
      </c>
      <c r="AK4" s="117"/>
      <c r="AL4" s="130"/>
      <c r="AM4" s="131"/>
      <c r="AN4" s="131"/>
      <c r="AO4" s="131"/>
      <c r="AP4" s="128"/>
      <c r="AQ4" s="129">
        <f>COUNT(AL4:AP4)</f>
        <v>0</v>
      </c>
      <c r="AR4" s="129"/>
      <c r="AS4" s="131"/>
      <c r="AT4" s="131"/>
      <c r="AU4" s="131"/>
      <c r="AV4" s="131"/>
      <c r="AW4" s="131"/>
      <c r="AX4" s="131"/>
      <c r="AY4" s="129">
        <f>COUNT(AS4:AX4)</f>
        <v>0</v>
      </c>
      <c r="AZ4" s="130"/>
      <c r="BA4" s="130"/>
      <c r="BB4" s="131"/>
      <c r="BC4" s="131"/>
      <c r="BD4" s="131"/>
      <c r="BE4" s="131"/>
      <c r="BF4" s="131"/>
      <c r="BG4" s="131"/>
      <c r="BH4" s="128"/>
      <c r="BI4" s="129">
        <f>COUNT(BA4:BH4)</f>
        <v>0</v>
      </c>
      <c r="BJ4" s="129"/>
      <c r="BK4" s="21" t="s">
        <v>67</v>
      </c>
      <c r="BL4" s="132">
        <v>1</v>
      </c>
      <c r="BM4" s="133">
        <v>0</v>
      </c>
      <c r="BN4" s="21"/>
      <c r="BO4" s="21"/>
      <c r="BP4" s="24">
        <f>COUNT(BL4:BO4)</f>
        <v>2</v>
      </c>
      <c r="BQ4" s="117">
        <f>SUM(BL4:BO4)/COUNT(BL4:BO4)*100</f>
        <v>50</v>
      </c>
      <c r="BR4" s="126">
        <v>0</v>
      </c>
      <c r="BS4" s="131"/>
      <c r="BT4" s="131"/>
      <c r="BU4" s="131"/>
      <c r="BV4" s="128"/>
      <c r="BW4" s="129">
        <f>COUNT(BR4:BV4)</f>
        <v>1</v>
      </c>
      <c r="BX4" s="117">
        <f>SUM(BR4:BV4)/COUNT(BR4:BV4)*100</f>
        <v>0</v>
      </c>
      <c r="BY4" s="131"/>
      <c r="BZ4" s="21"/>
      <c r="CA4" s="21"/>
      <c r="CB4" s="24">
        <f>COUNT(BY4:CA4)</f>
        <v>0</v>
      </c>
      <c r="CC4" s="117"/>
      <c r="CD4" s="132">
        <v>0</v>
      </c>
      <c r="CE4" s="21"/>
      <c r="CF4" s="21"/>
      <c r="CG4" s="21"/>
      <c r="CH4" s="25"/>
      <c r="CI4" s="21">
        <v>19.100000000000001</v>
      </c>
      <c r="CJ4" s="24">
        <f>COUNT(CD4:CH4)</f>
        <v>1</v>
      </c>
      <c r="CK4" s="117">
        <f>SUM(CD4:CH4)/COUNT(CD4:CH4)*100</f>
        <v>0</v>
      </c>
      <c r="CM4" s="8" t="s">
        <v>3</v>
      </c>
      <c r="CN4" s="119">
        <f>AE27</f>
        <v>50</v>
      </c>
      <c r="CO4" s="119">
        <f>AL27</f>
        <v>75</v>
      </c>
      <c r="CP4" s="119">
        <f>AS27</f>
        <v>85</v>
      </c>
      <c r="CQ4" s="119">
        <f>BA27</f>
        <v>80</v>
      </c>
    </row>
    <row r="5" spans="1:95" x14ac:dyDescent="0.25">
      <c r="A5" s="114">
        <v>7.5</v>
      </c>
      <c r="B5" s="21" t="s">
        <v>65</v>
      </c>
      <c r="C5" s="124">
        <v>1</v>
      </c>
      <c r="D5" s="116"/>
      <c r="E5" s="116"/>
      <c r="F5" s="116"/>
      <c r="G5" s="116"/>
      <c r="H5" s="117">
        <f t="shared" ref="H5:H25" si="0">COUNT(C5:G5)</f>
        <v>1</v>
      </c>
      <c r="I5" s="115">
        <f>SUM(C5:G5)/COUNT(C5:G5)*100</f>
        <v>100</v>
      </c>
      <c r="J5" s="124">
        <v>1</v>
      </c>
      <c r="K5" s="125">
        <v>1</v>
      </c>
      <c r="L5" s="116"/>
      <c r="M5" s="118"/>
      <c r="N5" s="117">
        <f t="shared" ref="N5:N25" si="1">COUNT(J5:M5)</f>
        <v>2</v>
      </c>
      <c r="O5" s="117">
        <f>SUM(J5:M5)/COUNT(J5:M5)*100</f>
        <v>100</v>
      </c>
      <c r="P5" s="42">
        <v>1</v>
      </c>
      <c r="Q5" s="119"/>
      <c r="V5" s="120">
        <f t="shared" ref="V5:V25" si="2">COUNT(P5:U5)</f>
        <v>1</v>
      </c>
      <c r="W5" s="117">
        <f t="shared" ref="W5:W16" si="3">SUM(P5:U5)/COUNT(P5:U5)*100</f>
        <v>100</v>
      </c>
      <c r="X5" s="126">
        <v>1</v>
      </c>
      <c r="Y5" s="127">
        <v>1</v>
      </c>
      <c r="Z5" s="127">
        <v>0</v>
      </c>
      <c r="AA5" s="134">
        <v>0</v>
      </c>
      <c r="AB5" s="129">
        <f t="shared" ref="AB5:AB25" si="4">COUNT(X5:AA5)</f>
        <v>4</v>
      </c>
      <c r="AC5" s="117">
        <f t="shared" ref="AC5:AC20" si="5">SUM(X5:AA5)/COUNT(X5:AA5)*100</f>
        <v>50</v>
      </c>
      <c r="AD5" s="21" t="s">
        <v>66</v>
      </c>
      <c r="AE5" s="132">
        <v>0</v>
      </c>
      <c r="AF5" s="133">
        <v>0</v>
      </c>
      <c r="AG5" s="133">
        <v>1</v>
      </c>
      <c r="AH5" s="21"/>
      <c r="AI5" s="21"/>
      <c r="AJ5" s="24">
        <f t="shared" ref="AJ5:AJ25" si="6">COUNT(AE5:AI5)</f>
        <v>3</v>
      </c>
      <c r="AK5" s="117">
        <f>SUM(AE5:AI5)/COUNT(AE5:AI5)*100</f>
        <v>33.333333333333329</v>
      </c>
      <c r="AL5" s="126">
        <v>1</v>
      </c>
      <c r="AM5" s="131">
        <v>0</v>
      </c>
      <c r="AN5" s="127">
        <v>1</v>
      </c>
      <c r="AO5" s="127">
        <v>1</v>
      </c>
      <c r="AP5" s="128"/>
      <c r="AQ5" s="129">
        <f t="shared" ref="AQ5:AQ25" si="7">COUNT(AL5:AP5)</f>
        <v>4</v>
      </c>
      <c r="AR5" s="117">
        <f>SUM(AL5:AP5)/COUNT(AL5:AP5)*100</f>
        <v>75</v>
      </c>
      <c r="AS5" s="127">
        <v>1</v>
      </c>
      <c r="AT5" s="131"/>
      <c r="AU5" s="131"/>
      <c r="AV5" s="131"/>
      <c r="AW5" s="131"/>
      <c r="AX5" s="131"/>
      <c r="AY5" s="129">
        <f t="shared" ref="AY5:AY25" si="8">COUNT(AS5:AX5)</f>
        <v>1</v>
      </c>
      <c r="AZ5" s="117">
        <f>SUM(AS5:AX5)/COUNT(AS5:AX5)*100</f>
        <v>100</v>
      </c>
      <c r="BA5" s="126">
        <v>1</v>
      </c>
      <c r="BB5" s="127">
        <v>0</v>
      </c>
      <c r="BC5" s="127">
        <v>1</v>
      </c>
      <c r="BD5" s="131"/>
      <c r="BE5" s="131"/>
      <c r="BF5" s="131"/>
      <c r="BG5" s="131"/>
      <c r="BH5" s="128"/>
      <c r="BI5" s="129">
        <f t="shared" ref="BI5:BI25" si="9">COUNT(BA5:BH5)</f>
        <v>3</v>
      </c>
      <c r="BJ5" s="117">
        <f>SUM(BA5:BH5)/COUNT(BA5:BH5)*100</f>
        <v>66.666666666666657</v>
      </c>
      <c r="BK5" s="21" t="s">
        <v>67</v>
      </c>
      <c r="BL5" s="123"/>
      <c r="BM5" s="21"/>
      <c r="BN5" s="21"/>
      <c r="BO5" s="21"/>
      <c r="BP5" s="24">
        <f t="shared" ref="BP5:BP25" si="10">COUNT(BL5:BO5)</f>
        <v>0</v>
      </c>
      <c r="BQ5" s="117"/>
      <c r="BR5" s="126">
        <v>0</v>
      </c>
      <c r="BS5" s="131"/>
      <c r="BT5" s="131"/>
      <c r="BU5" s="131"/>
      <c r="BV5" s="128"/>
      <c r="BW5" s="129">
        <f t="shared" ref="BW5:BW25" si="11">COUNT(BR5:BV5)</f>
        <v>1</v>
      </c>
      <c r="BX5" s="117">
        <f t="shared" ref="BX5:BX19" si="12">SUM(BR5:BV5)/COUNT(BR5:BV5)*100</f>
        <v>0</v>
      </c>
      <c r="BY5" s="127">
        <v>0</v>
      </c>
      <c r="BZ5" s="133">
        <v>1</v>
      </c>
      <c r="CA5" s="21"/>
      <c r="CB5" s="24">
        <f t="shared" ref="CB5:CB25" si="13">COUNT(BY5:CA5)</f>
        <v>2</v>
      </c>
      <c r="CC5" s="117">
        <f t="shared" ref="CC5:CC23" si="14">SUM(BY5:CA5)/COUNT(BY5:CA5)*100</f>
        <v>50</v>
      </c>
      <c r="CD5" s="132">
        <v>0</v>
      </c>
      <c r="CE5" s="133">
        <v>1</v>
      </c>
      <c r="CF5" s="21"/>
      <c r="CG5" s="21"/>
      <c r="CH5" s="25"/>
      <c r="CI5" s="21">
        <v>19.100000000000001</v>
      </c>
      <c r="CJ5" s="24">
        <f t="shared" ref="CJ5:CJ25" si="15">COUNT(CD5:CH5)</f>
        <v>2</v>
      </c>
      <c r="CK5" s="117">
        <f t="shared" ref="CK5:CK22" si="16">SUM(CD5:CH5)/COUNT(CD5:CH5)*100</f>
        <v>50</v>
      </c>
      <c r="CM5" s="8" t="s">
        <v>4</v>
      </c>
      <c r="CN5" s="119">
        <f>BL27</f>
        <v>35</v>
      </c>
      <c r="CO5" s="119">
        <f>BR27</f>
        <v>5</v>
      </c>
      <c r="CP5" s="119">
        <f>BY27</f>
        <v>52.631578947368418</v>
      </c>
      <c r="CQ5" s="119">
        <f>CD27</f>
        <v>70</v>
      </c>
    </row>
    <row r="6" spans="1:95" x14ac:dyDescent="0.25">
      <c r="A6" s="114">
        <v>8</v>
      </c>
      <c r="B6" s="21" t="s">
        <v>65</v>
      </c>
      <c r="C6" s="124">
        <v>1</v>
      </c>
      <c r="D6" s="125">
        <v>0</v>
      </c>
      <c r="E6" s="116"/>
      <c r="F6" s="116"/>
      <c r="G6" s="116"/>
      <c r="H6" s="117">
        <f t="shared" si="0"/>
        <v>2</v>
      </c>
      <c r="I6" s="115">
        <f t="shared" ref="I6:I24" si="17">SUM(C6:G6)/COUNT(C6:G6)*100</f>
        <v>50</v>
      </c>
      <c r="J6" s="124">
        <v>1</v>
      </c>
      <c r="K6" s="125">
        <v>1</v>
      </c>
      <c r="L6" s="125">
        <v>1</v>
      </c>
      <c r="M6" s="118"/>
      <c r="N6" s="117">
        <f t="shared" si="1"/>
        <v>3</v>
      </c>
      <c r="O6" s="117">
        <f t="shared" ref="O6:O15" si="18">SUM(J6:M6)/COUNT(J6:M6)*100</f>
        <v>100</v>
      </c>
      <c r="P6" s="42">
        <v>0</v>
      </c>
      <c r="Q6" s="42">
        <v>0</v>
      </c>
      <c r="V6" s="120">
        <f t="shared" si="2"/>
        <v>2</v>
      </c>
      <c r="W6" s="117">
        <f t="shared" si="3"/>
        <v>0</v>
      </c>
      <c r="X6" s="126">
        <v>1</v>
      </c>
      <c r="Y6" s="127">
        <v>1</v>
      </c>
      <c r="Z6" s="127">
        <v>1</v>
      </c>
      <c r="AA6" s="128">
        <v>1</v>
      </c>
      <c r="AB6" s="129">
        <f t="shared" si="4"/>
        <v>4</v>
      </c>
      <c r="AC6" s="117">
        <f t="shared" si="5"/>
        <v>100</v>
      </c>
      <c r="AD6" s="21" t="s">
        <v>66</v>
      </c>
      <c r="AE6" s="132">
        <v>0</v>
      </c>
      <c r="AF6" s="133">
        <v>1</v>
      </c>
      <c r="AG6" s="133">
        <v>1</v>
      </c>
      <c r="AH6" s="133">
        <v>0</v>
      </c>
      <c r="AI6" s="133"/>
      <c r="AJ6" s="24">
        <f t="shared" si="6"/>
        <v>4</v>
      </c>
      <c r="AK6" s="117">
        <f t="shared" ref="AK6:AK25" si="19">SUM(AE6:AI6)/COUNT(AE6:AI6)*100</f>
        <v>50</v>
      </c>
      <c r="AL6" s="126">
        <v>1</v>
      </c>
      <c r="AM6" s="127">
        <v>1</v>
      </c>
      <c r="AN6" s="127">
        <v>1</v>
      </c>
      <c r="AO6" s="127">
        <v>1</v>
      </c>
      <c r="AP6" s="134">
        <v>1</v>
      </c>
      <c r="AQ6" s="129">
        <f t="shared" si="7"/>
        <v>5</v>
      </c>
      <c r="AR6" s="117">
        <f t="shared" ref="AR6:AR22" si="20">SUM(AL6:AP6)/COUNT(AL6:AP6)*100</f>
        <v>100</v>
      </c>
      <c r="AS6" s="127">
        <v>0</v>
      </c>
      <c r="AT6" s="127">
        <v>1</v>
      </c>
      <c r="AU6" s="127">
        <v>1</v>
      </c>
      <c r="AV6" s="131"/>
      <c r="AW6" s="131"/>
      <c r="AX6" s="131"/>
      <c r="AY6" s="129">
        <f t="shared" si="8"/>
        <v>3</v>
      </c>
      <c r="AZ6" s="117">
        <f t="shared" ref="AZ6:AZ20" si="21">SUM(AS6:AX6)/COUNT(AS6:AX6)*100</f>
        <v>66.666666666666657</v>
      </c>
      <c r="BA6" s="126">
        <v>1</v>
      </c>
      <c r="BB6" s="127">
        <v>1</v>
      </c>
      <c r="BC6" s="127">
        <v>1</v>
      </c>
      <c r="BD6" s="127">
        <v>1</v>
      </c>
      <c r="BE6" s="127">
        <v>1</v>
      </c>
      <c r="BF6" s="127">
        <v>0</v>
      </c>
      <c r="BG6" s="127">
        <v>0</v>
      </c>
      <c r="BH6" s="134">
        <v>0</v>
      </c>
      <c r="BI6" s="129">
        <f t="shared" si="9"/>
        <v>8</v>
      </c>
      <c r="BJ6" s="117">
        <f t="shared" ref="BJ6:BJ20" si="22">SUM(BA6:BH6)/COUNT(BA6:BH6)*100</f>
        <v>62.5</v>
      </c>
      <c r="BK6" s="21" t="s">
        <v>67</v>
      </c>
      <c r="BL6" s="132">
        <v>0</v>
      </c>
      <c r="BM6" s="133">
        <v>1</v>
      </c>
      <c r="BN6" s="133">
        <v>0</v>
      </c>
      <c r="BO6" s="133">
        <v>0</v>
      </c>
      <c r="BP6" s="24">
        <f t="shared" si="10"/>
        <v>4</v>
      </c>
      <c r="BQ6" s="117">
        <f t="shared" ref="BQ6:BQ24" si="23">SUM(BL6:BO6)/COUNT(BL6:BO6)*100</f>
        <v>25</v>
      </c>
      <c r="BR6" s="126">
        <v>0</v>
      </c>
      <c r="BS6" s="127">
        <v>0</v>
      </c>
      <c r="BT6" s="127">
        <v>0</v>
      </c>
      <c r="BU6" s="127">
        <v>0</v>
      </c>
      <c r="BV6" s="128">
        <v>0</v>
      </c>
      <c r="BW6" s="129">
        <f t="shared" si="11"/>
        <v>5</v>
      </c>
      <c r="BX6" s="117">
        <f t="shared" si="12"/>
        <v>0</v>
      </c>
      <c r="BY6" s="127">
        <v>0</v>
      </c>
      <c r="BZ6" s="133">
        <v>1</v>
      </c>
      <c r="CA6" s="133">
        <v>1</v>
      </c>
      <c r="CB6" s="24">
        <f t="shared" si="13"/>
        <v>3</v>
      </c>
      <c r="CC6" s="117">
        <f t="shared" si="14"/>
        <v>66.666666666666657</v>
      </c>
      <c r="CD6" s="132">
        <v>1</v>
      </c>
      <c r="CE6" s="133">
        <v>1</v>
      </c>
      <c r="CF6" s="21"/>
      <c r="CG6" s="133">
        <v>0</v>
      </c>
      <c r="CH6" s="135">
        <v>0</v>
      </c>
      <c r="CI6" s="21">
        <v>19.100000000000001</v>
      </c>
      <c r="CJ6" s="24">
        <f t="shared" si="15"/>
        <v>4</v>
      </c>
      <c r="CK6" s="117">
        <f t="shared" si="16"/>
        <v>50</v>
      </c>
    </row>
    <row r="7" spans="1:95" x14ac:dyDescent="0.25">
      <c r="A7" s="114">
        <v>8.5</v>
      </c>
      <c r="B7" s="21" t="s">
        <v>65</v>
      </c>
      <c r="C7" s="124">
        <v>1</v>
      </c>
      <c r="D7" s="125">
        <v>1</v>
      </c>
      <c r="E7" s="125">
        <v>1</v>
      </c>
      <c r="F7" s="125">
        <v>0</v>
      </c>
      <c r="G7" s="125">
        <v>0</v>
      </c>
      <c r="H7" s="117">
        <f t="shared" si="0"/>
        <v>5</v>
      </c>
      <c r="I7" s="115">
        <f t="shared" si="17"/>
        <v>60</v>
      </c>
      <c r="J7" s="124">
        <v>1</v>
      </c>
      <c r="K7" s="125">
        <v>1</v>
      </c>
      <c r="L7" s="125">
        <v>1</v>
      </c>
      <c r="M7" s="136"/>
      <c r="N7" s="117">
        <f t="shared" si="1"/>
        <v>3</v>
      </c>
      <c r="O7" s="117">
        <f t="shared" si="18"/>
        <v>100</v>
      </c>
      <c r="P7" s="42">
        <v>1</v>
      </c>
      <c r="Q7" s="42">
        <v>1</v>
      </c>
      <c r="R7" s="42">
        <v>1</v>
      </c>
      <c r="S7" s="42">
        <v>1</v>
      </c>
      <c r="T7" s="42">
        <v>1</v>
      </c>
      <c r="U7" s="42">
        <v>1</v>
      </c>
      <c r="V7" s="120">
        <f t="shared" si="2"/>
        <v>6</v>
      </c>
      <c r="W7" s="117">
        <f t="shared" si="3"/>
        <v>100</v>
      </c>
      <c r="X7" s="126">
        <v>1</v>
      </c>
      <c r="Y7" s="131"/>
      <c r="Z7" s="131"/>
      <c r="AA7" s="128"/>
      <c r="AB7" s="129">
        <f t="shared" si="4"/>
        <v>1</v>
      </c>
      <c r="AC7" s="117">
        <f t="shared" si="5"/>
        <v>100</v>
      </c>
      <c r="AD7" s="21" t="s">
        <v>66</v>
      </c>
      <c r="AE7" s="132">
        <v>0</v>
      </c>
      <c r="AF7" s="133">
        <v>0</v>
      </c>
      <c r="AG7" s="133">
        <v>0</v>
      </c>
      <c r="AH7" s="133">
        <v>0</v>
      </c>
      <c r="AI7" s="21"/>
      <c r="AJ7" s="24">
        <f t="shared" si="6"/>
        <v>4</v>
      </c>
      <c r="AK7" s="117">
        <f t="shared" si="19"/>
        <v>0</v>
      </c>
      <c r="AL7" s="126">
        <v>1</v>
      </c>
      <c r="AM7" s="127">
        <v>1</v>
      </c>
      <c r="AN7" s="131"/>
      <c r="AO7" s="131"/>
      <c r="AP7" s="128"/>
      <c r="AQ7" s="129">
        <f t="shared" si="7"/>
        <v>2</v>
      </c>
      <c r="AR7" s="117">
        <f t="shared" si="20"/>
        <v>100</v>
      </c>
      <c r="AS7" s="127">
        <v>0</v>
      </c>
      <c r="AT7" s="127">
        <v>1</v>
      </c>
      <c r="AU7" s="127">
        <v>1</v>
      </c>
      <c r="AV7" s="131"/>
      <c r="AW7" s="131"/>
      <c r="AX7" s="131"/>
      <c r="AY7" s="129">
        <f t="shared" si="8"/>
        <v>3</v>
      </c>
      <c r="AZ7" s="117">
        <f t="shared" si="21"/>
        <v>66.666666666666657</v>
      </c>
      <c r="BA7" s="126">
        <v>1</v>
      </c>
      <c r="BB7" s="131"/>
      <c r="BC7" s="131"/>
      <c r="BD7" s="131"/>
      <c r="BE7" s="131"/>
      <c r="BF7" s="131"/>
      <c r="BG7" s="131"/>
      <c r="BH7" s="128"/>
      <c r="BI7" s="129">
        <f t="shared" si="9"/>
        <v>1</v>
      </c>
      <c r="BJ7" s="117">
        <f t="shared" si="22"/>
        <v>100</v>
      </c>
      <c r="BK7" s="21" t="s">
        <v>67</v>
      </c>
      <c r="BL7" s="132">
        <v>0</v>
      </c>
      <c r="BM7" s="133">
        <v>0</v>
      </c>
      <c r="BN7" s="133">
        <v>0</v>
      </c>
      <c r="BO7" s="133">
        <v>0</v>
      </c>
      <c r="BP7" s="24">
        <f t="shared" si="10"/>
        <v>4</v>
      </c>
      <c r="BQ7" s="117">
        <f t="shared" si="23"/>
        <v>0</v>
      </c>
      <c r="BR7" s="126">
        <v>0</v>
      </c>
      <c r="BS7" s="127">
        <v>0</v>
      </c>
      <c r="BT7" s="127">
        <v>0</v>
      </c>
      <c r="BU7" s="127">
        <v>0</v>
      </c>
      <c r="BV7" s="134">
        <v>0</v>
      </c>
      <c r="BW7" s="129">
        <f t="shared" si="11"/>
        <v>5</v>
      </c>
      <c r="BX7" s="117">
        <f t="shared" si="12"/>
        <v>0</v>
      </c>
      <c r="BY7" s="127">
        <v>0</v>
      </c>
      <c r="BZ7" s="127">
        <v>1</v>
      </c>
      <c r="CA7" s="131"/>
      <c r="CB7" s="24">
        <f t="shared" si="13"/>
        <v>2</v>
      </c>
      <c r="CC7" s="117">
        <f t="shared" si="14"/>
        <v>50</v>
      </c>
      <c r="CD7" s="126">
        <v>1</v>
      </c>
      <c r="CE7" s="133">
        <v>1</v>
      </c>
      <c r="CF7" s="133">
        <v>1</v>
      </c>
      <c r="CG7" s="133">
        <v>1</v>
      </c>
      <c r="CH7" s="25"/>
      <c r="CI7" s="21"/>
      <c r="CJ7" s="24">
        <f t="shared" si="15"/>
        <v>4</v>
      </c>
      <c r="CK7" s="117">
        <f t="shared" si="16"/>
        <v>100</v>
      </c>
      <c r="CM7" s="2" t="s">
        <v>68</v>
      </c>
      <c r="CN7" s="8">
        <f>SQRT((CN3/100*(1-(CN3/100))))/20</f>
        <v>2.3848480035423641E-2</v>
      </c>
      <c r="CO7" s="8">
        <f t="shared" ref="CO7:CQ7" si="24">SQRT((CO3/100*(1-(CO3/100))))/20</f>
        <v>2.1650635094610966E-2</v>
      </c>
      <c r="CP7" s="8">
        <f t="shared" si="24"/>
        <v>1.9999999999999997E-2</v>
      </c>
      <c r="CQ7" s="8">
        <f t="shared" si="24"/>
        <v>2.1650635094610966E-2</v>
      </c>
    </row>
    <row r="8" spans="1:95" x14ac:dyDescent="0.25">
      <c r="A8" s="114">
        <v>9</v>
      </c>
      <c r="B8" s="21" t="s">
        <v>65</v>
      </c>
      <c r="C8" s="124">
        <v>0</v>
      </c>
      <c r="D8" s="125">
        <v>0</v>
      </c>
      <c r="E8" s="116"/>
      <c r="F8" s="116"/>
      <c r="G8" s="116"/>
      <c r="H8" s="117">
        <f t="shared" si="0"/>
        <v>2</v>
      </c>
      <c r="I8" s="115">
        <f t="shared" si="17"/>
        <v>0</v>
      </c>
      <c r="J8" s="124">
        <v>1</v>
      </c>
      <c r="K8" s="125">
        <v>1</v>
      </c>
      <c r="L8" s="125">
        <v>1</v>
      </c>
      <c r="M8" s="136">
        <v>1</v>
      </c>
      <c r="N8" s="117">
        <f t="shared" si="1"/>
        <v>4</v>
      </c>
      <c r="O8" s="117">
        <f t="shared" si="18"/>
        <v>100</v>
      </c>
      <c r="P8" s="42">
        <v>1</v>
      </c>
      <c r="Q8" s="42">
        <v>1</v>
      </c>
      <c r="R8" s="42">
        <v>1</v>
      </c>
      <c r="S8" s="42">
        <v>1</v>
      </c>
      <c r="V8" s="120">
        <f t="shared" si="2"/>
        <v>4</v>
      </c>
      <c r="W8" s="117">
        <f t="shared" si="3"/>
        <v>100</v>
      </c>
      <c r="X8" s="126">
        <v>1</v>
      </c>
      <c r="Y8" s="127">
        <v>1</v>
      </c>
      <c r="Z8" s="127">
        <v>0</v>
      </c>
      <c r="AA8" s="128"/>
      <c r="AB8" s="129">
        <f t="shared" si="4"/>
        <v>3</v>
      </c>
      <c r="AC8" s="117">
        <f t="shared" si="5"/>
        <v>66.666666666666657</v>
      </c>
      <c r="AD8" s="21" t="s">
        <v>66</v>
      </c>
      <c r="AE8" s="132">
        <v>1</v>
      </c>
      <c r="AF8" s="133">
        <v>1</v>
      </c>
      <c r="AG8" s="133">
        <v>0</v>
      </c>
      <c r="AH8" s="21"/>
      <c r="AI8" s="21"/>
      <c r="AJ8" s="24">
        <f t="shared" si="6"/>
        <v>3</v>
      </c>
      <c r="AK8" s="117">
        <f t="shared" si="19"/>
        <v>66.666666666666657</v>
      </c>
      <c r="AL8" s="126">
        <v>1</v>
      </c>
      <c r="AM8" s="127">
        <v>1</v>
      </c>
      <c r="AN8" s="127">
        <v>1</v>
      </c>
      <c r="AO8" s="127">
        <v>1</v>
      </c>
      <c r="AP8" s="128"/>
      <c r="AQ8" s="129">
        <f t="shared" si="7"/>
        <v>4</v>
      </c>
      <c r="AR8" s="117">
        <f t="shared" si="20"/>
        <v>100</v>
      </c>
      <c r="AS8" s="127">
        <v>1</v>
      </c>
      <c r="AT8" s="127">
        <v>1</v>
      </c>
      <c r="AU8" s="127">
        <v>1</v>
      </c>
      <c r="AV8" s="127">
        <v>1</v>
      </c>
      <c r="AW8" s="127">
        <v>1</v>
      </c>
      <c r="AX8" s="127">
        <v>1</v>
      </c>
      <c r="AY8" s="129">
        <f t="shared" si="8"/>
        <v>6</v>
      </c>
      <c r="AZ8" s="117">
        <f t="shared" si="21"/>
        <v>100</v>
      </c>
      <c r="BA8" s="126">
        <v>1</v>
      </c>
      <c r="BB8" s="127">
        <v>1</v>
      </c>
      <c r="BC8" s="127">
        <v>1</v>
      </c>
      <c r="BD8" s="131"/>
      <c r="BE8" s="131"/>
      <c r="BF8" s="131"/>
      <c r="BG8" s="131"/>
      <c r="BH8" s="128"/>
      <c r="BI8" s="129">
        <f t="shared" si="9"/>
        <v>3</v>
      </c>
      <c r="BJ8" s="117">
        <f t="shared" si="22"/>
        <v>100</v>
      </c>
      <c r="BK8" s="21" t="s">
        <v>67</v>
      </c>
      <c r="BL8" s="132">
        <v>0</v>
      </c>
      <c r="BM8" s="133">
        <v>0</v>
      </c>
      <c r="BN8" s="133">
        <v>1</v>
      </c>
      <c r="BO8" s="133">
        <v>0</v>
      </c>
      <c r="BP8" s="24">
        <f t="shared" si="10"/>
        <v>4</v>
      </c>
      <c r="BQ8" s="117">
        <f t="shared" si="23"/>
        <v>25</v>
      </c>
      <c r="BR8" s="126">
        <v>0</v>
      </c>
      <c r="BS8" s="127">
        <v>0</v>
      </c>
      <c r="BT8" s="127">
        <v>0</v>
      </c>
      <c r="BU8" s="131"/>
      <c r="BV8" s="128"/>
      <c r="BW8" s="129">
        <f t="shared" si="11"/>
        <v>3</v>
      </c>
      <c r="BX8" s="117">
        <f t="shared" si="12"/>
        <v>0</v>
      </c>
      <c r="BY8" s="127">
        <v>1</v>
      </c>
      <c r="BZ8" s="127">
        <v>1</v>
      </c>
      <c r="CA8" s="131"/>
      <c r="CB8" s="24">
        <f t="shared" si="13"/>
        <v>2</v>
      </c>
      <c r="CC8" s="117">
        <f t="shared" si="14"/>
        <v>100</v>
      </c>
      <c r="CD8" s="126">
        <v>1</v>
      </c>
      <c r="CE8" s="133">
        <v>1</v>
      </c>
      <c r="CF8" s="133">
        <v>0</v>
      </c>
      <c r="CG8" s="21"/>
      <c r="CH8" s="25"/>
      <c r="CI8" s="21"/>
      <c r="CJ8" s="24">
        <f t="shared" si="15"/>
        <v>3</v>
      </c>
      <c r="CK8" s="117">
        <f t="shared" si="16"/>
        <v>66.666666666666657</v>
      </c>
      <c r="CN8" s="8">
        <f t="shared" ref="CN8:CQ9" si="25">SQRT((CN4/100*(1-(CN4/100))))/20</f>
        <v>2.5000000000000001E-2</v>
      </c>
      <c r="CO8" s="8">
        <f t="shared" si="25"/>
        <v>2.1650635094610966E-2</v>
      </c>
      <c r="CP8" s="8">
        <f t="shared" si="25"/>
        <v>1.7853571071357124E-2</v>
      </c>
      <c r="CQ8" s="8">
        <f t="shared" si="25"/>
        <v>1.9999999999999997E-2</v>
      </c>
    </row>
    <row r="9" spans="1:95" x14ac:dyDescent="0.25">
      <c r="A9" s="114">
        <v>9.5</v>
      </c>
      <c r="B9" s="21" t="s">
        <v>65</v>
      </c>
      <c r="C9" s="115"/>
      <c r="D9" s="116"/>
      <c r="E9" s="116"/>
      <c r="F9" s="116"/>
      <c r="G9" s="116"/>
      <c r="H9" s="117">
        <f t="shared" si="0"/>
        <v>0</v>
      </c>
      <c r="I9" s="115"/>
      <c r="J9" s="115"/>
      <c r="K9" s="116"/>
      <c r="L9" s="116"/>
      <c r="M9" s="118"/>
      <c r="N9" s="117">
        <f t="shared" si="1"/>
        <v>0</v>
      </c>
      <c r="O9" s="117"/>
      <c r="P9" s="119"/>
      <c r="Q9" s="116"/>
      <c r="V9" s="120">
        <f t="shared" si="2"/>
        <v>0</v>
      </c>
      <c r="W9" s="117"/>
      <c r="X9" s="126">
        <v>1</v>
      </c>
      <c r="Y9" s="127">
        <v>1</v>
      </c>
      <c r="Z9" s="131"/>
      <c r="AA9" s="128"/>
      <c r="AB9" s="129">
        <f t="shared" si="4"/>
        <v>2</v>
      </c>
      <c r="AC9" s="117">
        <f t="shared" si="5"/>
        <v>100</v>
      </c>
      <c r="AD9" s="21" t="s">
        <v>66</v>
      </c>
      <c r="AE9" s="123"/>
      <c r="AF9" s="21"/>
      <c r="AG9" s="21"/>
      <c r="AH9" s="21"/>
      <c r="AI9" s="21"/>
      <c r="AJ9" s="24">
        <f t="shared" si="6"/>
        <v>0</v>
      </c>
      <c r="AK9" s="117"/>
      <c r="AL9" s="130">
        <v>1</v>
      </c>
      <c r="AM9" s="131"/>
      <c r="AN9" s="131"/>
      <c r="AO9" s="131"/>
      <c r="AP9" s="128"/>
      <c r="AQ9" s="129">
        <f t="shared" si="7"/>
        <v>1</v>
      </c>
      <c r="AR9" s="117">
        <f t="shared" si="20"/>
        <v>100</v>
      </c>
      <c r="AS9" s="131"/>
      <c r="AT9" s="131"/>
      <c r="AU9" s="131"/>
      <c r="AV9" s="131"/>
      <c r="AW9" s="131"/>
      <c r="AX9" s="131"/>
      <c r="AY9" s="129">
        <f t="shared" si="8"/>
        <v>0</v>
      </c>
      <c r="AZ9" s="117"/>
      <c r="BA9" s="132">
        <v>1</v>
      </c>
      <c r="BB9" s="21"/>
      <c r="BC9" s="21"/>
      <c r="BD9" s="21"/>
      <c r="BE9" s="21"/>
      <c r="BF9" s="21"/>
      <c r="BG9" s="21"/>
      <c r="BH9" s="25"/>
      <c r="BI9" s="129">
        <f t="shared" si="9"/>
        <v>1</v>
      </c>
      <c r="BJ9" s="117">
        <f t="shared" si="22"/>
        <v>100</v>
      </c>
      <c r="BK9" s="21" t="s">
        <v>67</v>
      </c>
      <c r="BL9" s="132">
        <v>1</v>
      </c>
      <c r="BM9" s="21"/>
      <c r="BN9" s="21"/>
      <c r="BO9" s="21"/>
      <c r="BP9" s="24">
        <f t="shared" si="10"/>
        <v>1</v>
      </c>
      <c r="BQ9" s="117">
        <f t="shared" si="23"/>
        <v>100</v>
      </c>
      <c r="BR9" s="130"/>
      <c r="BS9" s="131"/>
      <c r="BT9" s="131"/>
      <c r="BU9" s="131"/>
      <c r="BV9" s="128"/>
      <c r="BW9" s="129">
        <f t="shared" si="11"/>
        <v>0</v>
      </c>
      <c r="BX9" s="117"/>
      <c r="BY9" s="127">
        <v>1</v>
      </c>
      <c r="BZ9" s="131"/>
      <c r="CA9" s="131"/>
      <c r="CB9" s="24">
        <f t="shared" si="13"/>
        <v>1</v>
      </c>
      <c r="CC9" s="117">
        <f t="shared" si="14"/>
        <v>100</v>
      </c>
      <c r="CD9" s="130"/>
      <c r="CE9" s="21"/>
      <c r="CF9" s="21"/>
      <c r="CG9" s="21"/>
      <c r="CH9" s="25"/>
      <c r="CI9" s="21"/>
      <c r="CJ9" s="24">
        <f t="shared" si="15"/>
        <v>0</v>
      </c>
      <c r="CK9" s="117"/>
      <c r="CN9" s="8">
        <f t="shared" si="25"/>
        <v>2.3848480035423641E-2</v>
      </c>
      <c r="CO9" s="8">
        <f t="shared" si="25"/>
        <v>1.0897247358851683E-2</v>
      </c>
      <c r="CP9" s="8">
        <f t="shared" si="25"/>
        <v>2.4965349948697733E-2</v>
      </c>
      <c r="CQ9" s="8">
        <f t="shared" si="25"/>
        <v>2.2912878474779203E-2</v>
      </c>
    </row>
    <row r="10" spans="1:95" x14ac:dyDescent="0.25">
      <c r="A10" s="137">
        <v>10</v>
      </c>
      <c r="B10" s="21" t="s">
        <v>65</v>
      </c>
      <c r="C10" s="126">
        <v>0</v>
      </c>
      <c r="D10" s="131"/>
      <c r="E10" s="131"/>
      <c r="F10" s="131"/>
      <c r="G10" s="131"/>
      <c r="H10" s="117">
        <f t="shared" si="0"/>
        <v>1</v>
      </c>
      <c r="I10" s="115">
        <f t="shared" si="17"/>
        <v>0</v>
      </c>
      <c r="J10" s="126">
        <v>0</v>
      </c>
      <c r="K10" s="70"/>
      <c r="L10" s="70"/>
      <c r="M10" s="138"/>
      <c r="N10" s="117">
        <f t="shared" si="1"/>
        <v>1</v>
      </c>
      <c r="O10" s="117">
        <f t="shared" si="18"/>
        <v>0</v>
      </c>
      <c r="P10" s="131"/>
      <c r="Q10" s="131"/>
      <c r="R10" s="131"/>
      <c r="S10" s="131"/>
      <c r="T10" s="131"/>
      <c r="U10" s="131"/>
      <c r="V10" s="120">
        <f t="shared" si="2"/>
        <v>0</v>
      </c>
      <c r="W10" s="117"/>
      <c r="X10" s="126">
        <v>0</v>
      </c>
      <c r="Y10" s="131"/>
      <c r="Z10" s="131"/>
      <c r="AA10" s="128"/>
      <c r="AB10" s="129">
        <f t="shared" si="4"/>
        <v>1</v>
      </c>
      <c r="AC10" s="117">
        <f t="shared" si="5"/>
        <v>0</v>
      </c>
      <c r="AD10" s="21" t="s">
        <v>66</v>
      </c>
      <c r="AE10" s="132">
        <v>0</v>
      </c>
      <c r="AF10" s="21"/>
      <c r="AG10" s="21"/>
      <c r="AH10" s="21"/>
      <c r="AI10" s="21"/>
      <c r="AJ10" s="24">
        <f t="shared" si="6"/>
        <v>1</v>
      </c>
      <c r="AK10" s="117">
        <f t="shared" si="19"/>
        <v>0</v>
      </c>
      <c r="AL10" s="130"/>
      <c r="AM10" s="131"/>
      <c r="AN10" s="131"/>
      <c r="AO10" s="131"/>
      <c r="AP10" s="128"/>
      <c r="AQ10" s="129">
        <f t="shared" si="7"/>
        <v>0</v>
      </c>
      <c r="AR10" s="117"/>
      <c r="AS10" s="127">
        <v>1</v>
      </c>
      <c r="AT10" s="131"/>
      <c r="AU10" s="131"/>
      <c r="AV10" s="131"/>
      <c r="AW10" s="131"/>
      <c r="AX10" s="131"/>
      <c r="AY10" s="129">
        <f t="shared" si="8"/>
        <v>1</v>
      </c>
      <c r="AZ10" s="117">
        <f t="shared" si="21"/>
        <v>100</v>
      </c>
      <c r="BA10" s="123"/>
      <c r="BB10" s="21"/>
      <c r="BC10" s="21"/>
      <c r="BD10" s="21"/>
      <c r="BE10" s="21"/>
      <c r="BF10" s="21"/>
      <c r="BG10" s="21"/>
      <c r="BH10" s="25"/>
      <c r="BI10" s="129">
        <f t="shared" si="9"/>
        <v>0</v>
      </c>
      <c r="BJ10" s="117"/>
      <c r="BK10" s="21" t="s">
        <v>67</v>
      </c>
      <c r="BL10" s="123"/>
      <c r="BM10" s="21"/>
      <c r="BN10" s="21"/>
      <c r="BO10" s="21"/>
      <c r="BP10" s="24">
        <f t="shared" si="10"/>
        <v>0</v>
      </c>
      <c r="BQ10" s="117"/>
      <c r="BR10" s="126">
        <v>0</v>
      </c>
      <c r="BS10" s="131"/>
      <c r="BT10" s="131"/>
      <c r="BU10" s="131"/>
      <c r="BV10" s="128"/>
      <c r="BW10" s="129">
        <f t="shared" si="11"/>
        <v>1</v>
      </c>
      <c r="BX10" s="117">
        <f t="shared" si="12"/>
        <v>0</v>
      </c>
      <c r="BY10" s="127">
        <v>0</v>
      </c>
      <c r="BZ10" s="127">
        <v>0</v>
      </c>
      <c r="CA10" s="127"/>
      <c r="CB10" s="24">
        <f t="shared" si="13"/>
        <v>2</v>
      </c>
      <c r="CC10" s="117">
        <f t="shared" si="14"/>
        <v>0</v>
      </c>
      <c r="CD10" s="130"/>
      <c r="CE10" s="21"/>
      <c r="CF10" s="21"/>
      <c r="CG10" s="21"/>
      <c r="CH10" s="25"/>
      <c r="CI10" s="21"/>
      <c r="CJ10" s="24">
        <f t="shared" si="15"/>
        <v>0</v>
      </c>
      <c r="CK10" s="117"/>
    </row>
    <row r="11" spans="1:95" x14ac:dyDescent="0.25">
      <c r="A11" s="137">
        <v>10.5</v>
      </c>
      <c r="B11" s="21" t="s">
        <v>65</v>
      </c>
      <c r="C11" s="130"/>
      <c r="D11" s="131"/>
      <c r="E11" s="131"/>
      <c r="F11" s="131"/>
      <c r="G11" s="131"/>
      <c r="H11" s="117">
        <f t="shared" si="0"/>
        <v>0</v>
      </c>
      <c r="I11" s="115"/>
      <c r="J11" s="130"/>
      <c r="K11" s="70"/>
      <c r="L11" s="70"/>
      <c r="M11" s="138"/>
      <c r="N11" s="117">
        <f t="shared" si="1"/>
        <v>0</v>
      </c>
      <c r="O11" s="117"/>
      <c r="P11" s="131"/>
      <c r="Q11" s="131"/>
      <c r="R11" s="131"/>
      <c r="S11" s="131"/>
      <c r="T11" s="131"/>
      <c r="U11" s="131"/>
      <c r="V11" s="120">
        <f t="shared" si="2"/>
        <v>0</v>
      </c>
      <c r="W11" s="117"/>
      <c r="X11" s="130"/>
      <c r="Y11" s="131"/>
      <c r="Z11" s="131"/>
      <c r="AA11" s="128"/>
      <c r="AB11" s="129">
        <f t="shared" si="4"/>
        <v>0</v>
      </c>
      <c r="AC11" s="117"/>
      <c r="AD11" s="21" t="s">
        <v>66</v>
      </c>
      <c r="AE11" s="123"/>
      <c r="AF11" s="21"/>
      <c r="AG11" s="21"/>
      <c r="AH11" s="21"/>
      <c r="AI11" s="21"/>
      <c r="AJ11" s="24">
        <f t="shared" si="6"/>
        <v>0</v>
      </c>
      <c r="AK11" s="117"/>
      <c r="AL11" s="130"/>
      <c r="AM11" s="131"/>
      <c r="AN11" s="131"/>
      <c r="AO11" s="131"/>
      <c r="AP11" s="128"/>
      <c r="AQ11" s="129">
        <f t="shared" si="7"/>
        <v>0</v>
      </c>
      <c r="AR11" s="117"/>
      <c r="AS11" s="131"/>
      <c r="AT11" s="131"/>
      <c r="AU11" s="131"/>
      <c r="AV11" s="131"/>
      <c r="AW11" s="131"/>
      <c r="AX11" s="131"/>
      <c r="AY11" s="129">
        <f t="shared" si="8"/>
        <v>0</v>
      </c>
      <c r="AZ11" s="117"/>
      <c r="BA11" s="123"/>
      <c r="BB11" s="21"/>
      <c r="BC11" s="21"/>
      <c r="BD11" s="21"/>
      <c r="BE11" s="21"/>
      <c r="BF11" s="21"/>
      <c r="BG11" s="21"/>
      <c r="BH11" s="25"/>
      <c r="BI11" s="129">
        <f t="shared" si="9"/>
        <v>0</v>
      </c>
      <c r="BJ11" s="117"/>
      <c r="BK11" s="21" t="s">
        <v>67</v>
      </c>
      <c r="BL11" s="132">
        <v>0</v>
      </c>
      <c r="BM11" s="133">
        <v>1</v>
      </c>
      <c r="BN11" s="133">
        <v>1</v>
      </c>
      <c r="BO11" s="21"/>
      <c r="BP11" s="24">
        <f t="shared" si="10"/>
        <v>3</v>
      </c>
      <c r="BQ11" s="117">
        <f t="shared" si="23"/>
        <v>66.666666666666657</v>
      </c>
      <c r="BR11" s="130"/>
      <c r="BS11" s="131"/>
      <c r="BT11" s="131"/>
      <c r="BU11" s="131"/>
      <c r="BV11" s="128"/>
      <c r="BW11" s="129">
        <f t="shared" si="11"/>
        <v>0</v>
      </c>
      <c r="BX11" s="117"/>
      <c r="BY11" s="127">
        <v>1</v>
      </c>
      <c r="BZ11" s="131"/>
      <c r="CA11" s="131"/>
      <c r="CB11" s="24">
        <f t="shared" si="13"/>
        <v>1</v>
      </c>
      <c r="CC11" s="117">
        <f t="shared" si="14"/>
        <v>100</v>
      </c>
      <c r="CD11" s="130"/>
      <c r="CE11" s="21"/>
      <c r="CF11" s="21"/>
      <c r="CG11" s="21"/>
      <c r="CH11" s="25"/>
      <c r="CI11" s="21"/>
      <c r="CJ11" s="24">
        <f t="shared" si="15"/>
        <v>0</v>
      </c>
      <c r="CK11" s="117"/>
      <c r="CM11" s="8" t="s">
        <v>69</v>
      </c>
      <c r="CN11" s="8">
        <f>((CN3/100)+1.96*CN7)*100</f>
        <v>39.67430208694303</v>
      </c>
      <c r="CO11" s="8">
        <f t="shared" ref="CO11:CQ11" si="26">((CO3/100)+1.96*CO7)*100</f>
        <v>79.243524478543748</v>
      </c>
      <c r="CP11" s="8">
        <f t="shared" si="26"/>
        <v>83.92</v>
      </c>
      <c r="CQ11" s="8">
        <f t="shared" si="26"/>
        <v>79.243524478543748</v>
      </c>
    </row>
    <row r="12" spans="1:95" x14ac:dyDescent="0.25">
      <c r="A12" s="137">
        <v>11</v>
      </c>
      <c r="B12" s="21" t="s">
        <v>65</v>
      </c>
      <c r="C12" s="126">
        <v>0</v>
      </c>
      <c r="D12" s="127">
        <v>0</v>
      </c>
      <c r="E12" s="131"/>
      <c r="F12" s="131"/>
      <c r="G12" s="131"/>
      <c r="H12" s="117">
        <f t="shared" si="0"/>
        <v>2</v>
      </c>
      <c r="I12" s="115">
        <f t="shared" si="17"/>
        <v>0</v>
      </c>
      <c r="J12" s="126">
        <v>0</v>
      </c>
      <c r="K12" s="70"/>
      <c r="L12" s="70"/>
      <c r="M12" s="138"/>
      <c r="N12" s="117">
        <f t="shared" si="1"/>
        <v>1</v>
      </c>
      <c r="O12" s="117">
        <f t="shared" si="18"/>
        <v>0</v>
      </c>
      <c r="P12" s="127">
        <v>0</v>
      </c>
      <c r="Q12" s="127">
        <v>1</v>
      </c>
      <c r="R12" s="127">
        <v>1</v>
      </c>
      <c r="S12" s="131"/>
      <c r="T12" s="131"/>
      <c r="U12" s="131"/>
      <c r="V12" s="120">
        <f t="shared" si="2"/>
        <v>3</v>
      </c>
      <c r="W12" s="117">
        <f t="shared" si="3"/>
        <v>66.666666666666657</v>
      </c>
      <c r="X12" s="126">
        <v>1</v>
      </c>
      <c r="Y12" s="131"/>
      <c r="Z12" s="131"/>
      <c r="AA12" s="128"/>
      <c r="AB12" s="129">
        <f t="shared" si="4"/>
        <v>1</v>
      </c>
      <c r="AC12" s="117">
        <f t="shared" si="5"/>
        <v>100</v>
      </c>
      <c r="AD12" s="21" t="s">
        <v>66</v>
      </c>
      <c r="AE12" s="123"/>
      <c r="AF12" s="21"/>
      <c r="AG12" s="21"/>
      <c r="AH12" s="21"/>
      <c r="AI12" s="21"/>
      <c r="AJ12" s="24">
        <f t="shared" si="6"/>
        <v>0</v>
      </c>
      <c r="AK12" s="117"/>
      <c r="AL12" s="126">
        <v>0</v>
      </c>
      <c r="AM12" s="131"/>
      <c r="AN12" s="131"/>
      <c r="AO12" s="131"/>
      <c r="AP12" s="128"/>
      <c r="AQ12" s="129">
        <f t="shared" si="7"/>
        <v>1</v>
      </c>
      <c r="AR12" s="117">
        <f t="shared" si="20"/>
        <v>0</v>
      </c>
      <c r="AS12" s="127">
        <v>1</v>
      </c>
      <c r="AT12" s="127">
        <v>1</v>
      </c>
      <c r="AU12" s="131"/>
      <c r="AV12" s="131"/>
      <c r="AW12" s="131"/>
      <c r="AX12" s="131"/>
      <c r="AY12" s="129">
        <f t="shared" si="8"/>
        <v>2</v>
      </c>
      <c r="AZ12" s="117">
        <f t="shared" si="21"/>
        <v>100</v>
      </c>
      <c r="BA12" s="132">
        <v>1</v>
      </c>
      <c r="BB12" s="133">
        <v>1</v>
      </c>
      <c r="BC12" s="21"/>
      <c r="BD12" s="21"/>
      <c r="BE12" s="21"/>
      <c r="BF12" s="21"/>
      <c r="BG12" s="21"/>
      <c r="BH12" s="25"/>
      <c r="BI12" s="129">
        <f t="shared" si="9"/>
        <v>2</v>
      </c>
      <c r="BJ12" s="117">
        <f t="shared" si="22"/>
        <v>100</v>
      </c>
      <c r="BK12" s="21" t="s">
        <v>67</v>
      </c>
      <c r="BL12" s="123"/>
      <c r="BM12" s="21"/>
      <c r="BN12" s="21"/>
      <c r="BO12" s="21"/>
      <c r="BP12" s="24">
        <f t="shared" si="10"/>
        <v>0</v>
      </c>
      <c r="BQ12" s="117"/>
      <c r="BR12" s="126">
        <v>0</v>
      </c>
      <c r="BS12" s="131"/>
      <c r="BT12" s="131"/>
      <c r="BU12" s="131"/>
      <c r="BV12" s="128"/>
      <c r="BW12" s="129">
        <f t="shared" si="11"/>
        <v>1</v>
      </c>
      <c r="BX12" s="117">
        <f t="shared" si="12"/>
        <v>0</v>
      </c>
      <c r="BY12" s="127">
        <v>0</v>
      </c>
      <c r="BZ12" s="131"/>
      <c r="CA12" s="131"/>
      <c r="CB12" s="24">
        <f t="shared" si="13"/>
        <v>1</v>
      </c>
      <c r="CC12" s="117">
        <f t="shared" si="14"/>
        <v>0</v>
      </c>
      <c r="CD12" s="126">
        <v>1</v>
      </c>
      <c r="CE12" s="133">
        <v>0</v>
      </c>
      <c r="CF12" s="133">
        <v>1</v>
      </c>
      <c r="CG12" s="21"/>
      <c r="CH12" s="25"/>
      <c r="CI12" s="21"/>
      <c r="CJ12" s="24">
        <f t="shared" si="15"/>
        <v>3</v>
      </c>
      <c r="CK12" s="117">
        <f t="shared" si="16"/>
        <v>66.666666666666657</v>
      </c>
      <c r="CN12" s="8">
        <f t="shared" ref="CN12:CQ13" si="27">((CN4/100)+1.96*CN8)*100</f>
        <v>54.900000000000006</v>
      </c>
      <c r="CO12" s="8">
        <f t="shared" si="27"/>
        <v>79.243524478543748</v>
      </c>
      <c r="CP12" s="8">
        <f t="shared" si="27"/>
        <v>88.499299929985995</v>
      </c>
      <c r="CQ12" s="8">
        <f t="shared" si="27"/>
        <v>83.92</v>
      </c>
    </row>
    <row r="13" spans="1:95" x14ac:dyDescent="0.25">
      <c r="A13" s="137">
        <v>11.5</v>
      </c>
      <c r="B13" s="21" t="s">
        <v>65</v>
      </c>
      <c r="C13" s="130"/>
      <c r="D13" s="131"/>
      <c r="E13" s="131"/>
      <c r="F13" s="131"/>
      <c r="G13" s="131"/>
      <c r="H13" s="117">
        <f t="shared" si="0"/>
        <v>0</v>
      </c>
      <c r="I13" s="115"/>
      <c r="J13" s="126">
        <v>0</v>
      </c>
      <c r="K13" s="70"/>
      <c r="L13" s="70"/>
      <c r="M13" s="138"/>
      <c r="N13" s="117">
        <f t="shared" si="1"/>
        <v>1</v>
      </c>
      <c r="O13" s="117">
        <f t="shared" si="18"/>
        <v>0</v>
      </c>
      <c r="P13" s="131"/>
      <c r="Q13" s="131"/>
      <c r="R13" s="131"/>
      <c r="S13" s="131"/>
      <c r="T13" s="131"/>
      <c r="U13" s="131"/>
      <c r="V13" s="120">
        <f t="shared" si="2"/>
        <v>0</v>
      </c>
      <c r="W13" s="117"/>
      <c r="X13" s="130"/>
      <c r="Y13" s="131"/>
      <c r="Z13" s="131"/>
      <c r="AA13" s="128"/>
      <c r="AB13" s="129">
        <f t="shared" si="4"/>
        <v>0</v>
      </c>
      <c r="AC13" s="117"/>
      <c r="AD13" s="21" t="s">
        <v>66</v>
      </c>
      <c r="AE13" s="123"/>
      <c r="AF13" s="21"/>
      <c r="AG13" s="21"/>
      <c r="AH13" s="21"/>
      <c r="AI13" s="21"/>
      <c r="AJ13" s="24">
        <f t="shared" si="6"/>
        <v>0</v>
      </c>
      <c r="AK13" s="117"/>
      <c r="AL13" s="126">
        <v>0</v>
      </c>
      <c r="AM13" s="131"/>
      <c r="AN13" s="131"/>
      <c r="AO13" s="131"/>
      <c r="AP13" s="128"/>
      <c r="AQ13" s="129">
        <f t="shared" si="7"/>
        <v>1</v>
      </c>
      <c r="AR13" s="117">
        <f t="shared" si="20"/>
        <v>0</v>
      </c>
      <c r="AS13" s="131"/>
      <c r="AT13" s="131"/>
      <c r="AU13" s="131"/>
      <c r="AV13" s="131"/>
      <c r="AW13" s="131"/>
      <c r="AX13" s="131"/>
      <c r="AY13" s="129">
        <f t="shared" si="8"/>
        <v>0</v>
      </c>
      <c r="AZ13" s="117"/>
      <c r="BA13" s="123"/>
      <c r="BB13" s="21"/>
      <c r="BC13" s="21"/>
      <c r="BD13" s="21"/>
      <c r="BE13" s="21"/>
      <c r="BF13" s="21"/>
      <c r="BG13" s="21"/>
      <c r="BH13" s="25"/>
      <c r="BI13" s="129">
        <f t="shared" si="9"/>
        <v>0</v>
      </c>
      <c r="BJ13" s="117"/>
      <c r="BK13" s="21" t="s">
        <v>67</v>
      </c>
      <c r="BL13" s="132">
        <v>1</v>
      </c>
      <c r="BM13" s="21"/>
      <c r="BN13" s="21"/>
      <c r="BO13" s="21"/>
      <c r="BP13" s="24">
        <f t="shared" si="10"/>
        <v>1</v>
      </c>
      <c r="BQ13" s="117">
        <f t="shared" si="23"/>
        <v>100</v>
      </c>
      <c r="BR13" s="126">
        <v>1</v>
      </c>
      <c r="BS13" s="131"/>
      <c r="BT13" s="131"/>
      <c r="BU13" s="131"/>
      <c r="BV13" s="128"/>
      <c r="BW13" s="129">
        <f t="shared" si="11"/>
        <v>1</v>
      </c>
      <c r="BX13" s="117">
        <f t="shared" si="12"/>
        <v>100</v>
      </c>
      <c r="BY13" s="127">
        <v>0</v>
      </c>
      <c r="BZ13" s="131"/>
      <c r="CA13" s="131"/>
      <c r="CB13" s="24">
        <f t="shared" si="13"/>
        <v>1</v>
      </c>
      <c r="CC13" s="117">
        <f t="shared" si="14"/>
        <v>0</v>
      </c>
      <c r="CD13" s="130"/>
      <c r="CE13" s="21"/>
      <c r="CF13" s="21"/>
      <c r="CG13" s="21"/>
      <c r="CH13" s="25"/>
      <c r="CI13" s="21"/>
      <c r="CJ13" s="24">
        <f t="shared" si="15"/>
        <v>0</v>
      </c>
      <c r="CK13" s="117"/>
      <c r="CN13" s="8">
        <f t="shared" si="27"/>
        <v>39.67430208694303</v>
      </c>
      <c r="CO13" s="8">
        <f t="shared" si="27"/>
        <v>7.1358604823349294</v>
      </c>
      <c r="CP13" s="8">
        <f t="shared" si="27"/>
        <v>57.524787537313173</v>
      </c>
      <c r="CQ13" s="8">
        <f t="shared" si="27"/>
        <v>74.490924181056712</v>
      </c>
    </row>
    <row r="14" spans="1:95" x14ac:dyDescent="0.25">
      <c r="A14" s="137">
        <v>12</v>
      </c>
      <c r="B14" s="21" t="s">
        <v>65</v>
      </c>
      <c r="C14" s="130"/>
      <c r="D14" s="131"/>
      <c r="E14" s="131"/>
      <c r="F14" s="131"/>
      <c r="G14" s="131"/>
      <c r="H14" s="117">
        <f t="shared" si="0"/>
        <v>0</v>
      </c>
      <c r="I14" s="115"/>
      <c r="J14" s="130"/>
      <c r="K14" s="70"/>
      <c r="L14" s="70"/>
      <c r="M14" s="138"/>
      <c r="N14" s="117">
        <f t="shared" si="1"/>
        <v>0</v>
      </c>
      <c r="O14" s="117"/>
      <c r="P14" s="127">
        <v>1</v>
      </c>
      <c r="Q14" s="131"/>
      <c r="R14" s="131"/>
      <c r="S14" s="131"/>
      <c r="T14" s="131"/>
      <c r="U14" s="131"/>
      <c r="V14" s="120">
        <f t="shared" si="2"/>
        <v>1</v>
      </c>
      <c r="W14" s="117">
        <f t="shared" si="3"/>
        <v>100</v>
      </c>
      <c r="X14" s="130"/>
      <c r="Y14" s="131"/>
      <c r="Z14" s="131"/>
      <c r="AA14" s="128"/>
      <c r="AB14" s="129">
        <f t="shared" si="4"/>
        <v>0</v>
      </c>
      <c r="AC14" s="117"/>
      <c r="AD14" s="21" t="s">
        <v>66</v>
      </c>
      <c r="AE14" s="123"/>
      <c r="AF14" s="21"/>
      <c r="AG14" s="21"/>
      <c r="AH14" s="21"/>
      <c r="AI14" s="21"/>
      <c r="AJ14" s="24">
        <f t="shared" si="6"/>
        <v>0</v>
      </c>
      <c r="AK14" s="117"/>
      <c r="AL14" s="130"/>
      <c r="AM14" s="131"/>
      <c r="AN14" s="131"/>
      <c r="AO14" s="131"/>
      <c r="AP14" s="128"/>
      <c r="AQ14" s="129">
        <f t="shared" si="7"/>
        <v>0</v>
      </c>
      <c r="AR14" s="117"/>
      <c r="AS14" s="127">
        <v>1</v>
      </c>
      <c r="AT14" s="127">
        <v>1</v>
      </c>
      <c r="AU14" s="131"/>
      <c r="AV14" s="131"/>
      <c r="AW14" s="131"/>
      <c r="AX14" s="131"/>
      <c r="AY14" s="129">
        <f t="shared" si="8"/>
        <v>2</v>
      </c>
      <c r="AZ14" s="117">
        <f t="shared" si="21"/>
        <v>100</v>
      </c>
      <c r="BA14" s="123"/>
      <c r="BB14" s="21"/>
      <c r="BC14" s="21"/>
      <c r="BD14" s="21"/>
      <c r="BE14" s="21"/>
      <c r="BF14" s="21"/>
      <c r="BG14" s="21"/>
      <c r="BH14" s="25"/>
      <c r="BI14" s="129">
        <f t="shared" si="9"/>
        <v>0</v>
      </c>
      <c r="BJ14" s="117"/>
      <c r="BK14" s="21" t="s">
        <v>67</v>
      </c>
      <c r="BL14" s="123"/>
      <c r="BM14" s="21"/>
      <c r="BN14" s="21"/>
      <c r="BO14" s="21"/>
      <c r="BP14" s="24">
        <f t="shared" si="10"/>
        <v>0</v>
      </c>
      <c r="BQ14" s="117"/>
      <c r="BR14" s="139"/>
      <c r="BS14" s="70"/>
      <c r="BT14" s="70"/>
      <c r="BU14" s="70"/>
      <c r="BV14" s="138"/>
      <c r="BW14" s="129">
        <f t="shared" si="11"/>
        <v>0</v>
      </c>
      <c r="BX14" s="117"/>
      <c r="CB14" s="24">
        <f t="shared" si="13"/>
        <v>0</v>
      </c>
      <c r="CC14" s="117"/>
      <c r="CD14" s="140">
        <v>1</v>
      </c>
      <c r="CJ14" s="24">
        <f t="shared" si="15"/>
        <v>1</v>
      </c>
      <c r="CK14" s="117">
        <f t="shared" si="16"/>
        <v>100</v>
      </c>
    </row>
    <row r="15" spans="1:95" x14ac:dyDescent="0.25">
      <c r="A15" s="137">
        <v>12.5</v>
      </c>
      <c r="B15" s="21" t="s">
        <v>65</v>
      </c>
      <c r="C15" s="130"/>
      <c r="D15" s="131"/>
      <c r="E15" s="131"/>
      <c r="F15" s="131"/>
      <c r="G15" s="131"/>
      <c r="H15" s="117">
        <f t="shared" si="0"/>
        <v>0</v>
      </c>
      <c r="I15" s="115"/>
      <c r="J15" s="126">
        <v>0</v>
      </c>
      <c r="K15" s="42">
        <v>0</v>
      </c>
      <c r="L15" s="70"/>
      <c r="M15" s="138"/>
      <c r="N15" s="117">
        <f t="shared" si="1"/>
        <v>2</v>
      </c>
      <c r="O15" s="117">
        <f t="shared" si="18"/>
        <v>0</v>
      </c>
      <c r="P15" s="131"/>
      <c r="Q15" s="131"/>
      <c r="R15" s="131"/>
      <c r="S15" s="131"/>
      <c r="T15" s="131"/>
      <c r="U15" s="131"/>
      <c r="V15" s="120">
        <f t="shared" si="2"/>
        <v>0</v>
      </c>
      <c r="W15" s="117"/>
      <c r="X15" s="130"/>
      <c r="Y15" s="131"/>
      <c r="Z15" s="131"/>
      <c r="AA15" s="128"/>
      <c r="AB15" s="129">
        <f t="shared" si="4"/>
        <v>0</v>
      </c>
      <c r="AC15" s="117"/>
      <c r="AD15" s="21" t="s">
        <v>66</v>
      </c>
      <c r="AE15" s="123"/>
      <c r="AJ15" s="24">
        <f t="shared" si="6"/>
        <v>0</v>
      </c>
      <c r="AK15" s="117"/>
      <c r="AQ15" s="129">
        <f t="shared" si="7"/>
        <v>0</v>
      </c>
      <c r="AR15" s="117"/>
      <c r="AS15" s="70"/>
      <c r="AT15" s="70"/>
      <c r="AU15" s="70"/>
      <c r="AV15" s="70"/>
      <c r="AW15" s="70"/>
      <c r="AX15" s="70"/>
      <c r="AY15" s="129">
        <f t="shared" si="8"/>
        <v>0</v>
      </c>
      <c r="AZ15" s="117"/>
      <c r="BI15" s="129">
        <f t="shared" si="9"/>
        <v>0</v>
      </c>
      <c r="BJ15" s="117"/>
      <c r="BK15" s="21" t="s">
        <v>67</v>
      </c>
      <c r="BL15" s="123"/>
      <c r="BM15" s="21"/>
      <c r="BN15" s="21"/>
      <c r="BO15" s="21"/>
      <c r="BP15" s="24">
        <f t="shared" si="10"/>
        <v>0</v>
      </c>
      <c r="BQ15" s="117"/>
      <c r="BR15" s="139"/>
      <c r="BS15" s="70"/>
      <c r="BT15" s="70"/>
      <c r="BU15" s="70"/>
      <c r="BV15" s="138"/>
      <c r="BW15" s="129">
        <f t="shared" si="11"/>
        <v>0</v>
      </c>
      <c r="BX15" s="117"/>
      <c r="BY15" s="42">
        <v>1</v>
      </c>
      <c r="CB15" s="24">
        <f t="shared" si="13"/>
        <v>1</v>
      </c>
      <c r="CC15" s="117">
        <f t="shared" si="14"/>
        <v>100</v>
      </c>
      <c r="CD15" s="140">
        <v>1</v>
      </c>
      <c r="CJ15" s="24">
        <f t="shared" si="15"/>
        <v>1</v>
      </c>
      <c r="CK15" s="117">
        <f t="shared" si="16"/>
        <v>100</v>
      </c>
      <c r="CM15" s="8" t="s">
        <v>70</v>
      </c>
      <c r="CN15" s="8">
        <f>((CN3/100)-1.96*CN7)*100</f>
        <v>30.325697913056963</v>
      </c>
      <c r="CO15" s="8">
        <f t="shared" ref="CO15:CQ15" si="28">((CO3/100)-1.96*CO7)*100</f>
        <v>70.756475521456252</v>
      </c>
      <c r="CP15" s="8">
        <f t="shared" si="28"/>
        <v>76.08</v>
      </c>
      <c r="CQ15" s="8">
        <f t="shared" si="28"/>
        <v>70.756475521456252</v>
      </c>
    </row>
    <row r="16" spans="1:95" x14ac:dyDescent="0.25">
      <c r="A16" s="137">
        <v>13</v>
      </c>
      <c r="B16" s="21" t="s">
        <v>65</v>
      </c>
      <c r="C16" s="126">
        <v>0</v>
      </c>
      <c r="D16" s="127">
        <v>0</v>
      </c>
      <c r="E16" s="131"/>
      <c r="F16" s="131"/>
      <c r="G16" s="131"/>
      <c r="H16" s="117">
        <f t="shared" si="0"/>
        <v>2</v>
      </c>
      <c r="I16" s="115">
        <f t="shared" si="17"/>
        <v>0</v>
      </c>
      <c r="J16" s="130"/>
      <c r="K16" s="70"/>
      <c r="L16" s="70"/>
      <c r="M16" s="138"/>
      <c r="N16" s="117">
        <f t="shared" si="1"/>
        <v>0</v>
      </c>
      <c r="O16" s="117"/>
      <c r="P16" s="127">
        <v>0</v>
      </c>
      <c r="Q16" s="127">
        <v>1</v>
      </c>
      <c r="R16" s="131"/>
      <c r="S16" s="131"/>
      <c r="T16" s="131"/>
      <c r="U16" s="131"/>
      <c r="V16" s="120">
        <f t="shared" si="2"/>
        <v>2</v>
      </c>
      <c r="W16" s="117">
        <f t="shared" si="3"/>
        <v>50</v>
      </c>
      <c r="X16" s="130"/>
      <c r="Y16" s="131"/>
      <c r="Z16" s="131"/>
      <c r="AA16" s="128"/>
      <c r="AB16" s="129">
        <f t="shared" si="4"/>
        <v>0</v>
      </c>
      <c r="AC16" s="117"/>
      <c r="AD16" s="21" t="s">
        <v>66</v>
      </c>
      <c r="AE16" s="132">
        <v>0</v>
      </c>
      <c r="AJ16" s="24">
        <f t="shared" si="6"/>
        <v>1</v>
      </c>
      <c r="AK16" s="117">
        <f t="shared" si="19"/>
        <v>0</v>
      </c>
      <c r="AQ16" s="129">
        <f t="shared" si="7"/>
        <v>0</v>
      </c>
      <c r="AR16" s="117"/>
      <c r="AS16" s="42">
        <v>1</v>
      </c>
      <c r="AT16" s="70"/>
      <c r="AU16" s="70"/>
      <c r="AV16" s="70"/>
      <c r="AW16" s="70"/>
      <c r="AX16" s="70"/>
      <c r="AY16" s="129">
        <f t="shared" si="8"/>
        <v>1</v>
      </c>
      <c r="AZ16" s="117">
        <f t="shared" si="21"/>
        <v>100</v>
      </c>
      <c r="BA16" s="140">
        <v>1</v>
      </c>
      <c r="BI16" s="129">
        <f t="shared" si="9"/>
        <v>1</v>
      </c>
      <c r="BJ16" s="117">
        <f t="shared" si="22"/>
        <v>100</v>
      </c>
      <c r="BK16" s="21" t="s">
        <v>67</v>
      </c>
      <c r="BL16" s="123"/>
      <c r="BM16" s="21"/>
      <c r="BN16" s="21"/>
      <c r="BO16" s="21"/>
      <c r="BP16" s="24">
        <f t="shared" si="10"/>
        <v>0</v>
      </c>
      <c r="BQ16" s="117"/>
      <c r="BR16" s="139"/>
      <c r="BS16" s="70"/>
      <c r="BT16" s="70"/>
      <c r="BU16" s="70"/>
      <c r="BV16" s="138"/>
      <c r="BW16" s="129">
        <f t="shared" si="11"/>
        <v>0</v>
      </c>
      <c r="BX16" s="117"/>
      <c r="BY16" s="127">
        <v>1</v>
      </c>
      <c r="BZ16" s="42">
        <v>0</v>
      </c>
      <c r="CA16" s="42"/>
      <c r="CB16" s="24">
        <f t="shared" si="13"/>
        <v>2</v>
      </c>
      <c r="CC16" s="117">
        <f t="shared" si="14"/>
        <v>50</v>
      </c>
      <c r="CJ16" s="24">
        <f t="shared" si="15"/>
        <v>0</v>
      </c>
      <c r="CK16" s="117"/>
      <c r="CN16" s="8">
        <f t="shared" ref="CN16:CQ17" si="29">((CN4/100)-1.96*CN8)*100</f>
        <v>45.1</v>
      </c>
      <c r="CO16" s="8">
        <f t="shared" si="29"/>
        <v>70.756475521456252</v>
      </c>
      <c r="CP16" s="8">
        <f t="shared" si="29"/>
        <v>81.500700070014005</v>
      </c>
      <c r="CQ16" s="8">
        <f t="shared" si="29"/>
        <v>76.08</v>
      </c>
    </row>
    <row r="17" spans="1:95" x14ac:dyDescent="0.25">
      <c r="A17" s="137">
        <v>13.5</v>
      </c>
      <c r="B17" s="21" t="s">
        <v>65</v>
      </c>
      <c r="C17" s="130"/>
      <c r="D17" s="131"/>
      <c r="E17" s="131"/>
      <c r="F17" s="131"/>
      <c r="G17" s="131"/>
      <c r="H17" s="117">
        <f t="shared" si="0"/>
        <v>0</v>
      </c>
      <c r="I17" s="115"/>
      <c r="J17" s="130"/>
      <c r="K17" s="70"/>
      <c r="L17" s="70"/>
      <c r="M17" s="138"/>
      <c r="N17" s="117">
        <f t="shared" si="1"/>
        <v>0</v>
      </c>
      <c r="O17" s="117"/>
      <c r="P17" s="131"/>
      <c r="Q17" s="131"/>
      <c r="R17" s="131"/>
      <c r="S17" s="131"/>
      <c r="T17" s="131"/>
      <c r="U17" s="131"/>
      <c r="V17" s="120">
        <f t="shared" si="2"/>
        <v>0</v>
      </c>
      <c r="X17" s="130"/>
      <c r="Y17" s="131"/>
      <c r="Z17" s="131"/>
      <c r="AA17" s="128"/>
      <c r="AB17" s="129">
        <f t="shared" si="4"/>
        <v>0</v>
      </c>
      <c r="AC17" s="117"/>
      <c r="AD17" s="21" t="s">
        <v>66</v>
      </c>
      <c r="AE17" s="123"/>
      <c r="AJ17" s="24">
        <f t="shared" si="6"/>
        <v>0</v>
      </c>
      <c r="AK17" s="117"/>
      <c r="AL17" s="140">
        <v>0</v>
      </c>
      <c r="AQ17" s="129">
        <f t="shared" si="7"/>
        <v>1</v>
      </c>
      <c r="AR17" s="117">
        <f t="shared" si="20"/>
        <v>0</v>
      </c>
      <c r="AS17" s="70"/>
      <c r="AT17" s="70"/>
      <c r="AU17" s="70"/>
      <c r="AV17" s="70"/>
      <c r="AW17" s="70"/>
      <c r="AX17" s="70"/>
      <c r="AY17" s="129">
        <f t="shared" si="8"/>
        <v>0</v>
      </c>
      <c r="AZ17" s="117"/>
      <c r="BI17" s="129">
        <f t="shared" si="9"/>
        <v>0</v>
      </c>
      <c r="BJ17" s="117"/>
      <c r="BK17" s="21" t="s">
        <v>67</v>
      </c>
      <c r="BL17" s="123"/>
      <c r="BM17" s="21"/>
      <c r="BN17" s="21"/>
      <c r="BO17" s="21"/>
      <c r="BP17" s="24">
        <f t="shared" si="10"/>
        <v>0</v>
      </c>
      <c r="BQ17" s="117"/>
      <c r="BR17" s="139"/>
      <c r="BS17" s="70"/>
      <c r="BT17" s="70"/>
      <c r="BU17" s="70"/>
      <c r="BV17" s="138"/>
      <c r="BW17" s="129">
        <f t="shared" si="11"/>
        <v>0</v>
      </c>
      <c r="BX17" s="117"/>
      <c r="CB17" s="24">
        <f t="shared" si="13"/>
        <v>0</v>
      </c>
      <c r="CC17" s="117"/>
      <c r="CJ17" s="24">
        <f t="shared" si="15"/>
        <v>0</v>
      </c>
      <c r="CK17" s="117"/>
      <c r="CN17" s="8">
        <f t="shared" si="29"/>
        <v>30.325697913056963</v>
      </c>
      <c r="CO17" s="8">
        <f t="shared" si="29"/>
        <v>2.8641395176650706</v>
      </c>
      <c r="CP17" s="8">
        <f t="shared" si="29"/>
        <v>47.738370357423662</v>
      </c>
      <c r="CQ17" s="8">
        <f t="shared" si="29"/>
        <v>65.509075818943273</v>
      </c>
    </row>
    <row r="18" spans="1:95" x14ac:dyDescent="0.25">
      <c r="A18" s="137">
        <v>14</v>
      </c>
      <c r="B18" s="21" t="s">
        <v>65</v>
      </c>
      <c r="C18" s="126">
        <v>0</v>
      </c>
      <c r="D18" s="131"/>
      <c r="E18" s="131"/>
      <c r="F18" s="131"/>
      <c r="G18" s="131"/>
      <c r="H18" s="117">
        <f t="shared" si="0"/>
        <v>1</v>
      </c>
      <c r="I18" s="115">
        <f t="shared" si="17"/>
        <v>0</v>
      </c>
      <c r="J18" s="130"/>
      <c r="K18" s="70"/>
      <c r="L18" s="70"/>
      <c r="M18" s="138"/>
      <c r="N18" s="117">
        <f t="shared" si="1"/>
        <v>0</v>
      </c>
      <c r="O18" s="117"/>
      <c r="P18" s="131"/>
      <c r="Q18" s="131"/>
      <c r="R18" s="131"/>
      <c r="S18" s="131"/>
      <c r="T18" s="131"/>
      <c r="U18" s="131"/>
      <c r="V18" s="120">
        <f t="shared" si="2"/>
        <v>0</v>
      </c>
      <c r="X18" s="130"/>
      <c r="Y18" s="131"/>
      <c r="Z18" s="131"/>
      <c r="AA18" s="128"/>
      <c r="AB18" s="129">
        <f t="shared" si="4"/>
        <v>0</v>
      </c>
      <c r="AC18" s="117"/>
      <c r="AD18" s="21" t="s">
        <v>66</v>
      </c>
      <c r="AJ18" s="24">
        <f t="shared" si="6"/>
        <v>0</v>
      </c>
      <c r="AK18" s="117"/>
      <c r="AQ18" s="129">
        <f t="shared" si="7"/>
        <v>0</v>
      </c>
      <c r="AR18" s="117"/>
      <c r="AS18" s="70"/>
      <c r="AT18" s="70"/>
      <c r="AU18" s="70"/>
      <c r="AV18" s="70"/>
      <c r="AW18" s="70"/>
      <c r="AX18" s="70"/>
      <c r="AY18" s="129">
        <f t="shared" si="8"/>
        <v>0</v>
      </c>
      <c r="AZ18" s="117"/>
      <c r="BI18" s="129">
        <f t="shared" si="9"/>
        <v>0</v>
      </c>
      <c r="BJ18" s="117"/>
      <c r="BK18" s="21" t="s">
        <v>67</v>
      </c>
      <c r="BL18" s="123"/>
      <c r="BM18" s="21"/>
      <c r="BN18" s="21"/>
      <c r="BO18" s="21"/>
      <c r="BP18" s="24">
        <f t="shared" si="10"/>
        <v>0</v>
      </c>
      <c r="BQ18" s="117"/>
      <c r="BR18" s="139"/>
      <c r="BS18" s="70"/>
      <c r="BT18" s="70"/>
      <c r="BU18" s="70"/>
      <c r="BV18" s="138"/>
      <c r="BW18" s="129">
        <f t="shared" si="11"/>
        <v>0</v>
      </c>
      <c r="BX18" s="117"/>
      <c r="CB18" s="24">
        <f t="shared" si="13"/>
        <v>0</v>
      </c>
      <c r="CC18" s="117"/>
      <c r="CJ18" s="24">
        <f t="shared" si="15"/>
        <v>0</v>
      </c>
      <c r="CK18" s="117"/>
    </row>
    <row r="19" spans="1:95" x14ac:dyDescent="0.25">
      <c r="A19" s="137">
        <v>14.5</v>
      </c>
      <c r="B19" s="21" t="s">
        <v>65</v>
      </c>
      <c r="C19" s="126">
        <v>1</v>
      </c>
      <c r="D19" s="131"/>
      <c r="E19" s="131"/>
      <c r="F19" s="131"/>
      <c r="G19" s="131"/>
      <c r="H19" s="117">
        <f t="shared" si="0"/>
        <v>1</v>
      </c>
      <c r="I19" s="115">
        <f t="shared" si="17"/>
        <v>100</v>
      </c>
      <c r="J19" s="130"/>
      <c r="K19" s="70"/>
      <c r="L19" s="70"/>
      <c r="M19" s="138"/>
      <c r="N19" s="117">
        <f t="shared" si="1"/>
        <v>0</v>
      </c>
      <c r="O19" s="117"/>
      <c r="P19" s="131"/>
      <c r="Q19" s="131"/>
      <c r="R19" s="131"/>
      <c r="S19" s="131"/>
      <c r="T19" s="131"/>
      <c r="U19" s="131"/>
      <c r="V19" s="120">
        <f t="shared" si="2"/>
        <v>0</v>
      </c>
      <c r="X19" s="139"/>
      <c r="Y19" s="70"/>
      <c r="Z19" s="70"/>
      <c r="AA19" s="138"/>
      <c r="AB19" s="129">
        <f t="shared" si="4"/>
        <v>0</v>
      </c>
      <c r="AC19" s="117"/>
      <c r="AD19" s="21" t="s">
        <v>66</v>
      </c>
      <c r="AJ19" s="24">
        <f t="shared" si="6"/>
        <v>0</v>
      </c>
      <c r="AK19" s="117"/>
      <c r="AQ19" s="129">
        <f t="shared" si="7"/>
        <v>0</v>
      </c>
      <c r="AR19" s="117"/>
      <c r="AS19" s="70"/>
      <c r="AT19" s="70"/>
      <c r="AU19" s="70"/>
      <c r="AV19" s="70"/>
      <c r="AW19" s="70"/>
      <c r="AX19" s="70"/>
      <c r="AY19" s="129">
        <f t="shared" si="8"/>
        <v>0</v>
      </c>
      <c r="AZ19" s="117"/>
      <c r="BI19" s="129">
        <f t="shared" si="9"/>
        <v>0</v>
      </c>
      <c r="BJ19" s="117"/>
      <c r="BK19" s="21" t="s">
        <v>67</v>
      </c>
      <c r="BL19" s="123"/>
      <c r="BM19" s="21"/>
      <c r="BN19" s="21"/>
      <c r="BO19" s="21"/>
      <c r="BP19" s="24">
        <f t="shared" si="10"/>
        <v>0</v>
      </c>
      <c r="BQ19" s="117"/>
      <c r="BR19" s="140">
        <v>0</v>
      </c>
      <c r="BS19" s="42">
        <v>0</v>
      </c>
      <c r="BT19" s="70"/>
      <c r="BU19" s="70"/>
      <c r="BV19" s="138"/>
      <c r="BW19" s="129">
        <f t="shared" si="11"/>
        <v>2</v>
      </c>
      <c r="BX19" s="117">
        <f t="shared" si="12"/>
        <v>0</v>
      </c>
      <c r="CB19" s="24">
        <f t="shared" si="13"/>
        <v>0</v>
      </c>
      <c r="CC19" s="117"/>
      <c r="CJ19" s="24">
        <f t="shared" si="15"/>
        <v>0</v>
      </c>
      <c r="CK19" s="117"/>
    </row>
    <row r="20" spans="1:95" x14ac:dyDescent="0.25">
      <c r="A20" s="137">
        <v>15</v>
      </c>
      <c r="B20" s="21" t="s">
        <v>65</v>
      </c>
      <c r="C20" s="126">
        <v>1</v>
      </c>
      <c r="D20" s="127">
        <v>0</v>
      </c>
      <c r="E20" s="131"/>
      <c r="F20" s="131"/>
      <c r="G20" s="131"/>
      <c r="H20" s="117">
        <f t="shared" si="0"/>
        <v>2</v>
      </c>
      <c r="I20" s="115">
        <f t="shared" si="17"/>
        <v>50</v>
      </c>
      <c r="J20" s="130"/>
      <c r="K20" s="70"/>
      <c r="L20" s="70"/>
      <c r="M20" s="138"/>
      <c r="N20" s="117">
        <f t="shared" si="1"/>
        <v>0</v>
      </c>
      <c r="O20" s="117"/>
      <c r="P20" s="131"/>
      <c r="Q20" s="131"/>
      <c r="R20" s="131"/>
      <c r="S20" s="131"/>
      <c r="T20" s="131"/>
      <c r="U20" s="131"/>
      <c r="V20" s="120">
        <f t="shared" si="2"/>
        <v>0</v>
      </c>
      <c r="X20" s="140">
        <v>0</v>
      </c>
      <c r="Y20" s="70"/>
      <c r="Z20" s="70"/>
      <c r="AA20" s="138"/>
      <c r="AB20" s="129">
        <f t="shared" si="4"/>
        <v>1</v>
      </c>
      <c r="AC20" s="117">
        <f t="shared" si="5"/>
        <v>0</v>
      </c>
      <c r="AD20" s="21" t="s">
        <v>66</v>
      </c>
      <c r="AJ20" s="24">
        <f t="shared" si="6"/>
        <v>0</v>
      </c>
      <c r="AK20" s="117"/>
      <c r="AQ20" s="129">
        <f t="shared" si="7"/>
        <v>0</v>
      </c>
      <c r="AR20" s="117"/>
      <c r="AS20" s="42">
        <v>0</v>
      </c>
      <c r="AT20" s="70"/>
      <c r="AU20" s="70"/>
      <c r="AV20" s="70"/>
      <c r="AW20" s="70"/>
      <c r="AX20" s="70"/>
      <c r="AY20" s="129">
        <f t="shared" si="8"/>
        <v>1</v>
      </c>
      <c r="AZ20" s="117">
        <f t="shared" si="21"/>
        <v>0</v>
      </c>
      <c r="BA20" s="140">
        <v>1</v>
      </c>
      <c r="BI20" s="129">
        <f t="shared" si="9"/>
        <v>1</v>
      </c>
      <c r="BJ20" s="117">
        <f t="shared" si="22"/>
        <v>100</v>
      </c>
      <c r="BK20" s="21" t="s">
        <v>67</v>
      </c>
      <c r="BL20" s="123"/>
      <c r="BM20" s="21"/>
      <c r="BN20" s="21"/>
      <c r="BO20" s="21"/>
      <c r="BP20" s="24">
        <f t="shared" si="10"/>
        <v>0</v>
      </c>
      <c r="BQ20" s="117"/>
      <c r="BR20" s="139"/>
      <c r="BS20" s="70"/>
      <c r="BT20" s="70"/>
      <c r="BU20" s="70"/>
      <c r="BV20" s="138"/>
      <c r="BW20" s="129">
        <f t="shared" si="11"/>
        <v>0</v>
      </c>
      <c r="BX20" s="129"/>
      <c r="CB20" s="24">
        <f t="shared" si="13"/>
        <v>0</v>
      </c>
      <c r="CC20" s="117"/>
      <c r="CJ20" s="24">
        <f t="shared" si="15"/>
        <v>0</v>
      </c>
      <c r="CK20" s="117"/>
    </row>
    <row r="21" spans="1:95" x14ac:dyDescent="0.25">
      <c r="A21" s="137">
        <v>15.5</v>
      </c>
      <c r="B21" s="21" t="s">
        <v>65</v>
      </c>
      <c r="C21" s="130"/>
      <c r="D21" s="131"/>
      <c r="E21" s="131"/>
      <c r="F21" s="131"/>
      <c r="G21" s="131"/>
      <c r="H21" s="117">
        <f t="shared" si="0"/>
        <v>0</v>
      </c>
      <c r="I21" s="115"/>
      <c r="J21" s="130"/>
      <c r="K21" s="70"/>
      <c r="L21" s="70"/>
      <c r="M21" s="138"/>
      <c r="N21" s="117">
        <f t="shared" si="1"/>
        <v>0</v>
      </c>
      <c r="O21" s="117"/>
      <c r="P21" s="131"/>
      <c r="Q21" s="131"/>
      <c r="R21" s="131"/>
      <c r="S21" s="131"/>
      <c r="T21" s="131"/>
      <c r="U21" s="131"/>
      <c r="V21" s="120">
        <f t="shared" si="2"/>
        <v>0</v>
      </c>
      <c r="X21" s="139"/>
      <c r="Y21" s="70"/>
      <c r="Z21" s="70"/>
      <c r="AA21" s="138"/>
      <c r="AB21" s="129">
        <f t="shared" si="4"/>
        <v>0</v>
      </c>
      <c r="AC21" s="129"/>
      <c r="AD21" s="21" t="s">
        <v>66</v>
      </c>
      <c r="AE21" s="140">
        <v>0</v>
      </c>
      <c r="AJ21" s="24">
        <f t="shared" si="6"/>
        <v>1</v>
      </c>
      <c r="AK21" s="117">
        <f t="shared" si="19"/>
        <v>0</v>
      </c>
      <c r="AQ21" s="129">
        <f t="shared" si="7"/>
        <v>0</v>
      </c>
      <c r="AR21" s="117"/>
      <c r="AS21" s="70"/>
      <c r="AT21" s="70"/>
      <c r="AU21" s="70"/>
      <c r="AV21" s="70"/>
      <c r="AW21" s="70"/>
      <c r="AX21" s="70"/>
      <c r="AY21" s="129">
        <f t="shared" si="8"/>
        <v>0</v>
      </c>
      <c r="AZ21" s="130"/>
      <c r="BI21" s="129">
        <f t="shared" si="9"/>
        <v>0</v>
      </c>
      <c r="BJ21" s="129"/>
      <c r="BK21" s="21" t="s">
        <v>67</v>
      </c>
      <c r="BL21" s="123"/>
      <c r="BM21" s="21"/>
      <c r="BN21" s="21"/>
      <c r="BO21" s="21"/>
      <c r="BP21" s="24">
        <f t="shared" si="10"/>
        <v>0</v>
      </c>
      <c r="BQ21" s="117"/>
      <c r="BR21" s="139"/>
      <c r="BS21" s="70"/>
      <c r="BT21" s="70"/>
      <c r="BU21" s="70"/>
      <c r="BV21" s="138"/>
      <c r="BW21" s="129">
        <f t="shared" si="11"/>
        <v>0</v>
      </c>
      <c r="BX21" s="129"/>
      <c r="CB21" s="24">
        <f t="shared" si="13"/>
        <v>0</v>
      </c>
      <c r="CC21" s="117"/>
      <c r="CJ21" s="24">
        <f t="shared" si="15"/>
        <v>0</v>
      </c>
      <c r="CK21" s="117"/>
    </row>
    <row r="22" spans="1:95" x14ac:dyDescent="0.25">
      <c r="A22" s="137">
        <v>16</v>
      </c>
      <c r="B22" s="21" t="s">
        <v>65</v>
      </c>
      <c r="C22" s="130"/>
      <c r="D22" s="131"/>
      <c r="E22" s="131"/>
      <c r="F22" s="131"/>
      <c r="G22" s="131"/>
      <c r="H22" s="117">
        <f t="shared" si="0"/>
        <v>0</v>
      </c>
      <c r="I22" s="115"/>
      <c r="J22" s="130"/>
      <c r="K22" s="70"/>
      <c r="L22" s="70"/>
      <c r="M22" s="138"/>
      <c r="N22" s="117">
        <f t="shared" si="1"/>
        <v>0</v>
      </c>
      <c r="O22" s="117"/>
      <c r="P22" s="131"/>
      <c r="Q22" s="131"/>
      <c r="R22" s="131"/>
      <c r="S22" s="131"/>
      <c r="T22" s="131"/>
      <c r="U22" s="131"/>
      <c r="V22" s="120">
        <f t="shared" si="2"/>
        <v>0</v>
      </c>
      <c r="X22" s="139"/>
      <c r="Y22" s="70"/>
      <c r="Z22" s="70"/>
      <c r="AA22" s="138"/>
      <c r="AB22" s="129">
        <f t="shared" si="4"/>
        <v>0</v>
      </c>
      <c r="AC22" s="129"/>
      <c r="AD22" s="21" t="s">
        <v>66</v>
      </c>
      <c r="AE22" s="140">
        <v>0</v>
      </c>
      <c r="AJ22" s="24">
        <f t="shared" si="6"/>
        <v>1</v>
      </c>
      <c r="AK22" s="117">
        <f t="shared" si="19"/>
        <v>0</v>
      </c>
      <c r="AL22" s="140">
        <v>0</v>
      </c>
      <c r="AQ22" s="129">
        <f t="shared" si="7"/>
        <v>1</v>
      </c>
      <c r="AR22" s="117">
        <f t="shared" si="20"/>
        <v>0</v>
      </c>
      <c r="AS22" s="70"/>
      <c r="AT22" s="70"/>
      <c r="AU22" s="70"/>
      <c r="AV22" s="70"/>
      <c r="AW22" s="70"/>
      <c r="AX22" s="70"/>
      <c r="AY22" s="129">
        <f t="shared" si="8"/>
        <v>0</v>
      </c>
      <c r="AZ22" s="130"/>
      <c r="BI22" s="129">
        <f t="shared" si="9"/>
        <v>0</v>
      </c>
      <c r="BJ22" s="129"/>
      <c r="BK22" s="21" t="s">
        <v>67</v>
      </c>
      <c r="BL22" s="123"/>
      <c r="BM22" s="21"/>
      <c r="BN22" s="21"/>
      <c r="BO22" s="21"/>
      <c r="BP22" s="24">
        <f t="shared" si="10"/>
        <v>0</v>
      </c>
      <c r="BQ22" s="117"/>
      <c r="BR22" s="139"/>
      <c r="BS22" s="70"/>
      <c r="BT22" s="70"/>
      <c r="BU22" s="70"/>
      <c r="BV22" s="138"/>
      <c r="BW22" s="129">
        <f t="shared" si="11"/>
        <v>0</v>
      </c>
      <c r="BX22" s="129"/>
      <c r="CB22" s="24">
        <f t="shared" si="13"/>
        <v>0</v>
      </c>
      <c r="CC22" s="117"/>
      <c r="CD22" s="140">
        <v>1</v>
      </c>
      <c r="CJ22" s="24">
        <f t="shared" si="15"/>
        <v>1</v>
      </c>
      <c r="CK22" s="117">
        <f t="shared" si="16"/>
        <v>100</v>
      </c>
    </row>
    <row r="23" spans="1:95" x14ac:dyDescent="0.25">
      <c r="A23" s="137">
        <v>17</v>
      </c>
      <c r="B23" s="21" t="s">
        <v>65</v>
      </c>
      <c r="C23" s="130"/>
      <c r="D23" s="131"/>
      <c r="E23" s="131"/>
      <c r="F23" s="131"/>
      <c r="G23" s="131"/>
      <c r="H23" s="117">
        <f t="shared" si="0"/>
        <v>0</v>
      </c>
      <c r="I23" s="115"/>
      <c r="J23" s="130"/>
      <c r="K23" s="70"/>
      <c r="L23" s="70"/>
      <c r="M23" s="138"/>
      <c r="N23" s="117">
        <f t="shared" si="1"/>
        <v>0</v>
      </c>
      <c r="O23" s="117"/>
      <c r="P23" s="131"/>
      <c r="Q23" s="131"/>
      <c r="R23" s="131"/>
      <c r="S23" s="131"/>
      <c r="T23" s="131"/>
      <c r="U23" s="131"/>
      <c r="V23" s="120">
        <f t="shared" si="2"/>
        <v>0</v>
      </c>
      <c r="X23" s="139"/>
      <c r="Y23" s="70"/>
      <c r="Z23" s="70"/>
      <c r="AA23" s="138"/>
      <c r="AB23" s="129">
        <f t="shared" si="4"/>
        <v>0</v>
      </c>
      <c r="AC23" s="129"/>
      <c r="AD23" s="21" t="s">
        <v>66</v>
      </c>
      <c r="AJ23" s="24">
        <f t="shared" si="6"/>
        <v>0</v>
      </c>
      <c r="AK23" s="117"/>
      <c r="AQ23" s="129">
        <f t="shared" si="7"/>
        <v>0</v>
      </c>
      <c r="AR23" s="129"/>
      <c r="AS23" s="70"/>
      <c r="AT23" s="70"/>
      <c r="AU23" s="70"/>
      <c r="AV23" s="70"/>
      <c r="AW23" s="70"/>
      <c r="AX23" s="70"/>
      <c r="AY23" s="129">
        <f t="shared" si="8"/>
        <v>0</v>
      </c>
      <c r="AZ23" s="130"/>
      <c r="BI23" s="129">
        <f t="shared" si="9"/>
        <v>0</v>
      </c>
      <c r="BJ23" s="129"/>
      <c r="BK23" s="21" t="s">
        <v>67</v>
      </c>
      <c r="BL23" s="123"/>
      <c r="BM23" s="21"/>
      <c r="BN23" s="21"/>
      <c r="BO23" s="21"/>
      <c r="BP23" s="24">
        <f t="shared" si="10"/>
        <v>0</v>
      </c>
      <c r="BQ23" s="117"/>
      <c r="BR23" s="139"/>
      <c r="BS23" s="70"/>
      <c r="BT23" s="70"/>
      <c r="BU23" s="70"/>
      <c r="BV23" s="138"/>
      <c r="BW23" s="129">
        <f t="shared" si="11"/>
        <v>0</v>
      </c>
      <c r="BX23" s="129"/>
      <c r="BY23" s="42">
        <v>0</v>
      </c>
      <c r="CB23" s="24">
        <f t="shared" si="13"/>
        <v>1</v>
      </c>
      <c r="CC23" s="117">
        <f t="shared" si="14"/>
        <v>0</v>
      </c>
      <c r="CJ23" s="24">
        <f t="shared" si="15"/>
        <v>0</v>
      </c>
      <c r="CK23" s="24"/>
    </row>
    <row r="24" spans="1:95" x14ac:dyDescent="0.25">
      <c r="A24" s="137">
        <v>17.5</v>
      </c>
      <c r="B24" s="21" t="s">
        <v>65</v>
      </c>
      <c r="C24" s="126">
        <v>0</v>
      </c>
      <c r="D24" s="131"/>
      <c r="E24" s="131"/>
      <c r="F24" s="131"/>
      <c r="G24" s="131"/>
      <c r="H24" s="117">
        <f t="shared" si="0"/>
        <v>1</v>
      </c>
      <c r="I24" s="115">
        <f t="shared" si="17"/>
        <v>0</v>
      </c>
      <c r="J24" s="130"/>
      <c r="K24" s="70"/>
      <c r="L24" s="70"/>
      <c r="M24" s="138"/>
      <c r="N24" s="117">
        <f t="shared" si="1"/>
        <v>0</v>
      </c>
      <c r="O24" s="117"/>
      <c r="P24" s="119"/>
      <c r="Q24" s="119"/>
      <c r="V24" s="120">
        <f t="shared" si="2"/>
        <v>0</v>
      </c>
      <c r="X24" s="139"/>
      <c r="Y24" s="70"/>
      <c r="Z24" s="70"/>
      <c r="AA24" s="138"/>
      <c r="AB24" s="129">
        <f t="shared" si="4"/>
        <v>0</v>
      </c>
      <c r="AC24" s="129"/>
      <c r="AD24" s="21" t="s">
        <v>66</v>
      </c>
      <c r="AE24" s="140">
        <v>0</v>
      </c>
      <c r="AJ24" s="24">
        <f t="shared" si="6"/>
        <v>1</v>
      </c>
      <c r="AK24" s="117">
        <f t="shared" si="19"/>
        <v>0</v>
      </c>
      <c r="AQ24" s="129">
        <f t="shared" si="7"/>
        <v>0</v>
      </c>
      <c r="AR24" s="129"/>
      <c r="AS24" s="70"/>
      <c r="AT24" s="70"/>
      <c r="AU24" s="70"/>
      <c r="AV24" s="70"/>
      <c r="AW24" s="70"/>
      <c r="AX24" s="70"/>
      <c r="AY24" s="129">
        <f t="shared" si="8"/>
        <v>0</v>
      </c>
      <c r="AZ24" s="130"/>
      <c r="BI24" s="129">
        <f t="shared" si="9"/>
        <v>0</v>
      </c>
      <c r="BJ24" s="129"/>
      <c r="BK24" s="21" t="s">
        <v>67</v>
      </c>
      <c r="BL24" s="132">
        <v>0</v>
      </c>
      <c r="BM24" s="21"/>
      <c r="BN24" s="21"/>
      <c r="BO24" s="21"/>
      <c r="BP24" s="24">
        <f t="shared" si="10"/>
        <v>1</v>
      </c>
      <c r="BQ24" s="117">
        <f t="shared" si="23"/>
        <v>0</v>
      </c>
      <c r="BR24" s="139"/>
      <c r="BS24" s="70"/>
      <c r="BT24" s="70"/>
      <c r="BU24" s="70"/>
      <c r="BV24" s="138"/>
      <c r="BW24" s="129">
        <f t="shared" si="11"/>
        <v>0</v>
      </c>
      <c r="BX24" s="129"/>
      <c r="CB24" s="24">
        <f t="shared" si="13"/>
        <v>0</v>
      </c>
      <c r="CC24" s="123"/>
      <c r="CJ24" s="24">
        <f t="shared" si="15"/>
        <v>0</v>
      </c>
      <c r="CK24" s="24"/>
    </row>
    <row r="25" spans="1:95" ht="15.75" thickBot="1" x14ac:dyDescent="0.3">
      <c r="A25" s="137">
        <v>18</v>
      </c>
      <c r="B25" s="21" t="s">
        <v>65</v>
      </c>
      <c r="C25" s="130"/>
      <c r="D25" s="131"/>
      <c r="E25" s="131"/>
      <c r="F25" s="131"/>
      <c r="G25" s="131"/>
      <c r="H25" s="117">
        <f t="shared" si="0"/>
        <v>0</v>
      </c>
      <c r="I25" s="115"/>
      <c r="J25" s="139"/>
      <c r="K25" s="70"/>
      <c r="L25" s="70"/>
      <c r="M25" s="138"/>
      <c r="N25" s="117">
        <f t="shared" si="1"/>
        <v>0</v>
      </c>
      <c r="O25" s="117"/>
      <c r="P25" s="119"/>
      <c r="Q25" s="119"/>
      <c r="V25" s="120">
        <f t="shared" si="2"/>
        <v>0</v>
      </c>
      <c r="X25" s="139"/>
      <c r="Y25" s="70"/>
      <c r="Z25" s="70"/>
      <c r="AA25" s="138"/>
      <c r="AB25" s="129">
        <f t="shared" si="4"/>
        <v>0</v>
      </c>
      <c r="AC25" s="129"/>
      <c r="AD25" s="21" t="s">
        <v>66</v>
      </c>
      <c r="AE25" s="140">
        <v>0</v>
      </c>
      <c r="AJ25" s="24">
        <f t="shared" si="6"/>
        <v>1</v>
      </c>
      <c r="AK25" s="117">
        <f t="shared" si="19"/>
        <v>0</v>
      </c>
      <c r="AQ25" s="129">
        <f t="shared" si="7"/>
        <v>0</v>
      </c>
      <c r="AR25" s="129"/>
      <c r="AS25" s="70"/>
      <c r="AT25" s="70"/>
      <c r="AU25" s="70"/>
      <c r="AV25" s="70"/>
      <c r="AW25" s="70"/>
      <c r="AX25" s="70"/>
      <c r="AY25" s="129">
        <f t="shared" si="8"/>
        <v>0</v>
      </c>
      <c r="AZ25" s="130"/>
      <c r="BI25" s="129">
        <f t="shared" si="9"/>
        <v>0</v>
      </c>
      <c r="BJ25" s="129"/>
      <c r="BK25" s="21" t="s">
        <v>67</v>
      </c>
      <c r="BL25" s="123"/>
      <c r="BM25" s="21"/>
      <c r="BN25" s="21"/>
      <c r="BO25" s="21"/>
      <c r="BP25" s="24">
        <f t="shared" si="10"/>
        <v>0</v>
      </c>
      <c r="BQ25" s="123"/>
      <c r="BR25" s="139"/>
      <c r="BS25" s="70"/>
      <c r="BT25" s="70"/>
      <c r="BU25" s="70"/>
      <c r="BV25" s="138"/>
      <c r="BW25" s="129">
        <f t="shared" si="11"/>
        <v>0</v>
      </c>
      <c r="BX25" s="129"/>
      <c r="CB25" s="24">
        <f t="shared" si="13"/>
        <v>0</v>
      </c>
      <c r="CC25" s="123"/>
      <c r="CJ25" s="24">
        <f t="shared" si="15"/>
        <v>0</v>
      </c>
      <c r="CK25" s="24"/>
    </row>
    <row r="26" spans="1:95" s="10" customFormat="1" ht="15.75" thickBot="1" x14ac:dyDescent="0.3">
      <c r="A26" s="141" t="s">
        <v>71</v>
      </c>
      <c r="B26" s="113"/>
      <c r="C26" s="142">
        <f>SUM(C3:G25)</f>
        <v>7</v>
      </c>
      <c r="D26" s="113">
        <f>COUNT(C3:G25)</f>
        <v>20</v>
      </c>
      <c r="E26" s="113"/>
      <c r="F26" s="113"/>
      <c r="G26" s="113"/>
      <c r="H26" s="143"/>
      <c r="I26" s="142"/>
      <c r="J26" s="142">
        <f>SUM(J3:M25)</f>
        <v>15</v>
      </c>
      <c r="K26" s="113">
        <f>COUNT(J3:M25)</f>
        <v>20</v>
      </c>
      <c r="L26" s="113"/>
      <c r="M26" s="144"/>
      <c r="N26" s="143"/>
      <c r="O26" s="143"/>
      <c r="P26" s="113">
        <f>SUM(P3:U25)</f>
        <v>16</v>
      </c>
      <c r="Q26" s="113">
        <f>COUNT(P3:U25)</f>
        <v>20</v>
      </c>
      <c r="R26" s="113"/>
      <c r="S26" s="113"/>
      <c r="T26" s="113"/>
      <c r="U26" s="113"/>
      <c r="V26" s="143"/>
      <c r="W26" s="142"/>
      <c r="X26" s="142">
        <f>SUM(X3:AA25)</f>
        <v>15</v>
      </c>
      <c r="Y26" s="113">
        <f>COUNT(X4:AA25)</f>
        <v>20</v>
      </c>
      <c r="Z26" s="113"/>
      <c r="AA26" s="144"/>
      <c r="AB26" s="143"/>
      <c r="AC26" s="143"/>
      <c r="AD26" s="113"/>
      <c r="AE26" s="142">
        <f>SUM(AE3:AI25)</f>
        <v>5</v>
      </c>
      <c r="AF26" s="113">
        <f>COUNT(AE4:AI25)</f>
        <v>20</v>
      </c>
      <c r="AG26" s="113"/>
      <c r="AH26" s="113"/>
      <c r="AI26" s="113"/>
      <c r="AJ26" s="143"/>
      <c r="AK26" s="142"/>
      <c r="AL26" s="142">
        <f>SUM(AL3:AP25)</f>
        <v>15</v>
      </c>
      <c r="AM26" s="113">
        <f>COUNT(AL4:AP25)</f>
        <v>20</v>
      </c>
      <c r="AN26" s="113"/>
      <c r="AO26" s="113"/>
      <c r="AP26" s="144"/>
      <c r="AQ26" s="143"/>
      <c r="AR26" s="143"/>
      <c r="AS26" s="113">
        <f>SUM(AS3:AX25)</f>
        <v>17</v>
      </c>
      <c r="AT26" s="113">
        <f>COUNT(AS4:AX25)</f>
        <v>20</v>
      </c>
      <c r="AU26" s="113"/>
      <c r="AV26" s="113"/>
      <c r="AW26" s="113"/>
      <c r="AX26" s="113"/>
      <c r="AY26" s="143"/>
      <c r="AZ26" s="142"/>
      <c r="BA26" s="142">
        <f>SUM(BA3:BH25)</f>
        <v>16</v>
      </c>
      <c r="BB26" s="113">
        <f>COUNT(BA4:BH25)</f>
        <v>20</v>
      </c>
      <c r="BC26" s="113"/>
      <c r="BD26" s="113"/>
      <c r="BE26" s="113"/>
      <c r="BF26" s="113"/>
      <c r="BG26" s="113"/>
      <c r="BH26" s="144"/>
      <c r="BI26" s="143"/>
      <c r="BJ26" s="143"/>
      <c r="BK26" s="113"/>
      <c r="BL26" s="142">
        <f>SUM(BL3:BO25)</f>
        <v>7</v>
      </c>
      <c r="BM26" s="113">
        <f>COUNT(BL4:BO25)</f>
        <v>20</v>
      </c>
      <c r="BN26" s="113"/>
      <c r="BO26" s="113"/>
      <c r="BP26" s="145"/>
      <c r="BQ26" s="146"/>
      <c r="BR26" s="142">
        <f>SUM(BR3:BV25)</f>
        <v>1</v>
      </c>
      <c r="BS26" s="113">
        <f>COUNT(BR4:BV25)</f>
        <v>20</v>
      </c>
      <c r="BT26" s="113"/>
      <c r="BU26" s="113"/>
      <c r="BV26" s="144"/>
      <c r="BW26" s="143"/>
      <c r="BX26" s="143"/>
      <c r="BY26" s="113">
        <f>SUM(BY3:CA25)</f>
        <v>10</v>
      </c>
      <c r="BZ26" s="113">
        <f>COUNT(BY4:BZ25)</f>
        <v>18</v>
      </c>
      <c r="CA26" s="113"/>
      <c r="CB26" s="145"/>
      <c r="CC26" s="146"/>
      <c r="CD26" s="142">
        <f>SUM(CD3:CH25)</f>
        <v>14</v>
      </c>
      <c r="CE26" s="113">
        <f>COUNT(CD4:CH25)</f>
        <v>20</v>
      </c>
      <c r="CF26" s="113"/>
      <c r="CG26" s="113"/>
      <c r="CH26" s="144"/>
      <c r="CI26" s="113"/>
      <c r="CJ26" s="143"/>
      <c r="CK26" s="143"/>
      <c r="CL26" s="113"/>
    </row>
    <row r="27" spans="1:95" s="10" customFormat="1" ht="15.75" thickBot="1" x14ac:dyDescent="0.3">
      <c r="A27" s="141" t="s">
        <v>72</v>
      </c>
      <c r="B27" s="113"/>
      <c r="C27" s="142">
        <f>(C26/COUNT(C3:G25))*100</f>
        <v>35</v>
      </c>
      <c r="D27" s="113"/>
      <c r="E27" s="113"/>
      <c r="F27" s="113"/>
      <c r="G27" s="113"/>
      <c r="H27" s="143"/>
      <c r="I27" s="142"/>
      <c r="J27" s="142">
        <f>(J26/COUNT(J3:M25))*100</f>
        <v>75</v>
      </c>
      <c r="K27" s="113"/>
      <c r="L27" s="113"/>
      <c r="M27" s="144"/>
      <c r="N27" s="143"/>
      <c r="O27" s="143"/>
      <c r="P27" s="113">
        <f>(P26/COUNT(P3:U25))*100</f>
        <v>80</v>
      </c>
      <c r="Q27" s="113"/>
      <c r="R27" s="113"/>
      <c r="S27" s="113"/>
      <c r="T27" s="113"/>
      <c r="U27" s="113"/>
      <c r="V27" s="143"/>
      <c r="W27" s="142"/>
      <c r="X27" s="142">
        <f>(X26/COUNT(X3:AA25))*100</f>
        <v>75</v>
      </c>
      <c r="Y27" s="113"/>
      <c r="Z27" s="113"/>
      <c r="AA27" s="144"/>
      <c r="AB27" s="143"/>
      <c r="AC27" s="143"/>
      <c r="AD27" s="113"/>
      <c r="AE27" s="142">
        <f>(AE26/10)*100</f>
        <v>50</v>
      </c>
      <c r="AF27" s="113"/>
      <c r="AG27" s="113"/>
      <c r="AH27" s="113"/>
      <c r="AI27" s="113"/>
      <c r="AJ27" s="143"/>
      <c r="AK27" s="142"/>
      <c r="AL27" s="142">
        <f>(AL26/COUNT(AL4:AP25))*100</f>
        <v>75</v>
      </c>
      <c r="AM27" s="113"/>
      <c r="AN27" s="113"/>
      <c r="AO27" s="113"/>
      <c r="AP27" s="144"/>
      <c r="AQ27" s="143"/>
      <c r="AR27" s="143"/>
      <c r="AS27" s="113">
        <f>(AS26/COUNT(AS3:AX25))*100</f>
        <v>85</v>
      </c>
      <c r="AT27" s="113"/>
      <c r="AU27" s="113"/>
      <c r="AV27" s="113"/>
      <c r="AW27" s="113"/>
      <c r="AX27" s="113"/>
      <c r="AY27" s="143"/>
      <c r="AZ27" s="142"/>
      <c r="BA27" s="142">
        <f>(BA26/COUNT(BA3:BH25))*100</f>
        <v>80</v>
      </c>
      <c r="BB27" s="113"/>
      <c r="BC27" s="113"/>
      <c r="BD27" s="113"/>
      <c r="BE27" s="113"/>
      <c r="BF27" s="113"/>
      <c r="BG27" s="113"/>
      <c r="BH27" s="144"/>
      <c r="BI27" s="143"/>
      <c r="BJ27" s="143"/>
      <c r="BK27" s="113"/>
      <c r="BL27" s="142">
        <f>(BL26/COUNT(BL3:BO25))*100</f>
        <v>35</v>
      </c>
      <c r="BM27" s="113"/>
      <c r="BN27" s="113"/>
      <c r="BO27" s="113"/>
      <c r="BP27" s="145"/>
      <c r="BQ27" s="146"/>
      <c r="BR27" s="142">
        <f>(BR26/COUNT(BR3:BV25))*100</f>
        <v>5</v>
      </c>
      <c r="BS27" s="113"/>
      <c r="BT27" s="113"/>
      <c r="BU27" s="113"/>
      <c r="BV27" s="144"/>
      <c r="BW27" s="143"/>
      <c r="BX27" s="143"/>
      <c r="BY27" s="113">
        <f>(BY26/COUNT(BY3:CA25))*100</f>
        <v>52.631578947368418</v>
      </c>
      <c r="BZ27" s="113"/>
      <c r="CA27" s="113"/>
      <c r="CB27" s="145"/>
      <c r="CC27" s="146"/>
      <c r="CD27" s="142">
        <f>(CD26/COUNT(CD3:CH25))*100</f>
        <v>70</v>
      </c>
      <c r="CE27" s="113"/>
      <c r="CF27" s="113"/>
      <c r="CG27" s="113"/>
      <c r="CH27" s="144"/>
      <c r="CI27" s="113"/>
      <c r="CJ27" s="143"/>
      <c r="CK27" s="143"/>
      <c r="CL27" s="113"/>
    </row>
    <row r="28" spans="1:95" x14ac:dyDescent="0.25">
      <c r="A28" s="147"/>
      <c r="B28" s="119"/>
      <c r="C28" s="121"/>
      <c r="D28" s="119"/>
      <c r="E28" s="119"/>
      <c r="F28" s="119"/>
      <c r="G28" s="119"/>
      <c r="H28" s="120"/>
      <c r="I28" s="121"/>
      <c r="J28" s="121"/>
      <c r="P28" s="119"/>
      <c r="Q28" s="119"/>
    </row>
    <row r="29" spans="1:95" x14ac:dyDescent="0.25">
      <c r="A29" s="147"/>
      <c r="B29" s="119"/>
      <c r="C29" s="121"/>
      <c r="D29" s="119"/>
      <c r="E29" s="119"/>
      <c r="F29" s="119"/>
      <c r="G29" s="119"/>
      <c r="H29" s="120"/>
      <c r="I29" s="121"/>
      <c r="J29" s="121"/>
      <c r="P29" s="119"/>
      <c r="Q29" s="119"/>
    </row>
    <row r="30" spans="1:95" x14ac:dyDescent="0.25">
      <c r="A30" s="147"/>
      <c r="B30" s="119"/>
      <c r="C30" s="121"/>
      <c r="D30" s="119"/>
      <c r="E30" s="119"/>
      <c r="F30" s="119"/>
      <c r="G30" s="119"/>
      <c r="H30" s="120"/>
      <c r="I30" s="121"/>
      <c r="J30" s="121"/>
      <c r="P30" s="119"/>
      <c r="Q30" s="119"/>
    </row>
    <row r="31" spans="1:95" x14ac:dyDescent="0.25">
      <c r="A31" s="147"/>
      <c r="B31" s="119"/>
      <c r="C31" s="121"/>
      <c r="D31" s="119"/>
      <c r="E31" s="119"/>
      <c r="F31" s="119"/>
      <c r="G31" s="119"/>
      <c r="H31" s="120"/>
      <c r="I31" s="121"/>
      <c r="J31" s="121"/>
      <c r="P31" s="119"/>
      <c r="Q31" s="119"/>
    </row>
    <row r="32" spans="1:95" x14ac:dyDescent="0.25">
      <c r="A32" s="147"/>
      <c r="B32" s="119"/>
      <c r="C32" s="121"/>
      <c r="D32" s="119"/>
      <c r="E32" s="119"/>
      <c r="F32" s="119"/>
      <c r="G32" s="119"/>
      <c r="H32" s="120"/>
      <c r="I32" s="121"/>
      <c r="J32" s="121"/>
      <c r="P32" s="119"/>
      <c r="Q32" s="119"/>
    </row>
    <row r="33" spans="1:17" x14ac:dyDescent="0.25">
      <c r="A33" s="147"/>
      <c r="B33" s="119"/>
      <c r="C33" s="121"/>
      <c r="D33" s="119"/>
      <c r="E33" s="119"/>
      <c r="F33" s="119"/>
      <c r="G33" s="119"/>
      <c r="H33" s="120"/>
      <c r="I33" s="121"/>
      <c r="J33" s="121"/>
      <c r="P33" s="119"/>
      <c r="Q33" s="119"/>
    </row>
    <row r="34" spans="1:17" x14ac:dyDescent="0.25">
      <c r="A34" s="147"/>
      <c r="B34" s="119"/>
      <c r="C34" s="121"/>
      <c r="D34" s="119"/>
      <c r="E34" s="119"/>
      <c r="F34" s="119"/>
      <c r="G34" s="119"/>
      <c r="H34" s="120"/>
      <c r="I34" s="121"/>
      <c r="J34" s="121"/>
      <c r="P34" s="119"/>
      <c r="Q34" s="119"/>
    </row>
    <row r="35" spans="1:17" x14ac:dyDescent="0.25">
      <c r="A35" s="147"/>
      <c r="B35" s="119"/>
      <c r="C35" s="121"/>
      <c r="D35" s="119"/>
      <c r="E35" s="119"/>
      <c r="F35" s="119"/>
      <c r="G35" s="119"/>
      <c r="H35" s="120"/>
      <c r="I35" s="121"/>
      <c r="J35" s="121"/>
      <c r="P35" s="119"/>
      <c r="Q35" s="119"/>
    </row>
    <row r="36" spans="1:17" x14ac:dyDescent="0.25">
      <c r="A36" s="147"/>
      <c r="B36" s="119"/>
      <c r="C36" s="121"/>
      <c r="D36" s="119"/>
      <c r="E36" s="119"/>
      <c r="F36" s="119"/>
      <c r="G36" s="119"/>
      <c r="H36" s="120"/>
      <c r="I36" s="121"/>
      <c r="J36" s="121"/>
      <c r="P36" s="119"/>
      <c r="Q36" s="119"/>
    </row>
    <row r="37" spans="1:17" x14ac:dyDescent="0.25">
      <c r="A37" s="147"/>
      <c r="B37" s="119"/>
      <c r="C37" s="121"/>
      <c r="D37" s="119"/>
      <c r="E37" s="119"/>
      <c r="F37" s="119"/>
      <c r="G37" s="119"/>
      <c r="H37" s="120"/>
      <c r="I37" s="121"/>
      <c r="J37" s="121"/>
      <c r="P37" s="119"/>
      <c r="Q37" s="119"/>
    </row>
    <row r="38" spans="1:17" x14ac:dyDescent="0.25">
      <c r="A38" s="147"/>
      <c r="B38" s="119"/>
      <c r="C38" s="121"/>
      <c r="D38" s="119"/>
      <c r="E38" s="119"/>
      <c r="F38" s="119"/>
      <c r="G38" s="119"/>
      <c r="H38" s="120"/>
      <c r="I38" s="121"/>
      <c r="J38" s="121"/>
      <c r="P38" s="119"/>
      <c r="Q38" s="119"/>
    </row>
    <row r="39" spans="1:17" x14ac:dyDescent="0.25">
      <c r="A39" s="147"/>
      <c r="B39" s="119"/>
      <c r="C39" s="121"/>
      <c r="D39" s="119"/>
      <c r="E39" s="119"/>
      <c r="F39" s="119"/>
      <c r="G39" s="119"/>
      <c r="H39" s="120"/>
      <c r="I39" s="121"/>
      <c r="J39" s="121"/>
      <c r="P39" s="119"/>
      <c r="Q39" s="119"/>
    </row>
    <row r="40" spans="1:17" x14ac:dyDescent="0.25">
      <c r="A40" s="147"/>
      <c r="B40" s="119"/>
      <c r="C40" s="121"/>
      <c r="D40" s="119"/>
      <c r="E40" s="119"/>
      <c r="F40" s="119"/>
      <c r="G40" s="119"/>
      <c r="H40" s="120"/>
      <c r="I40" s="121"/>
      <c r="J40" s="121"/>
      <c r="P40" s="119"/>
      <c r="Q40" s="119"/>
    </row>
    <row r="41" spans="1:17" x14ac:dyDescent="0.25">
      <c r="A41" s="147"/>
      <c r="B41" s="119"/>
      <c r="C41" s="121"/>
      <c r="D41" s="119"/>
      <c r="E41" s="119"/>
      <c r="F41" s="119"/>
      <c r="G41" s="119"/>
      <c r="H41" s="120"/>
      <c r="I41" s="121"/>
      <c r="J41" s="121"/>
      <c r="P41" s="119"/>
      <c r="Q41" s="119"/>
    </row>
    <row r="42" spans="1:17" x14ac:dyDescent="0.25">
      <c r="A42" s="147"/>
      <c r="B42" s="119"/>
      <c r="C42" s="121"/>
      <c r="D42" s="119"/>
      <c r="E42" s="119"/>
      <c r="F42" s="119"/>
      <c r="G42" s="119"/>
      <c r="H42" s="120"/>
      <c r="I42" s="121"/>
      <c r="J42" s="121"/>
      <c r="P42" s="119"/>
      <c r="Q42" s="119"/>
    </row>
    <row r="43" spans="1:17" x14ac:dyDescent="0.25">
      <c r="A43" s="147"/>
      <c r="B43" s="119"/>
      <c r="C43" s="121"/>
      <c r="D43" s="119"/>
      <c r="E43" s="119"/>
      <c r="F43" s="119"/>
      <c r="G43" s="119"/>
      <c r="H43" s="120"/>
      <c r="I43" s="121"/>
      <c r="J43" s="121"/>
      <c r="P43" s="119"/>
      <c r="Q43" s="119"/>
    </row>
    <row r="44" spans="1:17" x14ac:dyDescent="0.25">
      <c r="A44" s="147"/>
      <c r="B44" s="119"/>
      <c r="C44" s="121"/>
      <c r="D44" s="119"/>
      <c r="E44" s="119"/>
      <c r="F44" s="119"/>
      <c r="G44" s="119"/>
      <c r="H44" s="120"/>
      <c r="I44" s="121"/>
      <c r="J44" s="121"/>
      <c r="P44" s="131"/>
      <c r="Q44" s="131"/>
    </row>
    <row r="45" spans="1:17" x14ac:dyDescent="0.25">
      <c r="A45" s="147"/>
      <c r="B45" s="119"/>
      <c r="C45" s="121"/>
      <c r="D45" s="119"/>
      <c r="E45" s="119"/>
      <c r="F45" s="119"/>
      <c r="G45" s="119"/>
      <c r="H45" s="120"/>
      <c r="I45" s="121"/>
      <c r="J45" s="121"/>
      <c r="P45" s="131"/>
      <c r="Q45" s="131"/>
    </row>
    <row r="46" spans="1:17" x14ac:dyDescent="0.25">
      <c r="A46" s="147"/>
      <c r="B46" s="119"/>
      <c r="C46" s="121"/>
      <c r="D46" s="119"/>
      <c r="E46" s="119"/>
      <c r="F46" s="119"/>
      <c r="G46" s="119"/>
      <c r="H46" s="120"/>
      <c r="I46" s="121"/>
      <c r="P46" s="131"/>
      <c r="Q46" s="131"/>
    </row>
    <row r="47" spans="1:17" x14ac:dyDescent="0.25">
      <c r="P47" s="131"/>
      <c r="Q47" s="131"/>
    </row>
    <row r="48" spans="1:17" x14ac:dyDescent="0.25">
      <c r="P48" s="131"/>
      <c r="Q48" s="131"/>
    </row>
    <row r="49" spans="1:17" x14ac:dyDescent="0.25">
      <c r="P49" s="131"/>
      <c r="Q49" s="131"/>
    </row>
    <row r="50" spans="1:17" x14ac:dyDescent="0.25">
      <c r="J50" s="121"/>
      <c r="P50" s="131"/>
      <c r="Q50" s="131"/>
    </row>
    <row r="51" spans="1:17" x14ac:dyDescent="0.25">
      <c r="A51" s="147"/>
      <c r="B51" s="119"/>
      <c r="C51" s="121"/>
      <c r="D51" s="119"/>
      <c r="E51" s="119"/>
      <c r="F51" s="119"/>
      <c r="G51" s="119"/>
      <c r="H51" s="120"/>
      <c r="I51" s="121"/>
      <c r="P51" s="131"/>
      <c r="Q51" s="131"/>
    </row>
    <row r="52" spans="1:17" x14ac:dyDescent="0.25">
      <c r="P52" s="131"/>
      <c r="Q52" s="131"/>
    </row>
    <row r="53" spans="1:17" x14ac:dyDescent="0.25">
      <c r="P53" s="131"/>
      <c r="Q53" s="131"/>
    </row>
    <row r="54" spans="1:17" x14ac:dyDescent="0.25">
      <c r="P54" s="131"/>
      <c r="Q54" s="131"/>
    </row>
    <row r="55" spans="1:17" x14ac:dyDescent="0.25">
      <c r="P55" s="131"/>
      <c r="Q55" s="131"/>
    </row>
    <row r="56" spans="1:17" x14ac:dyDescent="0.25">
      <c r="P56" s="131"/>
      <c r="Q56" s="131"/>
    </row>
    <row r="57" spans="1:17" x14ac:dyDescent="0.25">
      <c r="P57" s="131"/>
      <c r="Q57" s="131"/>
    </row>
    <row r="58" spans="1:17" x14ac:dyDescent="0.25">
      <c r="P58" s="131"/>
      <c r="Q58" s="131"/>
    </row>
    <row r="59" spans="1:17" x14ac:dyDescent="0.25">
      <c r="Q59" s="131"/>
    </row>
    <row r="60" spans="1:17" x14ac:dyDescent="0.25">
      <c r="Q60" s="131"/>
    </row>
    <row r="61" spans="1:17" x14ac:dyDescent="0.25">
      <c r="Q61" s="131"/>
    </row>
    <row r="62" spans="1:17" x14ac:dyDescent="0.25">
      <c r="Q62" s="131"/>
    </row>
    <row r="63" spans="1:17" x14ac:dyDescent="0.25">
      <c r="Q63" s="131"/>
    </row>
    <row r="64" spans="1:17" x14ac:dyDescent="0.25">
      <c r="J64" s="121"/>
      <c r="Q64" s="131"/>
    </row>
    <row r="65" spans="1:17" x14ac:dyDescent="0.25">
      <c r="A65" s="147"/>
      <c r="B65" s="119"/>
      <c r="C65" s="121"/>
      <c r="D65" s="119"/>
      <c r="E65" s="119"/>
      <c r="F65" s="119"/>
      <c r="G65" s="119"/>
      <c r="H65" s="120"/>
      <c r="I65" s="121"/>
      <c r="Q65" s="131"/>
    </row>
    <row r="66" spans="1:17" x14ac:dyDescent="0.25">
      <c r="Q66" s="131"/>
    </row>
    <row r="67" spans="1:17" x14ac:dyDescent="0.25">
      <c r="Q67" s="131"/>
    </row>
    <row r="68" spans="1:17" x14ac:dyDescent="0.25">
      <c r="Q68" s="131"/>
    </row>
    <row r="69" spans="1:17" x14ac:dyDescent="0.25">
      <c r="Q69" s="131"/>
    </row>
    <row r="70" spans="1:17" x14ac:dyDescent="0.25">
      <c r="Q70" s="131"/>
    </row>
    <row r="71" spans="1:17" x14ac:dyDescent="0.25">
      <c r="Q71" s="131"/>
    </row>
    <row r="72" spans="1:17" x14ac:dyDescent="0.25">
      <c r="Q72" s="131"/>
    </row>
    <row r="73" spans="1:17" x14ac:dyDescent="0.25">
      <c r="Q73" s="131"/>
    </row>
    <row r="74" spans="1:17" x14ac:dyDescent="0.25">
      <c r="J74" s="121"/>
    </row>
    <row r="75" spans="1:17" x14ac:dyDescent="0.25">
      <c r="A75" s="147"/>
      <c r="B75" s="119"/>
      <c r="C75" s="121"/>
      <c r="D75" s="119"/>
      <c r="E75" s="119"/>
      <c r="F75" s="119"/>
      <c r="G75" s="119"/>
      <c r="H75" s="120"/>
      <c r="I75" s="121"/>
    </row>
    <row r="88" spans="1:10" x14ac:dyDescent="0.25">
      <c r="J88" s="121"/>
    </row>
    <row r="89" spans="1:10" x14ac:dyDescent="0.25">
      <c r="A89" s="147"/>
      <c r="B89" s="119"/>
      <c r="C89" s="121"/>
      <c r="D89" s="119"/>
      <c r="E89" s="119"/>
      <c r="F89" s="119"/>
      <c r="G89" s="119"/>
      <c r="H89" s="120"/>
      <c r="I89" s="121"/>
    </row>
    <row r="93" spans="1:10" x14ac:dyDescent="0.25">
      <c r="J93" s="121"/>
    </row>
    <row r="94" spans="1:10" x14ac:dyDescent="0.25">
      <c r="A94" s="147"/>
      <c r="B94" s="119"/>
      <c r="C94" s="121"/>
      <c r="D94" s="119"/>
      <c r="E94" s="119"/>
      <c r="F94" s="119"/>
      <c r="G94" s="119"/>
      <c r="H94" s="120"/>
      <c r="I94" s="121"/>
    </row>
    <row r="104" spans="1:10" x14ac:dyDescent="0.25">
      <c r="J104" s="121"/>
    </row>
    <row r="105" spans="1:10" x14ac:dyDescent="0.25">
      <c r="A105" s="147"/>
      <c r="B105" s="119"/>
      <c r="C105" s="121"/>
      <c r="D105" s="119"/>
      <c r="E105" s="119"/>
      <c r="F105" s="119"/>
      <c r="G105" s="119"/>
      <c r="H105" s="120"/>
      <c r="I105" s="121"/>
    </row>
  </sheetData>
  <mergeCells count="13">
    <mergeCell ref="A1:CK1"/>
    <mergeCell ref="CD2:CH2"/>
    <mergeCell ref="C2:G2"/>
    <mergeCell ref="J2:M2"/>
    <mergeCell ref="P2:U2"/>
    <mergeCell ref="X2:AA2"/>
    <mergeCell ref="AE2:AI2"/>
    <mergeCell ref="AL2:AP2"/>
    <mergeCell ref="AS2:AX2"/>
    <mergeCell ref="BA2:BH2"/>
    <mergeCell ref="BL2:BO2"/>
    <mergeCell ref="BR2:BV2"/>
    <mergeCell ref="BY2:CA2"/>
  </mergeCells>
  <conditionalFormatting sqref="J105:J1048576 C106:I1048576">
    <cfRule type="cellIs" dxfId="6" priority="2" operator="equal">
      <formula>"N"</formula>
    </cfRule>
  </conditionalFormatting>
  <conditionalFormatting sqref="A28:XFD1048576 CI2 CI3:XFD3 CI23:XFD27 CI4:CJ22 CL4:XFD22 CL2:XFD2">
    <cfRule type="cellIs" dxfId="5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589B-0E70-489C-80C7-6A92DB440549}">
  <dimension ref="A1:DO86"/>
  <sheetViews>
    <sheetView tabSelected="1" zoomScale="60" zoomScaleNormal="60" workbookViewId="0">
      <pane xSplit="2" topLeftCell="BJ1" activePane="topRight" state="frozen"/>
      <selection pane="topRight" activeCell="BY10" sqref="BY10"/>
    </sheetView>
  </sheetViews>
  <sheetFormatPr defaultRowHeight="15" x14ac:dyDescent="0.25"/>
  <cols>
    <col min="1" max="1" width="43" style="15" bestFit="1" customWidth="1"/>
    <col min="2" max="2" width="33.85546875" style="15" bestFit="1" customWidth="1"/>
    <col min="3" max="3" width="2.7109375" style="16" customWidth="1"/>
    <col min="4" max="4" width="12.140625" style="106" customWidth="1"/>
    <col min="5" max="5" width="11.7109375" style="106" customWidth="1"/>
    <col min="6" max="6" width="13" style="106" bestFit="1" customWidth="1"/>
    <col min="7" max="7" width="12.140625" style="106" bestFit="1" customWidth="1"/>
    <col min="8" max="8" width="11.7109375" style="106" bestFit="1" customWidth="1"/>
    <col min="9" max="10" width="12.7109375" style="106" bestFit="1" customWidth="1"/>
    <col min="11" max="13" width="12.7109375" style="106" customWidth="1"/>
    <col min="14" max="18" width="12.140625" style="106" bestFit="1" customWidth="1"/>
    <col min="19" max="19" width="11.5703125" style="106" bestFit="1" customWidth="1"/>
    <col min="20" max="22" width="11.5703125" style="17" customWidth="1"/>
    <col min="23" max="23" width="11.5703125" style="6" customWidth="1"/>
    <col min="24" max="26" width="12.7109375" style="106" customWidth="1"/>
    <col min="27" max="30" width="12.140625" style="106" bestFit="1" customWidth="1"/>
    <col min="31" max="31" width="11.5703125" style="106" bestFit="1" customWidth="1"/>
    <col min="32" max="32" width="12.7109375" style="106" bestFit="1" customWidth="1"/>
    <col min="33" max="35" width="12.7109375" style="106" customWidth="1"/>
    <col min="36" max="37" width="12.140625" style="106" bestFit="1" customWidth="1"/>
    <col min="38" max="38" width="12.140625" style="107" bestFit="1" customWidth="1"/>
    <col min="39" max="41" width="12.140625" style="17" customWidth="1"/>
    <col min="42" max="42" width="12.140625" style="6" customWidth="1"/>
    <col min="43" max="43" width="12.140625" style="108" bestFit="1" customWidth="1"/>
    <col min="44" max="48" width="12.140625" style="106" bestFit="1" customWidth="1"/>
    <col min="49" max="49" width="11.5703125" style="106" bestFit="1" customWidth="1"/>
    <col min="50" max="52" width="11.140625" style="106" bestFit="1" customWidth="1"/>
    <col min="53" max="53" width="10.5703125" style="106" customWidth="1"/>
    <col min="54" max="55" width="11.140625" style="106" bestFit="1" customWidth="1"/>
    <col min="56" max="56" width="10.5703125" style="106" bestFit="1" customWidth="1"/>
    <col min="57" max="57" width="11.85546875" style="106" bestFit="1" customWidth="1"/>
    <col min="58" max="58" width="11.140625" style="106" bestFit="1" customWidth="1"/>
    <col min="59" max="59" width="11.5703125" style="106" bestFit="1" customWidth="1"/>
    <col min="60" max="60" width="10.5703125" style="106" bestFit="1" customWidth="1"/>
    <col min="61" max="61" width="12.28515625" style="106" bestFit="1" customWidth="1"/>
    <col min="62" max="62" width="10.5703125" style="106" bestFit="1" customWidth="1"/>
    <col min="63" max="65" width="10.5703125" style="17" customWidth="1"/>
    <col min="66" max="66" width="12.140625" style="6" customWidth="1"/>
    <col min="67" max="67" width="15.42578125" style="106" bestFit="1" customWidth="1"/>
    <col min="68" max="68" width="16.140625" style="106" bestFit="1" customWidth="1"/>
    <col min="69" max="69" width="11.5703125" style="217" bestFit="1" customWidth="1"/>
    <col min="70" max="70" width="15.42578125" style="197" bestFit="1" customWidth="1"/>
    <col min="71" max="71" width="11.140625" style="197" bestFit="1" customWidth="1"/>
    <col min="72" max="72" width="11.5703125" style="218" bestFit="1" customWidth="1"/>
    <col min="73" max="73" width="9.140625" style="198"/>
    <col min="74" max="74" width="16.28515625" style="198" bestFit="1" customWidth="1"/>
    <col min="75" max="75" width="11.140625" style="107" bestFit="1" customWidth="1"/>
    <col min="76" max="76" width="11.5703125" style="6" customWidth="1"/>
    <col min="77" max="77" width="18.140625" style="6" bestFit="1" customWidth="1"/>
    <col min="78" max="78" width="18.140625" style="6" customWidth="1"/>
    <col min="79" max="79" width="15.7109375" style="6" bestFit="1" customWidth="1"/>
    <col min="80" max="80" width="15.7109375" style="6" customWidth="1"/>
    <col min="81" max="81" width="12.5703125" style="6" bestFit="1" customWidth="1"/>
    <col min="82" max="82" width="11.140625" style="6" bestFit="1" customWidth="1"/>
    <col min="83" max="119" width="9.140625" style="6"/>
    <col min="120" max="16384" width="9.140625" style="16"/>
  </cols>
  <sheetData>
    <row r="1" spans="1:119" ht="15.75" thickBot="1" x14ac:dyDescent="0.3">
      <c r="D1" s="186"/>
      <c r="E1" s="167" t="s">
        <v>82</v>
      </c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X1" s="167" t="s">
        <v>83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Q1" s="167" t="s">
        <v>84</v>
      </c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9"/>
      <c r="BO1" s="188" t="s">
        <v>85</v>
      </c>
      <c r="BP1" s="189"/>
      <c r="BQ1" s="189"/>
      <c r="BR1" s="189"/>
      <c r="BS1" s="189"/>
      <c r="BT1" s="189"/>
      <c r="BU1" s="189"/>
      <c r="BV1" s="189"/>
      <c r="BW1" s="190"/>
    </row>
    <row r="2" spans="1:119" s="18" customFormat="1" x14ac:dyDescent="0.25">
      <c r="B2" s="18" t="s">
        <v>6</v>
      </c>
      <c r="D2" s="19"/>
      <c r="E2" s="19">
        <v>1</v>
      </c>
      <c r="F2" s="19">
        <v>3</v>
      </c>
      <c r="G2" s="19">
        <v>4</v>
      </c>
      <c r="H2" s="19">
        <v>5</v>
      </c>
      <c r="I2" s="19">
        <v>6</v>
      </c>
      <c r="J2" s="19">
        <v>16</v>
      </c>
      <c r="K2" s="19">
        <v>17</v>
      </c>
      <c r="L2" s="19">
        <v>18</v>
      </c>
      <c r="M2" s="19">
        <v>19</v>
      </c>
      <c r="N2" s="19">
        <v>20</v>
      </c>
      <c r="O2" s="19">
        <v>21</v>
      </c>
      <c r="P2" s="19">
        <v>22</v>
      </c>
      <c r="Q2" s="19">
        <v>23</v>
      </c>
      <c r="R2" s="19">
        <v>24</v>
      </c>
      <c r="S2" s="19">
        <v>25</v>
      </c>
      <c r="T2" s="20"/>
      <c r="U2" s="20"/>
      <c r="V2" s="20"/>
      <c r="W2" s="21"/>
      <c r="X2" s="19">
        <v>7</v>
      </c>
      <c r="Y2" s="19">
        <v>8</v>
      </c>
      <c r="Z2" s="19">
        <v>9</v>
      </c>
      <c r="AA2" s="19">
        <v>41</v>
      </c>
      <c r="AB2" s="19">
        <v>42</v>
      </c>
      <c r="AC2" s="19">
        <v>43</v>
      </c>
      <c r="AD2" s="19">
        <v>44</v>
      </c>
      <c r="AE2" s="19">
        <v>45</v>
      </c>
      <c r="AF2" s="19">
        <v>46</v>
      </c>
      <c r="AG2" s="19">
        <v>47</v>
      </c>
      <c r="AH2" s="19">
        <v>48</v>
      </c>
      <c r="AI2" s="19">
        <v>49</v>
      </c>
      <c r="AJ2" s="19">
        <v>50</v>
      </c>
      <c r="AK2" s="19">
        <v>51</v>
      </c>
      <c r="AL2" s="22">
        <v>52</v>
      </c>
      <c r="AM2" s="20"/>
      <c r="AN2" s="20"/>
      <c r="AO2" s="20"/>
      <c r="AP2" s="21"/>
      <c r="AQ2" s="23">
        <v>10</v>
      </c>
      <c r="AR2" s="19">
        <v>11</v>
      </c>
      <c r="AS2" s="19">
        <v>12</v>
      </c>
      <c r="AT2" s="19">
        <v>13</v>
      </c>
      <c r="AU2" s="19">
        <v>14</v>
      </c>
      <c r="AV2" s="19">
        <v>15</v>
      </c>
      <c r="AW2" s="19">
        <v>53</v>
      </c>
      <c r="AX2" s="19">
        <v>54</v>
      </c>
      <c r="AY2" s="19"/>
      <c r="AZ2" s="19">
        <v>55</v>
      </c>
      <c r="BA2" s="19"/>
      <c r="BB2" s="19">
        <v>56</v>
      </c>
      <c r="BC2" s="19">
        <v>57</v>
      </c>
      <c r="BD2" s="19"/>
      <c r="BE2" s="19">
        <v>58</v>
      </c>
      <c r="BF2" s="19">
        <v>59</v>
      </c>
      <c r="BG2" s="19">
        <v>60</v>
      </c>
      <c r="BH2" s="19"/>
      <c r="BI2" s="19">
        <v>61</v>
      </c>
      <c r="BJ2" s="19"/>
      <c r="BK2" s="20"/>
      <c r="BL2" s="20"/>
      <c r="BM2" s="20"/>
      <c r="BN2" s="21"/>
      <c r="BO2" s="19">
        <v>62</v>
      </c>
      <c r="BP2" s="19">
        <v>63</v>
      </c>
      <c r="BQ2" s="19">
        <v>64</v>
      </c>
      <c r="BR2" s="191"/>
      <c r="BS2" s="191"/>
      <c r="BT2" s="191"/>
      <c r="BU2" s="192">
        <v>65</v>
      </c>
      <c r="BV2" s="192">
        <v>66</v>
      </c>
      <c r="BW2" s="22">
        <v>67</v>
      </c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</row>
    <row r="3" spans="1:119" s="18" customFormat="1" ht="15.75" thickBot="1" x14ac:dyDescent="0.3">
      <c r="D3" s="19"/>
      <c r="E3" s="19">
        <v>1</v>
      </c>
      <c r="F3" s="19">
        <v>2</v>
      </c>
      <c r="G3" s="19">
        <v>3</v>
      </c>
      <c r="H3" s="19">
        <v>4</v>
      </c>
      <c r="I3" s="19">
        <v>5</v>
      </c>
      <c r="J3" s="19">
        <v>6</v>
      </c>
      <c r="K3" s="19">
        <v>7</v>
      </c>
      <c r="L3" s="19">
        <v>8</v>
      </c>
      <c r="M3" s="19">
        <v>9</v>
      </c>
      <c r="N3" s="19">
        <v>10</v>
      </c>
      <c r="O3" s="19">
        <v>11</v>
      </c>
      <c r="P3" s="19">
        <v>12</v>
      </c>
      <c r="Q3" s="19">
        <v>13</v>
      </c>
      <c r="R3" s="19">
        <v>14</v>
      </c>
      <c r="S3" s="19">
        <v>15</v>
      </c>
      <c r="T3" s="20"/>
      <c r="U3" s="20"/>
      <c r="V3" s="20"/>
      <c r="W3" s="21"/>
      <c r="X3" s="19">
        <v>1</v>
      </c>
      <c r="Y3" s="19">
        <v>2</v>
      </c>
      <c r="Z3" s="19">
        <v>3</v>
      </c>
      <c r="AA3" s="19">
        <v>4</v>
      </c>
      <c r="AB3" s="19">
        <v>5</v>
      </c>
      <c r="AC3" s="19">
        <v>6</v>
      </c>
      <c r="AD3" s="19">
        <v>7</v>
      </c>
      <c r="AE3" s="19">
        <v>8</v>
      </c>
      <c r="AF3" s="19">
        <v>9</v>
      </c>
      <c r="AG3" s="19">
        <v>10</v>
      </c>
      <c r="AH3" s="19">
        <v>11</v>
      </c>
      <c r="AI3" s="19">
        <v>12</v>
      </c>
      <c r="AJ3" s="19">
        <v>13</v>
      </c>
      <c r="AK3" s="19">
        <v>14</v>
      </c>
      <c r="AL3" s="22">
        <v>15</v>
      </c>
      <c r="AM3" s="20"/>
      <c r="AN3" s="20"/>
      <c r="AO3" s="20"/>
      <c r="AP3" s="21"/>
      <c r="AQ3" s="23">
        <v>1</v>
      </c>
      <c r="AR3" s="19">
        <v>2</v>
      </c>
      <c r="AS3" s="19">
        <v>3</v>
      </c>
      <c r="AT3" s="19">
        <v>4</v>
      </c>
      <c r="AU3" s="19">
        <v>5</v>
      </c>
      <c r="AV3" s="19">
        <v>6</v>
      </c>
      <c r="AW3" s="19">
        <v>7</v>
      </c>
      <c r="AX3" s="19">
        <v>8</v>
      </c>
      <c r="AY3" s="19"/>
      <c r="AZ3" s="19">
        <v>9</v>
      </c>
      <c r="BA3" s="19"/>
      <c r="BB3" s="19">
        <v>10</v>
      </c>
      <c r="BC3" s="19">
        <v>11</v>
      </c>
      <c r="BD3" s="19"/>
      <c r="BE3" s="19">
        <v>12</v>
      </c>
      <c r="BF3" s="19">
        <v>13</v>
      </c>
      <c r="BG3" s="19">
        <v>14</v>
      </c>
      <c r="BH3" s="19"/>
      <c r="BI3" s="19">
        <v>15</v>
      </c>
      <c r="BJ3" s="19"/>
      <c r="BK3" s="20"/>
      <c r="BL3" s="20"/>
      <c r="BM3" s="20"/>
      <c r="BN3" s="21"/>
      <c r="BO3" s="19"/>
      <c r="BP3" s="19"/>
      <c r="BQ3" s="19"/>
      <c r="BR3" s="191"/>
      <c r="BS3" s="191"/>
      <c r="BT3" s="191"/>
      <c r="BU3" s="192"/>
      <c r="BV3" s="192"/>
      <c r="BW3" s="22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</row>
    <row r="4" spans="1:119" s="28" customFormat="1" ht="15.75" thickBot="1" x14ac:dyDescent="0.3">
      <c r="A4" s="26"/>
      <c r="B4" s="27" t="s">
        <v>7</v>
      </c>
      <c r="D4" s="29" t="s">
        <v>8</v>
      </c>
      <c r="E4" s="29">
        <f t="shared" ref="E4:V4" si="0">(2/3)*E38*E37*((2*9.81)^0.5)*((E35)^1.5)</f>
        <v>3.825977925646739E-2</v>
      </c>
      <c r="F4" s="29">
        <f t="shared" si="0"/>
        <v>0.13310606165093392</v>
      </c>
      <c r="G4" s="29">
        <f t="shared" si="0"/>
        <v>5.4902091828190969E-3</v>
      </c>
      <c r="H4" s="29">
        <f t="shared" si="0"/>
        <v>8.9670670233150937E-2</v>
      </c>
      <c r="I4" s="29">
        <f t="shared" si="0"/>
        <v>4.3514747395745706E-2</v>
      </c>
      <c r="J4" s="29">
        <f t="shared" si="0"/>
        <v>3.3330846081070294E-2</v>
      </c>
      <c r="K4" s="29">
        <f t="shared" si="0"/>
        <v>8.9670670233150937E-2</v>
      </c>
      <c r="L4" s="29">
        <f t="shared" si="0"/>
        <v>5.4902091828190969E-3</v>
      </c>
      <c r="M4" s="29">
        <f t="shared" si="0"/>
        <v>5.4902091828190969E-3</v>
      </c>
      <c r="N4" s="29">
        <f t="shared" si="0"/>
        <v>3.825977925646739E-2</v>
      </c>
      <c r="O4" s="29">
        <f t="shared" si="0"/>
        <v>9.7641675479229251E-2</v>
      </c>
      <c r="P4" s="29">
        <f t="shared" si="0"/>
        <v>5.4902091828190969E-3</v>
      </c>
      <c r="Q4" s="29">
        <f t="shared" si="0"/>
        <v>5.4902091828190969E-3</v>
      </c>
      <c r="R4" s="29">
        <f t="shared" si="0"/>
        <v>4.3514747395745706E-2</v>
      </c>
      <c r="S4" s="29">
        <f t="shared" si="0"/>
        <v>8.9670670233150937E-2</v>
      </c>
      <c r="T4" s="30">
        <f t="shared" si="0"/>
        <v>5.4902091828190969E-3</v>
      </c>
      <c r="U4" s="30">
        <f t="shared" si="0"/>
        <v>4.1373474620635564E-2</v>
      </c>
      <c r="V4" s="30">
        <f t="shared" si="0"/>
        <v>9.7641675479229251E-2</v>
      </c>
      <c r="W4" s="9"/>
      <c r="X4" s="29">
        <f t="shared" ref="X4:AO4" si="1">(2/3)*X38*X37*((2*9.81)^0.5)*((X35)^1.5)</f>
        <v>5.4902091828190969E-3</v>
      </c>
      <c r="Y4" s="29">
        <f t="shared" si="1"/>
        <v>4.3514747395745706E-2</v>
      </c>
      <c r="Z4" s="29">
        <f t="shared" si="1"/>
        <v>8.9670670233150937E-2</v>
      </c>
      <c r="AA4" s="29">
        <f t="shared" si="1"/>
        <v>5.4902091828190969E-3</v>
      </c>
      <c r="AB4" s="29">
        <f t="shared" si="1"/>
        <v>3.3330846081070294E-2</v>
      </c>
      <c r="AC4" s="29">
        <f t="shared" si="1"/>
        <v>9.7641675479229251E-2</v>
      </c>
      <c r="AD4" s="29">
        <f t="shared" si="1"/>
        <v>5.4902091828190969E-3</v>
      </c>
      <c r="AE4" s="29">
        <f t="shared" si="1"/>
        <v>3.825977925646739E-2</v>
      </c>
      <c r="AF4" s="29">
        <f t="shared" si="1"/>
        <v>9.7641675479229251E-2</v>
      </c>
      <c r="AG4" s="29">
        <f t="shared" si="1"/>
        <v>5.4902091828190969E-3</v>
      </c>
      <c r="AH4" s="29">
        <f t="shared" si="1"/>
        <v>3.825977925646739E-2</v>
      </c>
      <c r="AI4" s="29">
        <f t="shared" si="1"/>
        <v>9.7641675479229251E-2</v>
      </c>
      <c r="AJ4" s="29">
        <f t="shared" si="1"/>
        <v>5.4902091828190969E-3</v>
      </c>
      <c r="AK4" s="29">
        <f t="shared" si="1"/>
        <v>3.825977925646739E-2</v>
      </c>
      <c r="AL4" s="31">
        <f t="shared" si="1"/>
        <v>9.7641675479229251E-2</v>
      </c>
      <c r="AM4" s="32">
        <f t="shared" si="1"/>
        <v>5.4902091828190969E-3</v>
      </c>
      <c r="AN4" s="32">
        <f t="shared" si="1"/>
        <v>4.3514747395745706E-2</v>
      </c>
      <c r="AO4" s="32">
        <f t="shared" si="1"/>
        <v>9.7641675479229251E-2</v>
      </c>
      <c r="AP4" s="9"/>
      <c r="AQ4" s="33">
        <f t="shared" ref="AQ4:AX4" si="2">(2/3)*AQ38*AQ37*((2*9.81)^0.5)*((AQ35)^1.5)</f>
        <v>5.4902091828190969E-3</v>
      </c>
      <c r="AR4" s="29">
        <f t="shared" si="2"/>
        <v>3.825977925646739E-2</v>
      </c>
      <c r="AS4" s="29">
        <f t="shared" si="2"/>
        <v>8.9670670233150937E-2</v>
      </c>
      <c r="AT4" s="29">
        <f t="shared" si="2"/>
        <v>5.4902091828190969E-3</v>
      </c>
      <c r="AU4" s="29">
        <f t="shared" si="2"/>
        <v>4.3514747395745706E-2</v>
      </c>
      <c r="AV4" s="29">
        <f t="shared" si="2"/>
        <v>9.7641675479229251E-2</v>
      </c>
      <c r="AW4" s="29">
        <f t="shared" si="2"/>
        <v>5.4902091828190969E-3</v>
      </c>
      <c r="AX4" s="29">
        <f t="shared" si="2"/>
        <v>4.1373474620635564E-2</v>
      </c>
      <c r="AY4" s="29"/>
      <c r="AZ4" s="29">
        <f>(2/3)*AZ38*AZ37*((2*9.81)^0.5)*((AZ35)^1.5)</f>
        <v>8.9670670233150937E-2</v>
      </c>
      <c r="BA4" s="29"/>
      <c r="BB4" s="29">
        <f>(2/3)*BB38*BB37*((2*9.81)^0.5)*((BB35)^1.5)</f>
        <v>5.4902091828190969E-3</v>
      </c>
      <c r="BC4" s="29">
        <f>(2/3)*BC38*BC37*((2*9.81)^0.5)*((BC35)^1.5)</f>
        <v>4.1373474620635564E-2</v>
      </c>
      <c r="BD4" s="29"/>
      <c r="BE4" s="29">
        <f>(2/3)*BE38*BE37*((2*9.81)^0.5)*((BE35)^1.5)</f>
        <v>8.9670670233150937E-2</v>
      </c>
      <c r="BF4" s="29">
        <f>(2/3)*BF38*BF37*((2*9.81)^0.5)*((BF35)^1.5)</f>
        <v>5.4902091828190969E-3</v>
      </c>
      <c r="BG4" s="29">
        <f>(2/3)*BG38*BG37*((2*9.81)^0.5)*((BG35)^1.5)</f>
        <v>3.3330846081070294E-2</v>
      </c>
      <c r="BH4" s="29"/>
      <c r="BI4" s="29">
        <f>(2/3)*BI38*BI37*((2*9.81)^0.5)*((BI35)^1.5)</f>
        <v>9.7641675479229251E-2</v>
      </c>
      <c r="BJ4" s="29"/>
      <c r="BK4" s="30">
        <f>(2/3)*BK38*BK37*((2*9.81)^0.5)*((BK35)^1.5)</f>
        <v>5.4902091828190969E-3</v>
      </c>
      <c r="BL4" s="30">
        <f t="shared" ref="BL4:BM4" si="3">(2/3)*BL38*BL37*((2*9.81)^0.5)*((BL35)^1.5)</f>
        <v>4.3514747395745706E-2</v>
      </c>
      <c r="BM4" s="30">
        <f t="shared" si="3"/>
        <v>9.7641675479229251E-2</v>
      </c>
      <c r="BN4" s="9"/>
      <c r="BO4" s="29">
        <f>(2/3)*BO38*BO37*((2*9.81)^0.5)*((BO35)^1.5)</f>
        <v>5.4902091828190969E-3</v>
      </c>
      <c r="BP4" s="29">
        <f>(2/3)*BP38*BP37*((2*9.81)^0.5)*((BP35)^1.5)</f>
        <v>3.825977925646739E-2</v>
      </c>
      <c r="BQ4" s="29">
        <f>(2/3)*BQ38*BQ37*((2*9.81)^0.5)*((BQ35)^1.5)</f>
        <v>9.7641675479229251E-2</v>
      </c>
      <c r="BR4" s="30">
        <f>(2/3)*BR38*BR37*((2*9.81)^0.5)*((BR35)^1.5)</f>
        <v>5.4902091828190969E-3</v>
      </c>
      <c r="BS4" s="30">
        <f t="shared" ref="BS4:BT4" si="4">(2/3)*BS38*BS37*((2*9.81)^0.5)*((BS35)^1.5)</f>
        <v>4.3514747395745706E-2</v>
      </c>
      <c r="BT4" s="30">
        <f t="shared" si="4"/>
        <v>9.7641675479229251E-2</v>
      </c>
      <c r="BU4" s="193"/>
      <c r="BV4" s="193"/>
      <c r="BW4" s="194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19" s="41" customFormat="1" x14ac:dyDescent="0.25">
      <c r="A5" s="175" t="s">
        <v>9</v>
      </c>
      <c r="B5" s="34" t="s">
        <v>10</v>
      </c>
      <c r="C5" s="35">
        <v>0</v>
      </c>
      <c r="D5" s="36">
        <v>-510</v>
      </c>
      <c r="E5" s="36">
        <v>26</v>
      </c>
      <c r="F5" s="36">
        <v>30</v>
      </c>
      <c r="G5" s="36">
        <v>22</v>
      </c>
      <c r="H5" s="36">
        <v>29</v>
      </c>
      <c r="I5" s="36">
        <v>29</v>
      </c>
      <c r="J5" s="36">
        <v>26</v>
      </c>
      <c r="K5" s="36">
        <v>29</v>
      </c>
      <c r="L5" s="36">
        <v>22</v>
      </c>
      <c r="M5" s="36">
        <v>21.5</v>
      </c>
      <c r="N5" s="36">
        <v>25.5</v>
      </c>
      <c r="O5" s="36">
        <v>28.5</v>
      </c>
      <c r="P5" s="36">
        <v>22</v>
      </c>
      <c r="Q5" s="36">
        <v>21.5</v>
      </c>
      <c r="R5" s="36">
        <v>25.5</v>
      </c>
      <c r="S5" s="36">
        <v>28.5</v>
      </c>
      <c r="T5" s="37">
        <f>(215.6-4.2)/10</f>
        <v>21.14</v>
      </c>
      <c r="U5" s="37">
        <f>(262.3-5.9)/10</f>
        <v>25.640000000000004</v>
      </c>
      <c r="V5" s="37">
        <f>(288.1-4.4)/10</f>
        <v>28.370000000000005</v>
      </c>
      <c r="W5" s="3"/>
      <c r="X5" s="36">
        <v>22</v>
      </c>
      <c r="Y5" s="36">
        <v>26</v>
      </c>
      <c r="Z5" s="36">
        <v>29</v>
      </c>
      <c r="AA5" s="36">
        <v>21.5</v>
      </c>
      <c r="AB5" s="36">
        <v>26</v>
      </c>
      <c r="AC5" s="36">
        <v>29</v>
      </c>
      <c r="AD5" s="36">
        <v>21.5</v>
      </c>
      <c r="AE5" s="36">
        <v>25.5</v>
      </c>
      <c r="AF5" s="36">
        <v>29</v>
      </c>
      <c r="AG5" s="36">
        <v>22</v>
      </c>
      <c r="AH5" s="36">
        <v>26</v>
      </c>
      <c r="AI5" s="36">
        <v>29</v>
      </c>
      <c r="AJ5" s="36">
        <v>22</v>
      </c>
      <c r="AK5" s="36">
        <v>26</v>
      </c>
      <c r="AL5" s="38">
        <v>28</v>
      </c>
      <c r="AM5" s="37">
        <f>(218.2-4.2)/10</f>
        <v>21.4</v>
      </c>
      <c r="AN5" s="37">
        <f>(265.8-4.1)/10</f>
        <v>26.169999999999998</v>
      </c>
      <c r="AO5" s="37">
        <f>(296.4-4.1)/10</f>
        <v>29.229999999999997</v>
      </c>
      <c r="AP5" s="3"/>
      <c r="AQ5" s="39">
        <v>22</v>
      </c>
      <c r="AR5" s="36">
        <v>26</v>
      </c>
      <c r="AS5" s="36">
        <v>29</v>
      </c>
      <c r="AT5" s="36">
        <v>22</v>
      </c>
      <c r="AU5" s="36">
        <v>26</v>
      </c>
      <c r="AV5" s="36">
        <v>29</v>
      </c>
      <c r="AW5" s="36">
        <v>22</v>
      </c>
      <c r="AX5" s="36">
        <v>26</v>
      </c>
      <c r="AY5" s="36">
        <v>26</v>
      </c>
      <c r="AZ5" s="36">
        <v>29</v>
      </c>
      <c r="BA5" s="36">
        <v>29</v>
      </c>
      <c r="BB5" s="36">
        <v>22</v>
      </c>
      <c r="BC5" s="36">
        <v>26</v>
      </c>
      <c r="BD5" s="36">
        <v>26</v>
      </c>
      <c r="BE5" s="36">
        <v>29</v>
      </c>
      <c r="BF5" s="36">
        <v>22</v>
      </c>
      <c r="BG5" s="36">
        <v>26</v>
      </c>
      <c r="BH5" s="36">
        <v>26</v>
      </c>
      <c r="BI5" s="40">
        <v>29</v>
      </c>
      <c r="BJ5" s="40">
        <v>29</v>
      </c>
      <c r="BK5" s="37">
        <f>(228.2-7.3)/10</f>
        <v>22.089999999999996</v>
      </c>
      <c r="BL5" s="37">
        <f>(265.3-5.1)/10</f>
        <v>26.02</v>
      </c>
      <c r="BM5" s="37">
        <f>(296.7-4.2)/10</f>
        <v>29.25</v>
      </c>
      <c r="BN5" s="3"/>
      <c r="BO5" s="36">
        <v>21.5</v>
      </c>
      <c r="BP5" s="36">
        <v>25.5</v>
      </c>
      <c r="BQ5" s="36">
        <v>29</v>
      </c>
      <c r="BR5" s="37">
        <f>(217.3-4.2)/10</f>
        <v>21.310000000000002</v>
      </c>
      <c r="BS5" s="37">
        <f>(269.8-4.4)/10</f>
        <v>26.540000000000003</v>
      </c>
      <c r="BT5" s="37">
        <f>(299.4-4.4)/10</f>
        <v>29.5</v>
      </c>
      <c r="BU5" s="195"/>
      <c r="BV5" s="195"/>
      <c r="BW5" s="196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</row>
    <row r="6" spans="1:119" s="49" customFormat="1" x14ac:dyDescent="0.25">
      <c r="A6" s="176"/>
      <c r="B6" s="174" t="s">
        <v>11</v>
      </c>
      <c r="C6" s="42">
        <v>1</v>
      </c>
      <c r="D6" s="43">
        <v>0</v>
      </c>
      <c r="E6" s="43">
        <v>9</v>
      </c>
      <c r="F6" s="43">
        <v>13.5</v>
      </c>
      <c r="G6" s="43">
        <v>5.5</v>
      </c>
      <c r="H6" s="43">
        <v>11.5</v>
      </c>
      <c r="I6" s="43">
        <v>9.5</v>
      </c>
      <c r="J6" s="43">
        <v>10</v>
      </c>
      <c r="K6" s="43">
        <v>12</v>
      </c>
      <c r="L6" s="43">
        <v>6.5</v>
      </c>
      <c r="M6" s="43">
        <v>6.5</v>
      </c>
      <c r="N6" s="43">
        <v>9.5</v>
      </c>
      <c r="O6" s="43">
        <v>12</v>
      </c>
      <c r="P6" s="43">
        <v>6.5</v>
      </c>
      <c r="Q6" s="43">
        <v>6.5</v>
      </c>
      <c r="R6" s="43">
        <v>9.5</v>
      </c>
      <c r="S6" s="43">
        <v>11.5</v>
      </c>
      <c r="T6" s="44">
        <f>(200.9-145.2)/10</f>
        <v>5.5700000000000021</v>
      </c>
      <c r="U6" s="44">
        <f>(241.2-147.2)/10</f>
        <v>9.4</v>
      </c>
      <c r="V6" s="44">
        <f>(264.5-144.9)/10</f>
        <v>11.959999999999999</v>
      </c>
      <c r="W6" s="7"/>
      <c r="X6" s="43">
        <v>6</v>
      </c>
      <c r="Y6" s="43">
        <v>9.5</v>
      </c>
      <c r="Z6" s="43">
        <v>11</v>
      </c>
      <c r="AA6" s="43">
        <v>6.1</v>
      </c>
      <c r="AB6" s="43">
        <v>10</v>
      </c>
      <c r="AC6" s="43">
        <v>12.4</v>
      </c>
      <c r="AD6" s="43">
        <v>6.4</v>
      </c>
      <c r="AE6" s="43">
        <v>10.3</v>
      </c>
      <c r="AF6" s="43">
        <v>12.2</v>
      </c>
      <c r="AG6" s="43">
        <v>6.1</v>
      </c>
      <c r="AH6" s="43">
        <v>9.9</v>
      </c>
      <c r="AI6" s="43">
        <v>12.5</v>
      </c>
      <c r="AJ6" s="43">
        <v>6.2</v>
      </c>
      <c r="AK6" s="43">
        <v>9.6</v>
      </c>
      <c r="AL6" s="45">
        <v>12.7</v>
      </c>
      <c r="AM6" s="44">
        <f>(203-146.2)/10</f>
        <v>5.6800000000000015</v>
      </c>
      <c r="AN6" s="44">
        <f>(244.5-144.1)/10</f>
        <v>10.040000000000001</v>
      </c>
      <c r="AO6" s="44">
        <f>(270.4-145)/10</f>
        <v>12.539999999999997</v>
      </c>
      <c r="AP6" s="7"/>
      <c r="AQ6" s="46">
        <v>6</v>
      </c>
      <c r="AR6" s="43">
        <v>9.5</v>
      </c>
      <c r="AS6" s="43">
        <v>13</v>
      </c>
      <c r="AT6" s="43">
        <v>6.5</v>
      </c>
      <c r="AU6" s="43">
        <v>10</v>
      </c>
      <c r="AV6" s="43">
        <v>13</v>
      </c>
      <c r="AW6" s="43">
        <v>6.1</v>
      </c>
      <c r="AX6" s="43">
        <v>10.3</v>
      </c>
      <c r="AY6" s="43">
        <v>10.3</v>
      </c>
      <c r="AZ6" s="43">
        <v>12.5</v>
      </c>
      <c r="BA6" s="43">
        <v>12.5</v>
      </c>
      <c r="BB6" s="43">
        <v>6</v>
      </c>
      <c r="BC6" s="43">
        <v>9.8000000000000007</v>
      </c>
      <c r="BD6" s="43">
        <v>9.8000000000000007</v>
      </c>
      <c r="BE6" s="47">
        <v>12.5</v>
      </c>
      <c r="BF6" s="43">
        <v>6</v>
      </c>
      <c r="BG6" s="43">
        <f>22.9-12.9</f>
        <v>9.9999999999999982</v>
      </c>
      <c r="BH6" s="43">
        <f>22.9-12.9</f>
        <v>9.9999999999999982</v>
      </c>
      <c r="BI6" s="47">
        <f>25.1-12.3</f>
        <v>12.8</v>
      </c>
      <c r="BJ6" s="47">
        <f>25.1-12.3</f>
        <v>12.8</v>
      </c>
      <c r="BK6" s="44">
        <f>(207.5-147.3)/10</f>
        <v>6.0199999999999987</v>
      </c>
      <c r="BL6" s="44">
        <f>(241.9-142.5)/10</f>
        <v>9.9400000000000013</v>
      </c>
      <c r="BM6" s="44">
        <f>(268.7-142.1)/10</f>
        <v>12.66</v>
      </c>
      <c r="BN6" s="7"/>
      <c r="BO6" s="47">
        <f>19.6-13.2</f>
        <v>6.4000000000000021</v>
      </c>
      <c r="BP6" s="47">
        <f>23-13.1</f>
        <v>9.9</v>
      </c>
      <c r="BQ6" s="47">
        <f>26.4-13.1</f>
        <v>13.299999999999999</v>
      </c>
      <c r="BR6" s="197">
        <f>(209.4-148.2)/10</f>
        <v>6.1200000000000019</v>
      </c>
      <c r="BS6" s="197">
        <f>(249-144.1)/10</f>
        <v>10.49</v>
      </c>
      <c r="BT6" s="197">
        <f>(283-145.2)/10</f>
        <v>13.780000000000001</v>
      </c>
      <c r="BU6" s="198"/>
      <c r="BV6" s="198"/>
      <c r="BW6" s="107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19" s="49" customFormat="1" x14ac:dyDescent="0.25">
      <c r="A7" s="176"/>
      <c r="B7" s="174"/>
      <c r="C7" s="42">
        <v>2</v>
      </c>
      <c r="D7" s="43">
        <v>170</v>
      </c>
      <c r="E7" s="43">
        <v>7</v>
      </c>
      <c r="F7" s="43">
        <v>11</v>
      </c>
      <c r="G7" s="43">
        <v>4</v>
      </c>
      <c r="H7" s="43">
        <v>10</v>
      </c>
      <c r="I7" s="43">
        <v>8</v>
      </c>
      <c r="J7" s="43">
        <v>7</v>
      </c>
      <c r="K7" s="43">
        <v>10</v>
      </c>
      <c r="L7" s="43">
        <v>4.5</v>
      </c>
      <c r="M7" s="43">
        <v>5</v>
      </c>
      <c r="N7" s="43">
        <v>7</v>
      </c>
      <c r="O7" s="43">
        <v>9</v>
      </c>
      <c r="P7" s="43">
        <v>4</v>
      </c>
      <c r="Q7" s="43">
        <v>4.5</v>
      </c>
      <c r="R7" s="43">
        <v>7.5</v>
      </c>
      <c r="S7" s="43">
        <v>8.5</v>
      </c>
      <c r="T7" s="44">
        <f>(163.3-124.2)/10</f>
        <v>3.910000000000001</v>
      </c>
      <c r="U7" s="44">
        <f>(201.4-122.6)/10</f>
        <v>7.8800000000000008</v>
      </c>
      <c r="V7" s="44">
        <f>(225.1-120.9)/10</f>
        <v>10.419999999999998</v>
      </c>
      <c r="W7" s="7"/>
      <c r="X7" s="43">
        <v>5.5</v>
      </c>
      <c r="Y7" s="43">
        <v>10</v>
      </c>
      <c r="Z7" s="43">
        <v>11</v>
      </c>
      <c r="AA7" s="43">
        <v>4.5999999999999996</v>
      </c>
      <c r="AB7" s="43">
        <v>7.9</v>
      </c>
      <c r="AC7" s="43">
        <v>10.4</v>
      </c>
      <c r="AD7" s="43">
        <v>4.4000000000000004</v>
      </c>
      <c r="AE7" s="43">
        <v>8</v>
      </c>
      <c r="AF7" s="43">
        <v>10.3</v>
      </c>
      <c r="AG7" s="43">
        <v>5.4</v>
      </c>
      <c r="AH7" s="43">
        <v>7.9</v>
      </c>
      <c r="AI7" s="43">
        <v>10.8</v>
      </c>
      <c r="AJ7" s="43">
        <v>5.2</v>
      </c>
      <c r="AK7" s="43">
        <v>7.9</v>
      </c>
      <c r="AL7" s="45">
        <v>10</v>
      </c>
      <c r="AM7" s="44">
        <f>(171.5-130.3)/10</f>
        <v>4.1199999999999992</v>
      </c>
      <c r="AN7" s="44">
        <f>(212.5-132.9)/10</f>
        <v>7.9599999999999991</v>
      </c>
      <c r="AO7" s="44">
        <f>(240.9-131.6)/10</f>
        <v>10.930000000000001</v>
      </c>
      <c r="AP7" s="7"/>
      <c r="AQ7" s="46">
        <v>8</v>
      </c>
      <c r="AR7" s="43">
        <v>10.5</v>
      </c>
      <c r="AS7" s="43">
        <v>13</v>
      </c>
      <c r="AT7" s="43">
        <v>7.5</v>
      </c>
      <c r="AU7" s="43">
        <v>11</v>
      </c>
      <c r="AV7" s="43">
        <v>14</v>
      </c>
      <c r="AW7" s="43">
        <v>6.7</v>
      </c>
      <c r="AX7" s="43">
        <v>8.9</v>
      </c>
      <c r="AY7" s="43">
        <v>8.9</v>
      </c>
      <c r="AZ7" s="43">
        <v>11.2</v>
      </c>
      <c r="BA7" s="43">
        <v>11.2</v>
      </c>
      <c r="BB7" s="43">
        <v>7.3</v>
      </c>
      <c r="BC7" s="43">
        <v>9.1999999999999993</v>
      </c>
      <c r="BD7" s="43">
        <v>9.1999999999999993</v>
      </c>
      <c r="BE7" s="47">
        <v>11.6</v>
      </c>
      <c r="BF7" s="43">
        <v>7.2</v>
      </c>
      <c r="BG7" s="43">
        <f>21.1-12.2</f>
        <v>8.9000000000000021</v>
      </c>
      <c r="BH7" s="43">
        <f>21.1-12.2</f>
        <v>8.9000000000000021</v>
      </c>
      <c r="BI7" s="47">
        <f>24.1-12.3</f>
        <v>11.8</v>
      </c>
      <c r="BJ7" s="47">
        <f>24.1-12.3</f>
        <v>11.8</v>
      </c>
      <c r="BK7" s="44">
        <f>(189.6-133.9)/10</f>
        <v>5.5699999999999985</v>
      </c>
      <c r="BL7" s="44">
        <f>(219.4-135.8)/10</f>
        <v>8.36</v>
      </c>
      <c r="BM7" s="44">
        <f>(243.2-133.2)/10</f>
        <v>11</v>
      </c>
      <c r="BN7" s="7"/>
      <c r="BO7" s="47">
        <f>18.6-11.7</f>
        <v>6.9000000000000021</v>
      </c>
      <c r="BP7" s="47">
        <f>23.4-11.4</f>
        <v>11.999999999999998</v>
      </c>
      <c r="BQ7" s="47">
        <f>25.7-10.6</f>
        <v>15.1</v>
      </c>
      <c r="BR7" s="197">
        <f>(194.1-130.3)/10</f>
        <v>6.3799999999999981</v>
      </c>
      <c r="BS7" s="197">
        <f>(251.4-130.9)/10</f>
        <v>12.05</v>
      </c>
      <c r="BT7" s="197">
        <f>(277.2-130.4)/10</f>
        <v>14.679999999999998</v>
      </c>
      <c r="BU7" s="198"/>
      <c r="BV7" s="198"/>
      <c r="BW7" s="107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19" s="49" customFormat="1" x14ac:dyDescent="0.25">
      <c r="A8" s="176"/>
      <c r="B8" s="174"/>
      <c r="C8" s="42">
        <v>3</v>
      </c>
      <c r="D8" s="43">
        <v>370</v>
      </c>
      <c r="E8" s="43">
        <v>7</v>
      </c>
      <c r="F8" s="43">
        <v>10</v>
      </c>
      <c r="G8" s="43">
        <v>4</v>
      </c>
      <c r="H8" s="43">
        <v>9</v>
      </c>
      <c r="I8" s="43">
        <v>7</v>
      </c>
      <c r="J8" s="43">
        <v>7</v>
      </c>
      <c r="K8" s="43">
        <v>9</v>
      </c>
      <c r="L8" s="43">
        <v>4.5</v>
      </c>
      <c r="M8" s="43">
        <v>4</v>
      </c>
      <c r="N8" s="43">
        <v>7</v>
      </c>
      <c r="O8" s="43">
        <v>8</v>
      </c>
      <c r="P8" s="43">
        <v>4</v>
      </c>
      <c r="Q8" s="43">
        <v>4</v>
      </c>
      <c r="R8" s="43">
        <v>7</v>
      </c>
      <c r="S8" s="43">
        <v>8</v>
      </c>
      <c r="T8" s="44">
        <f>(133.2-97.3)/10</f>
        <v>3.589999999999999</v>
      </c>
      <c r="U8" s="44">
        <f>(159.7-94.8)/10</f>
        <v>6.4899999999999993</v>
      </c>
      <c r="V8" s="44">
        <f>(185.2-95.7)/10</f>
        <v>8.9499999999999993</v>
      </c>
      <c r="W8" s="7"/>
      <c r="X8" s="43">
        <v>4</v>
      </c>
      <c r="Y8" s="43">
        <v>8.5</v>
      </c>
      <c r="Z8" s="43">
        <v>10.5</v>
      </c>
      <c r="AA8" s="43">
        <v>5.9</v>
      </c>
      <c r="AB8" s="43">
        <v>8</v>
      </c>
      <c r="AC8" s="43">
        <v>10</v>
      </c>
      <c r="AD8" s="43">
        <v>5.3</v>
      </c>
      <c r="AE8" s="43">
        <v>7.6</v>
      </c>
      <c r="AF8" s="43">
        <v>10.1</v>
      </c>
      <c r="AG8" s="43">
        <v>5.4</v>
      </c>
      <c r="AH8" s="43">
        <v>7.8</v>
      </c>
      <c r="AI8" s="43">
        <v>10.199999999999999</v>
      </c>
      <c r="AJ8" s="43">
        <v>6</v>
      </c>
      <c r="AK8" s="43">
        <v>3.7</v>
      </c>
      <c r="AL8" s="45">
        <v>10</v>
      </c>
      <c r="AM8" s="44">
        <f>(146.7-101.6)/10</f>
        <v>4.51</v>
      </c>
      <c r="AN8" s="44">
        <f>(187.8-107.2)/10</f>
        <v>8.06</v>
      </c>
      <c r="AO8" s="44">
        <f>(210.1-105.9)/10</f>
        <v>10.419999999999998</v>
      </c>
      <c r="AP8" s="7"/>
      <c r="AQ8" s="46">
        <v>5.5</v>
      </c>
      <c r="AR8" s="43">
        <v>10</v>
      </c>
      <c r="AS8" s="43">
        <v>13</v>
      </c>
      <c r="AT8" s="43">
        <v>4.5</v>
      </c>
      <c r="AU8" s="43">
        <v>10</v>
      </c>
      <c r="AV8" s="43">
        <v>13.5</v>
      </c>
      <c r="AW8" s="43">
        <v>5.4</v>
      </c>
      <c r="AX8" s="43">
        <v>9.5</v>
      </c>
      <c r="AY8" s="43">
        <v>9.5</v>
      </c>
      <c r="AZ8" s="43">
        <v>12.2</v>
      </c>
      <c r="BA8" s="43">
        <v>12.2</v>
      </c>
      <c r="BB8" s="43">
        <v>4.5999999999999996</v>
      </c>
      <c r="BC8" s="43">
        <v>9</v>
      </c>
      <c r="BD8" s="43">
        <v>9</v>
      </c>
      <c r="BE8" s="47">
        <v>11.8</v>
      </c>
      <c r="BF8" s="43">
        <v>4.9000000000000004</v>
      </c>
      <c r="BG8" s="43">
        <f>19.4-9.6</f>
        <v>9.7999999999999989</v>
      </c>
      <c r="BH8" s="43">
        <f>19.4-9.6</f>
        <v>9.7999999999999989</v>
      </c>
      <c r="BI8" s="47">
        <f>22.3-9.6</f>
        <v>12.700000000000001</v>
      </c>
      <c r="BJ8" s="47">
        <f>22.3-9.6</f>
        <v>12.700000000000001</v>
      </c>
      <c r="BK8" s="44">
        <f>(147.6-99.7)/10</f>
        <v>4.7899999999999991</v>
      </c>
      <c r="BL8" s="44">
        <f>(210.4-105.7)/10</f>
        <v>10.47</v>
      </c>
      <c r="BM8" s="44">
        <f>(235.7-103.2)/10</f>
        <v>13.25</v>
      </c>
      <c r="BN8" s="7"/>
      <c r="BO8" s="47">
        <f>16.1-10</f>
        <v>6.1000000000000014</v>
      </c>
      <c r="BP8" s="47">
        <f>21.2-9.7</f>
        <v>11.5</v>
      </c>
      <c r="BQ8" s="47">
        <f>23.5-8.9</f>
        <v>14.6</v>
      </c>
      <c r="BR8" s="197">
        <f>(182.3-105.2)/10</f>
        <v>7.7100000000000009</v>
      </c>
      <c r="BS8" s="197">
        <f>(226.7-107.2)/10</f>
        <v>11.95</v>
      </c>
      <c r="BT8" s="197">
        <f>(263.2-107.9)/10</f>
        <v>15.529999999999998</v>
      </c>
      <c r="BU8" s="198"/>
      <c r="BV8" s="198"/>
      <c r="BW8" s="107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19" s="49" customFormat="1" x14ac:dyDescent="0.25">
      <c r="A9" s="176"/>
      <c r="B9" s="174"/>
      <c r="C9" s="42">
        <v>4</v>
      </c>
      <c r="D9" s="43">
        <v>570</v>
      </c>
      <c r="E9" s="43">
        <v>6</v>
      </c>
      <c r="F9" s="43">
        <v>10</v>
      </c>
      <c r="G9" s="43">
        <v>4</v>
      </c>
      <c r="H9" s="43">
        <v>9</v>
      </c>
      <c r="I9" s="43">
        <v>6.5</v>
      </c>
      <c r="J9" s="43">
        <v>7</v>
      </c>
      <c r="K9" s="43">
        <v>8</v>
      </c>
      <c r="L9" s="43">
        <v>4.5</v>
      </c>
      <c r="M9" s="43">
        <v>4</v>
      </c>
      <c r="N9" s="43">
        <v>6.5</v>
      </c>
      <c r="O9" s="43">
        <v>8</v>
      </c>
      <c r="P9" s="43">
        <v>4</v>
      </c>
      <c r="Q9" s="43">
        <v>4</v>
      </c>
      <c r="R9" s="43">
        <v>6.5</v>
      </c>
      <c r="S9" s="43">
        <v>8</v>
      </c>
      <c r="T9" s="44">
        <f>(95.1-66.2)/10</f>
        <v>2.8899999999999992</v>
      </c>
      <c r="U9" s="44">
        <f>(123.1-67.8)/10</f>
        <v>5.5299999999999994</v>
      </c>
      <c r="V9" s="44">
        <f>(141.7-68)/10</f>
        <v>7.3699999999999992</v>
      </c>
      <c r="W9" s="7"/>
      <c r="X9" s="43">
        <v>4</v>
      </c>
      <c r="Y9" s="43">
        <v>8</v>
      </c>
      <c r="Z9" s="43">
        <v>10</v>
      </c>
      <c r="AA9" s="43">
        <v>3.4</v>
      </c>
      <c r="AB9" s="43">
        <v>5.9</v>
      </c>
      <c r="AC9" s="43">
        <v>8.1</v>
      </c>
      <c r="AD9" s="43">
        <v>2.8</v>
      </c>
      <c r="AE9" s="43">
        <v>6.7</v>
      </c>
      <c r="AF9" s="43">
        <v>9</v>
      </c>
      <c r="AG9" s="43">
        <v>3.5</v>
      </c>
      <c r="AH9" s="43">
        <v>5.9</v>
      </c>
      <c r="AI9" s="43">
        <v>8.1</v>
      </c>
      <c r="AJ9" s="43">
        <v>3</v>
      </c>
      <c r="AK9" s="43">
        <v>3.6</v>
      </c>
      <c r="AL9" s="45">
        <v>7.6</v>
      </c>
      <c r="AM9" s="44">
        <f>(109.7-74.5)/10</f>
        <v>3.5200000000000005</v>
      </c>
      <c r="AN9" s="44">
        <f>(152.4-78.6)/10</f>
        <v>7.3800000000000008</v>
      </c>
      <c r="AO9" s="44">
        <f>(176.4-78.9)/10</f>
        <v>9.75</v>
      </c>
      <c r="AP9" s="7"/>
      <c r="AQ9" s="46">
        <v>5</v>
      </c>
      <c r="AR9" s="43">
        <v>9.5</v>
      </c>
      <c r="AS9" s="43">
        <v>12</v>
      </c>
      <c r="AT9" s="43">
        <v>5.5</v>
      </c>
      <c r="AU9" s="43">
        <v>10</v>
      </c>
      <c r="AV9" s="43">
        <v>11</v>
      </c>
      <c r="AW9" s="43">
        <v>5</v>
      </c>
      <c r="AX9" s="43">
        <v>8.5</v>
      </c>
      <c r="AY9" s="43">
        <v>8.5</v>
      </c>
      <c r="AZ9" s="43">
        <v>11</v>
      </c>
      <c r="BA9" s="43">
        <v>11</v>
      </c>
      <c r="BB9" s="43">
        <v>4.8</v>
      </c>
      <c r="BC9" s="43">
        <v>8.3000000000000007</v>
      </c>
      <c r="BD9" s="43">
        <v>8.3000000000000007</v>
      </c>
      <c r="BE9" s="47">
        <v>10.8</v>
      </c>
      <c r="BF9" s="43">
        <v>5.4</v>
      </c>
      <c r="BG9" s="43">
        <f>15.1-6.5</f>
        <v>8.6</v>
      </c>
      <c r="BH9" s="43">
        <f>15.1-6.5</f>
        <v>8.6</v>
      </c>
      <c r="BI9" s="47">
        <f>17.7-6.9</f>
        <v>10.799999999999999</v>
      </c>
      <c r="BJ9" s="47">
        <f>17.7-6.9</f>
        <v>10.799999999999999</v>
      </c>
      <c r="BK9" s="44">
        <f>(126.2-82.1)/10</f>
        <v>4.410000000000001</v>
      </c>
      <c r="BL9" s="44">
        <f>(171.6-81.6)/10</f>
        <v>9</v>
      </c>
      <c r="BM9" s="44">
        <f>(194.1-76.6)/10</f>
        <v>11.75</v>
      </c>
      <c r="BN9" s="7"/>
      <c r="BO9" s="47">
        <f>15.2-7.9</f>
        <v>7.2999999999999989</v>
      </c>
      <c r="BP9" s="47">
        <f>19-7</f>
        <v>12</v>
      </c>
      <c r="BQ9" s="47">
        <f>21.8-7.3</f>
        <v>14.5</v>
      </c>
      <c r="BR9" s="197">
        <f>(161.6-84.9)/10</f>
        <v>7.669999999999999</v>
      </c>
      <c r="BS9" s="197">
        <f>(216.4-87.6)/10</f>
        <v>12.88</v>
      </c>
      <c r="BT9" s="197">
        <f>(237.9-87.1)/10</f>
        <v>15.080000000000002</v>
      </c>
      <c r="BU9" s="198"/>
      <c r="BV9" s="198"/>
      <c r="BW9" s="107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19" s="49" customFormat="1" x14ac:dyDescent="0.25">
      <c r="A10" s="176"/>
      <c r="B10" s="174"/>
      <c r="C10" s="42">
        <v>5</v>
      </c>
      <c r="D10" s="43">
        <v>695</v>
      </c>
      <c r="E10" s="43">
        <v>7</v>
      </c>
      <c r="F10" s="43">
        <v>11</v>
      </c>
      <c r="G10" s="43">
        <v>4.5</v>
      </c>
      <c r="H10" s="43">
        <v>9</v>
      </c>
      <c r="I10" s="43">
        <v>6</v>
      </c>
      <c r="J10" s="43">
        <v>12</v>
      </c>
      <c r="K10" s="43">
        <v>7</v>
      </c>
      <c r="L10" s="43">
        <v>4</v>
      </c>
      <c r="M10" s="43">
        <v>4</v>
      </c>
      <c r="N10" s="43">
        <v>6</v>
      </c>
      <c r="O10" s="43">
        <v>7.5</v>
      </c>
      <c r="P10" s="43">
        <v>4</v>
      </c>
      <c r="Q10" s="43">
        <v>4</v>
      </c>
      <c r="R10" s="43">
        <v>6</v>
      </c>
      <c r="S10" s="43">
        <v>7.5</v>
      </c>
      <c r="T10" s="44">
        <f>(78.8-51.6)/10</f>
        <v>2.7199999999999998</v>
      </c>
      <c r="U10" s="44">
        <f>(108.7-54.5)/10</f>
        <v>5.42</v>
      </c>
      <c r="V10" s="44">
        <f>(122.5-50.2)/10</f>
        <v>7.2299999999999995</v>
      </c>
      <c r="W10" s="7"/>
      <c r="X10" s="43">
        <v>4</v>
      </c>
      <c r="Y10" s="43">
        <v>7</v>
      </c>
      <c r="Z10" s="43">
        <v>10</v>
      </c>
      <c r="AA10" s="43">
        <v>4</v>
      </c>
      <c r="AB10" s="43">
        <v>5.3</v>
      </c>
      <c r="AC10" s="43">
        <v>7.5</v>
      </c>
      <c r="AD10" s="43">
        <v>3.6</v>
      </c>
      <c r="AE10" s="43">
        <v>6.6</v>
      </c>
      <c r="AF10" s="43">
        <v>7.2</v>
      </c>
      <c r="AG10" s="43">
        <v>3.2</v>
      </c>
      <c r="AH10" s="43">
        <v>5.7</v>
      </c>
      <c r="AI10" s="43">
        <v>7.2</v>
      </c>
      <c r="AJ10" s="43">
        <v>3.8</v>
      </c>
      <c r="AK10" s="43">
        <v>4.4000000000000004</v>
      </c>
      <c r="AL10" s="45">
        <v>6.7</v>
      </c>
      <c r="AM10" s="44">
        <f>(102.7-60)/10</f>
        <v>4.2700000000000005</v>
      </c>
      <c r="AN10" s="44">
        <f>(133.5-62.1)/10</f>
        <v>7.1400000000000006</v>
      </c>
      <c r="AO10" s="44">
        <f>(153.1-63.2)/10</f>
        <v>8.9899999999999984</v>
      </c>
      <c r="AP10" s="7"/>
      <c r="AQ10" s="46">
        <v>5</v>
      </c>
      <c r="AR10" s="43">
        <v>10</v>
      </c>
      <c r="AS10" s="43">
        <v>13</v>
      </c>
      <c r="AT10" s="43">
        <v>5</v>
      </c>
      <c r="AU10" s="43">
        <v>9.5</v>
      </c>
      <c r="AV10" s="43">
        <v>13</v>
      </c>
      <c r="AW10" s="43">
        <v>4.2</v>
      </c>
      <c r="AX10" s="43">
        <v>8.8000000000000007</v>
      </c>
      <c r="AY10" s="43">
        <v>8.8000000000000007</v>
      </c>
      <c r="AZ10" s="43">
        <v>11</v>
      </c>
      <c r="BA10" s="43">
        <v>11</v>
      </c>
      <c r="BB10" s="43">
        <v>4.9000000000000004</v>
      </c>
      <c r="BC10" s="43">
        <v>9.1999999999999993</v>
      </c>
      <c r="BD10" s="43">
        <v>9.1999999999999993</v>
      </c>
      <c r="BE10" s="47">
        <v>10.7</v>
      </c>
      <c r="BF10" s="43">
        <v>4.9000000000000004</v>
      </c>
      <c r="BG10" s="43">
        <f>13-5</f>
        <v>8</v>
      </c>
      <c r="BH10" s="43">
        <f>13-5</f>
        <v>8</v>
      </c>
      <c r="BI10" s="47">
        <f>15.8-4.7</f>
        <v>11.100000000000001</v>
      </c>
      <c r="BJ10" s="47">
        <f>15.8-4.7</f>
        <v>11.100000000000001</v>
      </c>
      <c r="BK10" s="44">
        <f>(110.4-64.3)/10</f>
        <v>4.6100000000000012</v>
      </c>
      <c r="BL10" s="44">
        <f>(155.6-62.8)/10</f>
        <v>9.2799999999999994</v>
      </c>
      <c r="BM10" s="44">
        <f>(171.7-58.2)/10</f>
        <v>11.349999999999998</v>
      </c>
      <c r="BN10" s="7"/>
      <c r="BO10" s="47">
        <f>14-5.7</f>
        <v>8.3000000000000007</v>
      </c>
      <c r="BP10" s="47">
        <f>17.3-5.3</f>
        <v>12</v>
      </c>
      <c r="BQ10" s="47">
        <f>20.9-5.9</f>
        <v>14.999999999999998</v>
      </c>
      <c r="BR10" s="197">
        <f>(149.1-68.6)/10</f>
        <v>8.0500000000000007</v>
      </c>
      <c r="BS10" s="197">
        <f>(200.3-70)/10</f>
        <v>13.030000000000001</v>
      </c>
      <c r="BT10" s="197">
        <f>(222.1-71.3)/10</f>
        <v>15.080000000000002</v>
      </c>
      <c r="BU10" s="198"/>
      <c r="BV10" s="198"/>
      <c r="BW10" s="107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19" s="49" customFormat="1" x14ac:dyDescent="0.25">
      <c r="A11" s="176"/>
      <c r="B11" s="13"/>
      <c r="C11" s="42">
        <v>6</v>
      </c>
      <c r="D11" s="43">
        <v>820</v>
      </c>
      <c r="E11" s="43">
        <v>12</v>
      </c>
      <c r="F11" s="43">
        <v>12</v>
      </c>
      <c r="G11" s="43">
        <v>8</v>
      </c>
      <c r="H11" s="43">
        <v>10</v>
      </c>
      <c r="I11" s="43">
        <v>6.5</v>
      </c>
      <c r="J11" s="43">
        <v>15</v>
      </c>
      <c r="K11" s="43">
        <v>7</v>
      </c>
      <c r="L11" s="43">
        <v>4</v>
      </c>
      <c r="M11" s="43">
        <v>4</v>
      </c>
      <c r="N11" s="43">
        <v>6</v>
      </c>
      <c r="O11" s="43">
        <v>7.5</v>
      </c>
      <c r="P11" s="43">
        <v>4</v>
      </c>
      <c r="Q11" s="43">
        <v>4</v>
      </c>
      <c r="R11" s="43">
        <v>6</v>
      </c>
      <c r="S11" s="43">
        <v>7</v>
      </c>
      <c r="T11" s="44">
        <f>(62.5-35.4)/10</f>
        <v>2.71</v>
      </c>
      <c r="U11" s="44">
        <f>(88.7-35.2)/10</f>
        <v>5.35</v>
      </c>
      <c r="V11" s="44">
        <f>(120.1-36.3)/10</f>
        <v>8.379999999999999</v>
      </c>
      <c r="W11" s="7"/>
      <c r="X11" s="43">
        <v>4</v>
      </c>
      <c r="Y11" s="43">
        <v>12</v>
      </c>
      <c r="Z11" s="43">
        <v>11</v>
      </c>
      <c r="AA11" s="43">
        <v>3.1</v>
      </c>
      <c r="AB11" s="43">
        <v>6</v>
      </c>
      <c r="AC11" s="43">
        <v>7.6</v>
      </c>
      <c r="AD11" s="43">
        <v>3.4</v>
      </c>
      <c r="AE11" s="43">
        <v>6</v>
      </c>
      <c r="AF11" s="43">
        <v>8.1</v>
      </c>
      <c r="AG11" s="43">
        <v>3</v>
      </c>
      <c r="AH11" s="43">
        <v>5.9</v>
      </c>
      <c r="AI11" s="43">
        <v>7.7</v>
      </c>
      <c r="AJ11" s="43">
        <v>3.2</v>
      </c>
      <c r="AK11" s="43">
        <v>5.7</v>
      </c>
      <c r="AL11" s="45">
        <v>7.3</v>
      </c>
      <c r="AM11" s="44">
        <f>(81.3-48.8)/10</f>
        <v>3.25</v>
      </c>
      <c r="AN11" s="44">
        <f>(118.8-49.9)/10</f>
        <v>6.8900000000000006</v>
      </c>
      <c r="AO11" s="44">
        <f>(144.7-49)/10</f>
        <v>9.5699999999999985</v>
      </c>
      <c r="AP11" s="7"/>
      <c r="AQ11" s="46">
        <v>5</v>
      </c>
      <c r="AR11" s="43">
        <v>10</v>
      </c>
      <c r="AS11" s="43">
        <v>13</v>
      </c>
      <c r="AT11" s="43">
        <v>4.5</v>
      </c>
      <c r="AU11" s="43">
        <v>10</v>
      </c>
      <c r="AV11" s="43">
        <v>15</v>
      </c>
      <c r="AW11" s="43">
        <v>3.7</v>
      </c>
      <c r="AX11" s="43">
        <v>8.5</v>
      </c>
      <c r="AY11" s="43">
        <v>8.5</v>
      </c>
      <c r="AZ11" s="43">
        <v>10.9</v>
      </c>
      <c r="BA11" s="43">
        <v>10.9</v>
      </c>
      <c r="BB11" s="43">
        <v>3.3</v>
      </c>
      <c r="BC11" s="43">
        <v>8.6</v>
      </c>
      <c r="BD11" s="43">
        <v>8.6</v>
      </c>
      <c r="BE11" s="47">
        <v>11.1</v>
      </c>
      <c r="BF11" s="43">
        <v>5.0999999999999996</v>
      </c>
      <c r="BG11" s="43">
        <f>11.6-3.5</f>
        <v>8.1</v>
      </c>
      <c r="BH11" s="43">
        <f>11.6-3.5</f>
        <v>8.1</v>
      </c>
      <c r="BI11" s="47">
        <f>15.1-3.6</f>
        <v>11.5</v>
      </c>
      <c r="BJ11" s="47">
        <f>15.1-3.6</f>
        <v>11.5</v>
      </c>
      <c r="BK11" s="44">
        <f>(105.4-51.1)/10</f>
        <v>5.4300000000000006</v>
      </c>
      <c r="BL11" s="44">
        <f>(146.2-49)/10</f>
        <v>9.7199999999999989</v>
      </c>
      <c r="BM11" s="44">
        <f>(163.8-48.1)/10</f>
        <v>11.570000000000002</v>
      </c>
      <c r="BN11" s="7"/>
      <c r="BO11" s="47">
        <f>10.7-3.7</f>
        <v>6.9999999999999991</v>
      </c>
      <c r="BP11" s="47">
        <f>15.4-3.7</f>
        <v>11.7</v>
      </c>
      <c r="BQ11" s="47">
        <f>17.6-3.7</f>
        <v>13.900000000000002</v>
      </c>
      <c r="BR11" s="197">
        <f>(128.3-48.9)/10</f>
        <v>7.94</v>
      </c>
      <c r="BS11" s="197">
        <f>(176.1-50.8)/10</f>
        <v>12.53</v>
      </c>
      <c r="BT11" s="197">
        <f>(200.4-52.5)/10</f>
        <v>14.790000000000001</v>
      </c>
      <c r="BU11" s="198"/>
      <c r="BV11" s="198"/>
      <c r="BW11" s="107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</row>
    <row r="12" spans="1:119" s="56" customFormat="1" ht="15.75" thickBot="1" x14ac:dyDescent="0.3">
      <c r="A12" s="177"/>
      <c r="B12" s="50" t="s">
        <v>12</v>
      </c>
      <c r="C12" s="51">
        <v>7</v>
      </c>
      <c r="D12" s="52"/>
      <c r="E12" s="52">
        <v>9.5</v>
      </c>
      <c r="F12" s="52">
        <v>16</v>
      </c>
      <c r="G12" s="52">
        <v>5</v>
      </c>
      <c r="H12" s="52">
        <v>13.5</v>
      </c>
      <c r="I12" s="52">
        <v>10</v>
      </c>
      <c r="J12" s="52">
        <v>9</v>
      </c>
      <c r="K12" s="52">
        <v>13.5</v>
      </c>
      <c r="L12" s="52">
        <v>5</v>
      </c>
      <c r="M12" s="52">
        <v>5</v>
      </c>
      <c r="N12" s="52">
        <v>9.5</v>
      </c>
      <c r="O12" s="52">
        <v>14</v>
      </c>
      <c r="P12" s="52">
        <v>5</v>
      </c>
      <c r="Q12" s="52">
        <v>5</v>
      </c>
      <c r="R12" s="52">
        <v>10</v>
      </c>
      <c r="S12" s="52">
        <v>13.5</v>
      </c>
      <c r="T12" s="53">
        <v>5</v>
      </c>
      <c r="U12" s="53">
        <v>9.8000000000000007</v>
      </c>
      <c r="V12" s="53">
        <v>14</v>
      </c>
      <c r="W12" s="11"/>
      <c r="X12" s="52">
        <v>5</v>
      </c>
      <c r="Y12" s="52">
        <v>10</v>
      </c>
      <c r="Z12" s="52">
        <v>13.5</v>
      </c>
      <c r="AA12" s="52">
        <v>5</v>
      </c>
      <c r="AB12" s="52">
        <v>9</v>
      </c>
      <c r="AC12" s="52">
        <v>14</v>
      </c>
      <c r="AD12" s="52">
        <v>5</v>
      </c>
      <c r="AE12" s="52">
        <v>9.5</v>
      </c>
      <c r="AF12" s="52">
        <v>14</v>
      </c>
      <c r="AG12" s="52">
        <v>5</v>
      </c>
      <c r="AH12" s="52">
        <v>9.5</v>
      </c>
      <c r="AI12" s="52">
        <v>14</v>
      </c>
      <c r="AJ12" s="52">
        <v>5</v>
      </c>
      <c r="AK12" s="52">
        <v>9.5</v>
      </c>
      <c r="AL12" s="54">
        <v>14</v>
      </c>
      <c r="AM12" s="53">
        <v>5</v>
      </c>
      <c r="AN12" s="53">
        <v>10</v>
      </c>
      <c r="AO12" s="53">
        <v>14</v>
      </c>
      <c r="AP12" s="11"/>
      <c r="AQ12" s="55">
        <v>5</v>
      </c>
      <c r="AR12" s="52">
        <v>9.5</v>
      </c>
      <c r="AS12" s="52">
        <v>13.5</v>
      </c>
      <c r="AT12" s="52">
        <v>5</v>
      </c>
      <c r="AU12" s="52">
        <v>10</v>
      </c>
      <c r="AV12" s="52">
        <v>14</v>
      </c>
      <c r="AW12" s="52">
        <v>5</v>
      </c>
      <c r="AX12" s="52">
        <v>9.8000000000000007</v>
      </c>
      <c r="AY12" s="52">
        <v>9.8000000000000007</v>
      </c>
      <c r="AZ12" s="52">
        <v>13.5</v>
      </c>
      <c r="BA12" s="52">
        <v>13.5</v>
      </c>
      <c r="BB12" s="52">
        <v>5</v>
      </c>
      <c r="BC12" s="52">
        <v>9.8000000000000007</v>
      </c>
      <c r="BD12" s="52">
        <v>9.8000000000000007</v>
      </c>
      <c r="BE12" s="52">
        <v>13.5</v>
      </c>
      <c r="BF12" s="52">
        <v>5</v>
      </c>
      <c r="BG12" s="52">
        <v>9</v>
      </c>
      <c r="BH12" s="52">
        <v>9</v>
      </c>
      <c r="BI12" s="52">
        <v>14</v>
      </c>
      <c r="BJ12" s="52">
        <v>14</v>
      </c>
      <c r="BK12" s="53">
        <v>5</v>
      </c>
      <c r="BL12" s="53">
        <v>10</v>
      </c>
      <c r="BM12" s="53">
        <v>14</v>
      </c>
      <c r="BN12" s="11"/>
      <c r="BO12" s="52">
        <v>5</v>
      </c>
      <c r="BP12" s="52">
        <v>9.5</v>
      </c>
      <c r="BQ12" s="52">
        <v>14</v>
      </c>
      <c r="BR12" s="53">
        <v>5</v>
      </c>
      <c r="BS12" s="53">
        <v>10</v>
      </c>
      <c r="BT12" s="53">
        <v>14</v>
      </c>
      <c r="BU12" s="199"/>
      <c r="BV12" s="199"/>
      <c r="BW12" s="200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</row>
    <row r="13" spans="1:119" s="41" customFormat="1" x14ac:dyDescent="0.25">
      <c r="A13" s="170" t="s">
        <v>0</v>
      </c>
      <c r="B13" s="173" t="s">
        <v>11</v>
      </c>
      <c r="C13" s="35">
        <v>1</v>
      </c>
      <c r="D13" s="57"/>
      <c r="E13" s="57">
        <v>0.73699999999999999</v>
      </c>
      <c r="F13" s="57">
        <v>0.94299999999999995</v>
      </c>
      <c r="G13" s="57">
        <v>0.61299999999999999</v>
      </c>
      <c r="H13" s="57">
        <v>0.91500000000000004</v>
      </c>
      <c r="I13" s="57">
        <v>0.82799999999999996</v>
      </c>
      <c r="J13" s="57">
        <v>0.77300000000000002</v>
      </c>
      <c r="K13" s="57">
        <v>0.88300000000000001</v>
      </c>
      <c r="L13" s="57">
        <v>0.64700000000000002</v>
      </c>
      <c r="M13" s="57">
        <v>0.58599999999999997</v>
      </c>
      <c r="N13" s="57">
        <v>0.83199999999999996</v>
      </c>
      <c r="O13" s="57">
        <v>0.89700000000000002</v>
      </c>
      <c r="P13" s="57">
        <v>0.60399999999999998</v>
      </c>
      <c r="Q13" s="57">
        <v>0.63500000000000001</v>
      </c>
      <c r="R13" s="57">
        <v>0.81200000000000006</v>
      </c>
      <c r="S13" s="57">
        <v>0.89</v>
      </c>
      <c r="T13" s="58"/>
      <c r="U13" s="58"/>
      <c r="V13" s="58"/>
      <c r="W13" s="4"/>
      <c r="X13" s="57">
        <v>0.59599999999999997</v>
      </c>
      <c r="Y13" s="57">
        <v>0.98499999999999999</v>
      </c>
      <c r="Z13" s="57">
        <v>0.78800000000000003</v>
      </c>
      <c r="AA13" s="57">
        <v>0.52200000000000002</v>
      </c>
      <c r="AB13" s="57">
        <v>0.71699999999999997</v>
      </c>
      <c r="AC13" s="57">
        <v>0.79500000000000004</v>
      </c>
      <c r="AD13" s="57">
        <v>0.59399999999999997</v>
      </c>
      <c r="AE13" s="57">
        <v>0.71899999999999997</v>
      </c>
      <c r="AF13" s="57">
        <v>0.82499999999999996</v>
      </c>
      <c r="AG13" s="57">
        <v>0.54100000000000004</v>
      </c>
      <c r="AH13" s="57">
        <v>0.65500000000000003</v>
      </c>
      <c r="AI13" s="57">
        <v>0.78400000000000003</v>
      </c>
      <c r="AJ13" s="57">
        <v>0.53200000000000003</v>
      </c>
      <c r="AK13" s="57">
        <v>0.64</v>
      </c>
      <c r="AL13" s="59">
        <v>0.71799999999999997</v>
      </c>
      <c r="AM13" s="58"/>
      <c r="AN13" s="58"/>
      <c r="AO13" s="58"/>
      <c r="AP13" s="4"/>
      <c r="AQ13" s="60">
        <v>0.57799999999999996</v>
      </c>
      <c r="AR13" s="57">
        <v>0.70299999999999996</v>
      </c>
      <c r="AS13" s="57">
        <v>0.72499999999999998</v>
      </c>
      <c r="AT13" s="57">
        <v>0.56000000000000005</v>
      </c>
      <c r="AU13" s="57">
        <v>0.67500000000000004</v>
      </c>
      <c r="AV13" s="57">
        <v>0.66900000000000004</v>
      </c>
      <c r="AW13" s="57">
        <v>0.45</v>
      </c>
      <c r="AX13" s="57">
        <v>0.63200000000000001</v>
      </c>
      <c r="AY13" s="57"/>
      <c r="AZ13" s="57">
        <v>0.66100000000000003</v>
      </c>
      <c r="BA13" s="57"/>
      <c r="BB13" s="57">
        <v>0.52900000000000003</v>
      </c>
      <c r="BC13" s="57">
        <v>0.69599999999999995</v>
      </c>
      <c r="BD13" s="57"/>
      <c r="BE13" s="36"/>
      <c r="BF13" s="57">
        <v>0.498</v>
      </c>
      <c r="BG13" s="57">
        <v>0.69099999999999995</v>
      </c>
      <c r="BH13" s="57"/>
      <c r="BI13" s="36">
        <v>0.72399999999999998</v>
      </c>
      <c r="BJ13" s="36"/>
      <c r="BK13" s="37"/>
      <c r="BL13" s="37"/>
      <c r="BM13" s="37"/>
      <c r="BN13" s="4"/>
      <c r="BO13" s="36">
        <v>0.56299999999999994</v>
      </c>
      <c r="BP13" s="36">
        <v>0.66700000000000004</v>
      </c>
      <c r="BQ13" s="36">
        <v>0.65900000000000003</v>
      </c>
      <c r="BR13" s="37"/>
      <c r="BS13" s="37"/>
      <c r="BT13" s="37"/>
      <c r="BU13" s="195">
        <v>0.51700000000000002</v>
      </c>
      <c r="BV13" s="195">
        <v>0.54700000000000004</v>
      </c>
      <c r="BW13" s="196">
        <v>0.56599999999999995</v>
      </c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</row>
    <row r="14" spans="1:119" s="49" customFormat="1" x14ac:dyDescent="0.25">
      <c r="A14" s="171"/>
      <c r="B14" s="174"/>
      <c r="C14" s="42">
        <v>2</v>
      </c>
      <c r="D14" s="43"/>
      <c r="E14" s="43">
        <v>1.1060000000000001</v>
      </c>
      <c r="F14" s="43">
        <v>1.149</v>
      </c>
      <c r="G14" s="43">
        <v>0.96699999999999997</v>
      </c>
      <c r="H14" s="43">
        <v>1.1559999999999999</v>
      </c>
      <c r="I14" s="43">
        <v>1.0820000000000001</v>
      </c>
      <c r="J14" s="43">
        <v>1.0443</v>
      </c>
      <c r="K14" s="43">
        <v>1.137</v>
      </c>
      <c r="L14" s="43">
        <v>0.95799999999999996</v>
      </c>
      <c r="M14" s="43">
        <v>0.998</v>
      </c>
      <c r="N14" s="43">
        <v>1.129</v>
      </c>
      <c r="O14" s="43">
        <v>1.159</v>
      </c>
      <c r="P14" s="43">
        <v>0.94799999999999995</v>
      </c>
      <c r="Q14" s="43">
        <v>0.999</v>
      </c>
      <c r="R14" s="43">
        <v>1.1000000000000001</v>
      </c>
      <c r="S14" s="43">
        <v>1.139</v>
      </c>
      <c r="T14" s="44"/>
      <c r="U14" s="44"/>
      <c r="V14" s="44"/>
      <c r="W14" s="7"/>
      <c r="X14" s="43">
        <v>0.85699999999999998</v>
      </c>
      <c r="Y14" s="43">
        <v>0.86299999999999999</v>
      </c>
      <c r="Z14" s="43">
        <v>1.0189999999999999</v>
      </c>
      <c r="AA14" s="43">
        <v>0.78</v>
      </c>
      <c r="AB14" s="43">
        <v>0.99</v>
      </c>
      <c r="AC14" s="43">
        <v>1.0569999999999999</v>
      </c>
      <c r="AD14" s="43">
        <v>0.78800000000000003</v>
      </c>
      <c r="AE14" s="43">
        <v>0.98799999999999999</v>
      </c>
      <c r="AF14" s="43">
        <v>1.0449999999999999</v>
      </c>
      <c r="AG14" s="43">
        <v>0.72199999999999998</v>
      </c>
      <c r="AH14" s="43">
        <v>0.97699999999999998</v>
      </c>
      <c r="AI14" s="43">
        <v>1.0620000000000001</v>
      </c>
      <c r="AJ14" s="43">
        <v>0.74399999999999999</v>
      </c>
      <c r="AK14" s="43">
        <v>0.96499999999999997</v>
      </c>
      <c r="AL14" s="45">
        <v>0.996</v>
      </c>
      <c r="AM14" s="44"/>
      <c r="AN14" s="44"/>
      <c r="AO14" s="44"/>
      <c r="AP14" s="7"/>
      <c r="AQ14" s="46">
        <v>0.44500000000000001</v>
      </c>
      <c r="AR14" s="43">
        <v>0.66800000000000004</v>
      </c>
      <c r="AS14" s="43">
        <v>0.80800000000000005</v>
      </c>
      <c r="AT14" s="43">
        <v>0.52600000000000002</v>
      </c>
      <c r="AU14" s="43">
        <v>0.66900000000000004</v>
      </c>
      <c r="AV14" s="43">
        <v>0.70099999999999996</v>
      </c>
      <c r="AW14" s="43">
        <v>0.22800000000000001</v>
      </c>
      <c r="AX14" s="43">
        <v>0.74199999999999999</v>
      </c>
      <c r="AY14" s="43"/>
      <c r="AZ14" s="43">
        <v>0.874</v>
      </c>
      <c r="BA14" s="43"/>
      <c r="BB14" s="43">
        <v>0.58099999999999996</v>
      </c>
      <c r="BC14" s="43">
        <v>0.66800000000000004</v>
      </c>
      <c r="BD14" s="43"/>
      <c r="BE14" s="47"/>
      <c r="BF14" s="43">
        <v>0.52200000000000002</v>
      </c>
      <c r="BG14" s="43">
        <v>0.66800000000000004</v>
      </c>
      <c r="BH14" s="43"/>
      <c r="BI14" s="47">
        <v>0.80400000000000005</v>
      </c>
      <c r="BJ14" s="47"/>
      <c r="BK14" s="17"/>
      <c r="BL14" s="17"/>
      <c r="BM14" s="17"/>
      <c r="BN14" s="7"/>
      <c r="BO14" s="47">
        <v>0.44800000000000001</v>
      </c>
      <c r="BP14" s="47">
        <v>0.59</v>
      </c>
      <c r="BQ14" s="47">
        <v>0.66700000000000004</v>
      </c>
      <c r="BR14" s="197"/>
      <c r="BS14" s="197"/>
      <c r="BT14" s="197"/>
      <c r="BU14" s="198">
        <v>0.501</v>
      </c>
      <c r="BV14" s="198">
        <v>0.502</v>
      </c>
      <c r="BW14" s="107">
        <v>0.55500000000000005</v>
      </c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</row>
    <row r="15" spans="1:119" s="49" customFormat="1" x14ac:dyDescent="0.25">
      <c r="A15" s="171"/>
      <c r="B15" s="174"/>
      <c r="C15" s="42">
        <v>3</v>
      </c>
      <c r="D15" s="43"/>
      <c r="E15" s="43">
        <v>1.387</v>
      </c>
      <c r="F15" s="43">
        <v>1.4419999999999999</v>
      </c>
      <c r="G15" s="43">
        <v>1.208</v>
      </c>
      <c r="H15" s="43">
        <v>1.4059999999999999</v>
      </c>
      <c r="I15" s="43">
        <v>1.349</v>
      </c>
      <c r="J15" s="43">
        <v>1.3260000000000001</v>
      </c>
      <c r="K15" s="43">
        <v>1.409</v>
      </c>
      <c r="L15" s="43">
        <v>1.171</v>
      </c>
      <c r="M15" s="43">
        <v>1.2130000000000001</v>
      </c>
      <c r="N15" s="43">
        <v>1.331</v>
      </c>
      <c r="O15" s="43">
        <v>1.413</v>
      </c>
      <c r="P15" s="43">
        <v>1.1759999999999999</v>
      </c>
      <c r="Q15" s="43">
        <v>1.194</v>
      </c>
      <c r="R15" s="43">
        <v>1.3520000000000001</v>
      </c>
      <c r="S15" s="43">
        <v>1.3919999999999999</v>
      </c>
      <c r="T15" s="44"/>
      <c r="U15" s="44"/>
      <c r="V15" s="44"/>
      <c r="W15" s="7"/>
      <c r="X15" s="43">
        <v>0.82899999999999996</v>
      </c>
      <c r="Y15" s="43">
        <v>0.90600000000000003</v>
      </c>
      <c r="Z15" s="43">
        <v>1.236</v>
      </c>
      <c r="AA15" s="43">
        <v>0.79</v>
      </c>
      <c r="AB15" s="43">
        <v>0.86199999999999999</v>
      </c>
      <c r="AC15" s="43">
        <v>1.016</v>
      </c>
      <c r="AD15" s="43">
        <v>0.91</v>
      </c>
      <c r="AE15" s="43">
        <v>0.94099999999999995</v>
      </c>
      <c r="AF15" s="43">
        <v>1.21</v>
      </c>
      <c r="AG15" s="43">
        <v>0.84599999999999997</v>
      </c>
      <c r="AH15" s="43">
        <v>0.91200000000000003</v>
      </c>
      <c r="AI15" s="43">
        <v>1.125</v>
      </c>
      <c r="AJ15" s="43">
        <v>0.86199999999999999</v>
      </c>
      <c r="AK15" s="43">
        <v>0.85199999999999998</v>
      </c>
      <c r="AL15" s="45">
        <v>1.071</v>
      </c>
      <c r="AM15" s="44"/>
      <c r="AN15" s="44"/>
      <c r="AO15" s="44"/>
      <c r="AP15" s="7"/>
      <c r="AQ15" s="46">
        <v>0.74</v>
      </c>
      <c r="AR15" s="43">
        <v>0.55100000000000005</v>
      </c>
      <c r="AS15" s="43">
        <v>0.747</v>
      </c>
      <c r="AT15" s="43">
        <v>0.64600000000000002</v>
      </c>
      <c r="AU15" s="43">
        <v>0.71599999999999997</v>
      </c>
      <c r="AV15" s="43">
        <v>0.57799999999999996</v>
      </c>
      <c r="AW15" s="43">
        <v>0.70099999999999996</v>
      </c>
      <c r="AX15" s="43">
        <v>0.88200000000000001</v>
      </c>
      <c r="AY15" s="43">
        <v>0.999</v>
      </c>
      <c r="AZ15" s="47">
        <v>0.74199999999999999</v>
      </c>
      <c r="BA15" s="43">
        <v>1.1020000000000001</v>
      </c>
      <c r="BB15" s="43">
        <v>0.69699999999999995</v>
      </c>
      <c r="BC15" s="43">
        <v>0.77300000000000002</v>
      </c>
      <c r="BD15" s="43">
        <v>1.0940000000000001</v>
      </c>
      <c r="BE15" s="47"/>
      <c r="BF15" s="43">
        <v>0.60299999999999998</v>
      </c>
      <c r="BG15" s="43">
        <v>0.77500000000000002</v>
      </c>
      <c r="BH15" s="43">
        <v>1.2070000000000001</v>
      </c>
      <c r="BI15" s="47">
        <v>0.76900000000000002</v>
      </c>
      <c r="BJ15" s="47">
        <v>1.1160000000000001</v>
      </c>
      <c r="BK15" s="17"/>
      <c r="BL15" s="17"/>
      <c r="BM15" s="17"/>
      <c r="BN15" s="7"/>
      <c r="BO15" s="47">
        <v>0.71299999999999997</v>
      </c>
      <c r="BP15" s="47">
        <v>0.70199999999999996</v>
      </c>
      <c r="BQ15" s="47">
        <v>0.75800000000000001</v>
      </c>
      <c r="BR15" s="197"/>
      <c r="BS15" s="197"/>
      <c r="BT15" s="197"/>
      <c r="BU15" s="198">
        <v>0.74399999999999999</v>
      </c>
      <c r="BV15" s="198">
        <v>0.74399999999999999</v>
      </c>
      <c r="BW15" s="107">
        <v>0.83499999999999996</v>
      </c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</row>
    <row r="16" spans="1:119" s="49" customFormat="1" x14ac:dyDescent="0.25">
      <c r="A16" s="171"/>
      <c r="B16" s="174"/>
      <c r="C16" s="42">
        <v>4</v>
      </c>
      <c r="D16" s="43"/>
      <c r="E16" s="43">
        <v>1.5309999999999999</v>
      </c>
      <c r="F16" s="43">
        <v>1.605</v>
      </c>
      <c r="G16" s="43">
        <v>1.425</v>
      </c>
      <c r="H16" s="43">
        <v>1.647</v>
      </c>
      <c r="I16" s="43">
        <v>1.581</v>
      </c>
      <c r="J16" s="43">
        <v>1.3560000000000001</v>
      </c>
      <c r="K16" s="43">
        <v>1.6459999999999999</v>
      </c>
      <c r="L16" s="43">
        <v>1.4139999999999999</v>
      </c>
      <c r="M16" s="43">
        <v>1.4</v>
      </c>
      <c r="N16" s="43">
        <v>1.5649999999999999</v>
      </c>
      <c r="O16" s="43">
        <v>1.6459999999999999</v>
      </c>
      <c r="P16" s="43">
        <v>1.3520000000000001</v>
      </c>
      <c r="Q16" s="43">
        <v>1.419</v>
      </c>
      <c r="R16" s="43">
        <v>1.5589999999999999</v>
      </c>
      <c r="S16" s="43">
        <v>1.6339999999999999</v>
      </c>
      <c r="T16" s="44"/>
      <c r="U16" s="44"/>
      <c r="V16" s="44"/>
      <c r="W16" s="7"/>
      <c r="X16" s="43">
        <v>1.1100000000000001</v>
      </c>
      <c r="Y16" s="43">
        <v>1.232</v>
      </c>
      <c r="Z16" s="43">
        <v>1.028</v>
      </c>
      <c r="AA16" s="43">
        <v>1.0069999999999999</v>
      </c>
      <c r="AB16" s="43">
        <v>1.1419999999999999</v>
      </c>
      <c r="AC16" s="43">
        <v>1.145</v>
      </c>
      <c r="AD16" s="43">
        <v>1.0980000000000001</v>
      </c>
      <c r="AE16" s="43">
        <v>1.1240000000000001</v>
      </c>
      <c r="AF16" s="43">
        <v>1.163</v>
      </c>
      <c r="AG16" s="43">
        <v>0.94</v>
      </c>
      <c r="AH16" s="43">
        <v>1.1599999999999999</v>
      </c>
      <c r="AI16" s="43">
        <v>1.0469999999999999</v>
      </c>
      <c r="AJ16" s="43">
        <v>1.0429999999999999</v>
      </c>
      <c r="AK16" s="43">
        <v>1.085</v>
      </c>
      <c r="AL16" s="45">
        <v>1.153</v>
      </c>
      <c r="AM16" s="44"/>
      <c r="AN16" s="44"/>
      <c r="AO16" s="44"/>
      <c r="AP16" s="7"/>
      <c r="AQ16" s="46">
        <v>0.66600000000000004</v>
      </c>
      <c r="AR16" s="43">
        <v>0.54300000000000004</v>
      </c>
      <c r="AS16" s="43">
        <v>0.69499999999999995</v>
      </c>
      <c r="AT16" s="43">
        <v>0.65200000000000002</v>
      </c>
      <c r="AU16" s="43">
        <v>0.55500000000000005</v>
      </c>
      <c r="AV16" s="43">
        <v>0.54</v>
      </c>
      <c r="AW16" s="43">
        <v>0.81100000000000005</v>
      </c>
      <c r="AX16" s="43">
        <v>0.89500000000000002</v>
      </c>
      <c r="AY16" s="43">
        <v>1.206</v>
      </c>
      <c r="AZ16" s="47">
        <v>0.875</v>
      </c>
      <c r="BA16" s="43">
        <v>1.216</v>
      </c>
      <c r="BB16" s="43">
        <v>0.51400000000000001</v>
      </c>
      <c r="BC16" s="43">
        <v>0.90400000000000003</v>
      </c>
      <c r="BD16" s="43">
        <v>1.145</v>
      </c>
      <c r="BE16" s="47"/>
      <c r="BF16" s="43">
        <v>0.505</v>
      </c>
      <c r="BG16" s="43">
        <v>0.878</v>
      </c>
      <c r="BH16" s="43">
        <v>1.2609999999999999</v>
      </c>
      <c r="BI16" s="47">
        <v>0.71899999999999997</v>
      </c>
      <c r="BJ16" s="47">
        <v>1.3169999999999999</v>
      </c>
      <c r="BK16" s="17"/>
      <c r="BL16" s="17"/>
      <c r="BM16" s="17"/>
      <c r="BN16" s="7"/>
      <c r="BO16" s="47">
        <v>0.83899999999999997</v>
      </c>
      <c r="BP16" s="47">
        <v>0.83399999999999996</v>
      </c>
      <c r="BQ16" s="47">
        <v>0.82</v>
      </c>
      <c r="BR16" s="197"/>
      <c r="BS16" s="197"/>
      <c r="BT16" s="197"/>
      <c r="BU16" s="198">
        <v>0.65200000000000002</v>
      </c>
      <c r="BV16" s="198">
        <v>0.59799999999999998</v>
      </c>
      <c r="BW16" s="107">
        <v>0.78100000000000003</v>
      </c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</row>
    <row r="17" spans="1:119" s="49" customFormat="1" x14ac:dyDescent="0.25">
      <c r="A17" s="171"/>
      <c r="B17" s="174"/>
      <c r="C17" s="42">
        <v>5</v>
      </c>
      <c r="D17" s="43"/>
      <c r="E17" s="43">
        <v>1.677</v>
      </c>
      <c r="F17" s="43">
        <v>1.6859999999999999</v>
      </c>
      <c r="G17" s="43">
        <v>1.526</v>
      </c>
      <c r="H17" s="43">
        <v>1.67</v>
      </c>
      <c r="I17" s="43">
        <v>1.6850000000000001</v>
      </c>
      <c r="J17" s="43">
        <v>1.202</v>
      </c>
      <c r="K17" s="43">
        <v>1.7629999999999999</v>
      </c>
      <c r="L17" s="43">
        <v>1.53</v>
      </c>
      <c r="M17" s="43">
        <v>1.5349999999999999</v>
      </c>
      <c r="N17" s="43">
        <v>1.6830000000000001</v>
      </c>
      <c r="O17" s="43">
        <v>1.72</v>
      </c>
      <c r="P17" s="43">
        <v>1.6259999999999999</v>
      </c>
      <c r="Q17" s="43">
        <v>1.546</v>
      </c>
      <c r="R17" s="43">
        <v>1.69</v>
      </c>
      <c r="S17" s="43">
        <v>1.748</v>
      </c>
      <c r="T17" s="44"/>
      <c r="U17" s="44"/>
      <c r="V17" s="44"/>
      <c r="W17" s="7"/>
      <c r="X17" s="43">
        <v>1.159</v>
      </c>
      <c r="Y17" s="43">
        <v>1.381</v>
      </c>
      <c r="Z17" s="43">
        <v>1.325</v>
      </c>
      <c r="AA17" s="43">
        <v>1.139</v>
      </c>
      <c r="AB17" s="43">
        <v>1.099</v>
      </c>
      <c r="AC17" s="43">
        <v>1.2450000000000001</v>
      </c>
      <c r="AD17" s="43">
        <v>1.113</v>
      </c>
      <c r="AE17" s="43">
        <v>1.075</v>
      </c>
      <c r="AF17" s="43">
        <v>1.196</v>
      </c>
      <c r="AG17" s="43">
        <v>0.83599999999999997</v>
      </c>
      <c r="AH17" s="43">
        <v>1.288</v>
      </c>
      <c r="AI17" s="43">
        <v>1.4</v>
      </c>
      <c r="AJ17" s="43">
        <v>0.78</v>
      </c>
      <c r="AK17" s="43">
        <v>1.208</v>
      </c>
      <c r="AL17" s="45">
        <v>1.4379999999999999</v>
      </c>
      <c r="AM17" s="44"/>
      <c r="AN17" s="44"/>
      <c r="AO17" s="44"/>
      <c r="AP17" s="7"/>
      <c r="AQ17" s="46">
        <v>0.75600000000000001</v>
      </c>
      <c r="AR17" s="43">
        <v>0.65600000000000003</v>
      </c>
      <c r="AS17" s="43">
        <v>0.65900000000000003</v>
      </c>
      <c r="AT17" s="43">
        <v>0.75800000000000001</v>
      </c>
      <c r="AU17" s="43">
        <v>0.74099999999999999</v>
      </c>
      <c r="AV17" s="43">
        <v>0.436</v>
      </c>
      <c r="AW17" s="43">
        <v>0.82399999999999995</v>
      </c>
      <c r="AX17" s="43">
        <v>0.89900000000000002</v>
      </c>
      <c r="AY17" s="43">
        <v>1.2709999999999999</v>
      </c>
      <c r="AZ17" s="47">
        <v>0.78700000000000003</v>
      </c>
      <c r="BA17" s="43">
        <v>1.081</v>
      </c>
      <c r="BB17" s="43">
        <v>0.65</v>
      </c>
      <c r="BC17" s="43">
        <v>0.88500000000000001</v>
      </c>
      <c r="BD17" s="43">
        <v>1.0569999999999999</v>
      </c>
      <c r="BE17" s="47"/>
      <c r="BF17" s="43">
        <v>0.61599999999999999</v>
      </c>
      <c r="BG17" s="43">
        <v>0.80700000000000005</v>
      </c>
      <c r="BH17" s="43">
        <v>1.1739999999999999</v>
      </c>
      <c r="BI17" s="47">
        <v>0.82499999999999996</v>
      </c>
      <c r="BJ17" s="47">
        <v>1.444</v>
      </c>
      <c r="BK17" s="17"/>
      <c r="BL17" s="17"/>
      <c r="BM17" s="17"/>
      <c r="BN17" s="7"/>
      <c r="BO17" s="47">
        <v>0.81200000000000006</v>
      </c>
      <c r="BP17" s="47">
        <v>0.88300000000000001</v>
      </c>
      <c r="BQ17" s="47">
        <v>0.89500000000000002</v>
      </c>
      <c r="BR17" s="197"/>
      <c r="BS17" s="197"/>
      <c r="BT17" s="197"/>
      <c r="BU17" s="198">
        <v>0.68500000000000005</v>
      </c>
      <c r="BV17" s="198">
        <v>0.69</v>
      </c>
      <c r="BW17" s="107">
        <v>0.79100000000000004</v>
      </c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</row>
    <row r="18" spans="1:119" s="56" customFormat="1" ht="15.75" thickBot="1" x14ac:dyDescent="0.3">
      <c r="A18" s="172"/>
      <c r="B18" s="61"/>
      <c r="C18" s="51">
        <v>6</v>
      </c>
      <c r="D18" s="62"/>
      <c r="E18" s="62">
        <v>1.1200000000000001</v>
      </c>
      <c r="F18" s="62">
        <v>1.7</v>
      </c>
      <c r="G18" s="62">
        <v>1.677</v>
      </c>
      <c r="H18" s="62">
        <v>1.619</v>
      </c>
      <c r="I18" s="62">
        <v>1.6850000000000001</v>
      </c>
      <c r="J18" s="62">
        <v>1.1279999999999999</v>
      </c>
      <c r="K18" s="62">
        <v>1.917</v>
      </c>
      <c r="L18" s="62">
        <v>1.6419999999999999</v>
      </c>
      <c r="M18" s="62">
        <v>1.468</v>
      </c>
      <c r="N18" s="62">
        <v>1.8280000000000001</v>
      </c>
      <c r="O18" s="62">
        <v>1.861</v>
      </c>
      <c r="P18" s="62">
        <v>1.6279999999999999</v>
      </c>
      <c r="Q18" s="62">
        <v>1.6850000000000001</v>
      </c>
      <c r="R18" s="62">
        <v>1.8029999999999999</v>
      </c>
      <c r="S18" s="62">
        <v>1.8859999999999999</v>
      </c>
      <c r="T18" s="63"/>
      <c r="U18" s="63"/>
      <c r="V18" s="63"/>
      <c r="W18" s="12"/>
      <c r="X18" s="62">
        <v>1.1919999999999999</v>
      </c>
      <c r="Y18" s="62">
        <v>0.86799999999999999</v>
      </c>
      <c r="Z18" s="62">
        <v>0.89100000000000001</v>
      </c>
      <c r="AA18" s="62">
        <v>1.206</v>
      </c>
      <c r="AB18" s="62">
        <v>1.3480000000000001</v>
      </c>
      <c r="AC18" s="62">
        <v>1.4990000000000001</v>
      </c>
      <c r="AD18" s="62">
        <v>1.1439999999999999</v>
      </c>
      <c r="AE18" s="62">
        <v>1.4350000000000001</v>
      </c>
      <c r="AF18" s="62">
        <v>1.345</v>
      </c>
      <c r="AG18" s="62">
        <v>1.155</v>
      </c>
      <c r="AH18" s="62">
        <v>1.284</v>
      </c>
      <c r="AI18" s="62">
        <v>1.266</v>
      </c>
      <c r="AJ18" s="62">
        <v>1.1299999999999999</v>
      </c>
      <c r="AK18" s="62">
        <v>1.32</v>
      </c>
      <c r="AL18" s="64">
        <v>1.4239999999999999</v>
      </c>
      <c r="AM18" s="63"/>
      <c r="AN18" s="63"/>
      <c r="AO18" s="63"/>
      <c r="AP18" s="12"/>
      <c r="AQ18" s="65">
        <v>0.68899999999999995</v>
      </c>
      <c r="AR18" s="62">
        <v>0.72099999999999997</v>
      </c>
      <c r="AS18" s="62">
        <v>0.63500000000000001</v>
      </c>
      <c r="AT18" s="62">
        <v>0.86</v>
      </c>
      <c r="AU18" s="62">
        <v>0.68100000000000005</v>
      </c>
      <c r="AV18" s="62">
        <v>0.42</v>
      </c>
      <c r="AW18" s="62">
        <v>0.58299999999999996</v>
      </c>
      <c r="AX18" s="62">
        <v>0.84499999999999997</v>
      </c>
      <c r="AY18" s="62">
        <v>1.272</v>
      </c>
      <c r="AZ18" s="52">
        <v>1.024</v>
      </c>
      <c r="BA18" s="62">
        <v>1.2230000000000001</v>
      </c>
      <c r="BB18" s="62">
        <v>0.85399999999999998</v>
      </c>
      <c r="BC18" s="62">
        <v>0.99299999999999999</v>
      </c>
      <c r="BD18" s="62">
        <v>1.2829999999999999</v>
      </c>
      <c r="BE18" s="52"/>
      <c r="BF18" s="62">
        <v>0.90100000000000002</v>
      </c>
      <c r="BG18" s="62">
        <v>1.099</v>
      </c>
      <c r="BH18" s="62">
        <v>1.431</v>
      </c>
      <c r="BI18" s="52">
        <v>1.0309999999999999</v>
      </c>
      <c r="BJ18" s="52">
        <v>1.548</v>
      </c>
      <c r="BK18" s="53"/>
      <c r="BL18" s="53"/>
      <c r="BM18" s="53"/>
      <c r="BN18" s="12"/>
      <c r="BO18" s="52">
        <v>1.079</v>
      </c>
      <c r="BP18" s="52">
        <v>1.1259999999999999</v>
      </c>
      <c r="BQ18" s="52">
        <v>1.1879999999999999</v>
      </c>
      <c r="BR18" s="53"/>
      <c r="BS18" s="53"/>
      <c r="BT18" s="53"/>
      <c r="BU18" s="199">
        <v>1.1819999999999999</v>
      </c>
      <c r="BV18" s="199">
        <v>0.98</v>
      </c>
      <c r="BW18" s="200">
        <v>1.161</v>
      </c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</row>
    <row r="19" spans="1:119" s="3" customFormat="1" x14ac:dyDescent="0.25">
      <c r="A19" s="175" t="s">
        <v>13</v>
      </c>
      <c r="B19" s="66" t="s">
        <v>14</v>
      </c>
      <c r="C19" s="67"/>
      <c r="D19" s="68"/>
      <c r="E19" s="68">
        <f t="shared" ref="E19:BM23" si="5">E13/SQRT(9.81*(E6/100))</f>
        <v>0.78435330245332069</v>
      </c>
      <c r="F19" s="68">
        <f t="shared" si="5"/>
        <v>0.81942706605160642</v>
      </c>
      <c r="G19" s="68">
        <f t="shared" si="5"/>
        <v>0.83453513562682402</v>
      </c>
      <c r="H19" s="68">
        <f t="shared" si="5"/>
        <v>0.86146506501246845</v>
      </c>
      <c r="I19" s="68">
        <f t="shared" si="5"/>
        <v>0.85769727534105789</v>
      </c>
      <c r="J19" s="68">
        <f t="shared" si="5"/>
        <v>0.78044982977715127</v>
      </c>
      <c r="K19" s="68">
        <f t="shared" si="5"/>
        <v>0.81383352627839889</v>
      </c>
      <c r="L19" s="68">
        <f t="shared" si="5"/>
        <v>0.81023891604529652</v>
      </c>
      <c r="M19" s="68">
        <f t="shared" si="5"/>
        <v>0.73384853910748638</v>
      </c>
      <c r="N19" s="68">
        <f t="shared" si="5"/>
        <v>0.8618407404393239</v>
      </c>
      <c r="O19" s="68">
        <f t="shared" si="5"/>
        <v>0.82673688909594989</v>
      </c>
      <c r="P19" s="68">
        <f t="shared" si="5"/>
        <v>0.75638996181044671</v>
      </c>
      <c r="Q19" s="68">
        <f t="shared" si="5"/>
        <v>0.79521130090998959</v>
      </c>
      <c r="R19" s="68">
        <f t="shared" si="5"/>
        <v>0.84112341494799414</v>
      </c>
      <c r="S19" s="68">
        <f t="shared" si="5"/>
        <v>0.83792776815420433</v>
      </c>
      <c r="T19" s="69">
        <f t="shared" si="5"/>
        <v>0</v>
      </c>
      <c r="U19" s="69">
        <f t="shared" si="5"/>
        <v>0</v>
      </c>
      <c r="V19" s="69">
        <f t="shared" si="5"/>
        <v>0</v>
      </c>
      <c r="W19" s="68"/>
      <c r="X19" s="68">
        <f t="shared" si="5"/>
        <v>0.77684814109240308</v>
      </c>
      <c r="Y19" s="68">
        <f t="shared" si="5"/>
        <v>1.0203282804479976</v>
      </c>
      <c r="Z19" s="68">
        <f t="shared" si="5"/>
        <v>0.75856949003205221</v>
      </c>
      <c r="AA19" s="68">
        <f t="shared" si="5"/>
        <v>0.67479379714990029</v>
      </c>
      <c r="AB19" s="68">
        <f t="shared" si="5"/>
        <v>0.72391012671438226</v>
      </c>
      <c r="AC19" s="68">
        <f t="shared" si="5"/>
        <v>0.72081162534364118</v>
      </c>
      <c r="AD19" s="68">
        <f t="shared" si="5"/>
        <v>0.74965588435903596</v>
      </c>
      <c r="AE19" s="68">
        <f t="shared" si="5"/>
        <v>0.71527949349724917</v>
      </c>
      <c r="AF19" s="68">
        <f t="shared" si="5"/>
        <v>0.75411838628454808</v>
      </c>
      <c r="AG19" s="68">
        <f t="shared" si="5"/>
        <v>0.69935525719941771</v>
      </c>
      <c r="AH19" s="68">
        <f t="shared" si="5"/>
        <v>0.66464416902240253</v>
      </c>
      <c r="AI19" s="68">
        <f t="shared" si="5"/>
        <v>0.70798906906562609</v>
      </c>
      <c r="AJ19" s="68">
        <f t="shared" si="5"/>
        <v>0.6821521996048493</v>
      </c>
      <c r="AK19" s="68">
        <f t="shared" si="5"/>
        <v>0.65949248910599734</v>
      </c>
      <c r="AL19" s="68">
        <f t="shared" si="5"/>
        <v>0.64326227162855809</v>
      </c>
      <c r="AM19" s="69">
        <f t="shared" si="5"/>
        <v>0</v>
      </c>
      <c r="AN19" s="69">
        <f t="shared" si="5"/>
        <v>0</v>
      </c>
      <c r="AO19" s="69">
        <f t="shared" si="5"/>
        <v>0</v>
      </c>
      <c r="AP19" s="68"/>
      <c r="AQ19" s="68">
        <f t="shared" si="5"/>
        <v>0.75338628448222988</v>
      </c>
      <c r="AR19" s="68">
        <f t="shared" si="5"/>
        <v>0.72821399102024598</v>
      </c>
      <c r="AS19" s="68">
        <f t="shared" si="5"/>
        <v>0.64199526760390802</v>
      </c>
      <c r="AT19" s="68">
        <f t="shared" si="5"/>
        <v>0.70128870631432161</v>
      </c>
      <c r="AU19" s="68">
        <f t="shared" si="5"/>
        <v>0.68150534941730545</v>
      </c>
      <c r="AV19" s="68">
        <f t="shared" si="5"/>
        <v>0.59240666762346827</v>
      </c>
      <c r="AW19" s="68">
        <f t="shared" si="5"/>
        <v>0.58171879064646581</v>
      </c>
      <c r="AX19" s="68">
        <f t="shared" si="5"/>
        <v>0.62872967995863915</v>
      </c>
      <c r="AY19" s="68">
        <f t="shared" si="5"/>
        <v>0</v>
      </c>
      <c r="AZ19" s="68">
        <f t="shared" si="5"/>
        <v>0.5969142533831362</v>
      </c>
      <c r="BA19" s="68">
        <f t="shared" si="5"/>
        <v>0</v>
      </c>
      <c r="BB19" s="68">
        <f t="shared" si="5"/>
        <v>0.68951789704342492</v>
      </c>
      <c r="BC19" s="68">
        <f t="shared" si="5"/>
        <v>0.70984200968374045</v>
      </c>
      <c r="BD19" s="68">
        <f t="shared" si="5"/>
        <v>0</v>
      </c>
      <c r="BE19" s="68">
        <f t="shared" si="5"/>
        <v>0</v>
      </c>
      <c r="BF19" s="68">
        <f t="shared" si="5"/>
        <v>0.64911136621479326</v>
      </c>
      <c r="BG19" s="68">
        <f t="shared" si="5"/>
        <v>0.69765955029238236</v>
      </c>
      <c r="BH19" s="68">
        <f t="shared" si="5"/>
        <v>0</v>
      </c>
      <c r="BI19" s="68">
        <f t="shared" si="5"/>
        <v>0.64609901312449669</v>
      </c>
      <c r="BJ19" s="68">
        <f t="shared" si="5"/>
        <v>0</v>
      </c>
      <c r="BK19" s="69">
        <f t="shared" si="5"/>
        <v>0</v>
      </c>
      <c r="BL19" s="69">
        <f t="shared" si="5"/>
        <v>0</v>
      </c>
      <c r="BM19" s="69">
        <f t="shared" si="5"/>
        <v>0</v>
      </c>
      <c r="BN19" s="68"/>
      <c r="BO19" s="201">
        <f t="shared" ref="BO19:BW24" si="6">BO13/SQRT(9.81*(BO6/100))</f>
        <v>0.71053242911470904</v>
      </c>
      <c r="BP19" s="201">
        <f t="shared" si="6"/>
        <v>0.67682085608846176</v>
      </c>
      <c r="BQ19" s="201">
        <f t="shared" si="6"/>
        <v>0.57693261413529018</v>
      </c>
      <c r="BR19" s="69">
        <f t="shared" si="6"/>
        <v>0</v>
      </c>
      <c r="BS19" s="69">
        <f t="shared" si="6"/>
        <v>0</v>
      </c>
      <c r="BT19" s="69">
        <f t="shared" si="6"/>
        <v>0</v>
      </c>
      <c r="BU19" s="202"/>
      <c r="BV19" s="202"/>
      <c r="BW19" s="20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1:119" s="6" customFormat="1" x14ac:dyDescent="0.25">
      <c r="A20" s="176"/>
      <c r="B20" s="13" t="s">
        <v>15</v>
      </c>
      <c r="C20" s="70"/>
      <c r="D20" s="71"/>
      <c r="E20" s="71">
        <f t="shared" si="5"/>
        <v>1.334662945611887</v>
      </c>
      <c r="F20" s="71">
        <f t="shared" si="5"/>
        <v>1.1060867310238933</v>
      </c>
      <c r="G20" s="71">
        <f t="shared" si="5"/>
        <v>1.5436966963480889</v>
      </c>
      <c r="H20" s="71">
        <f t="shared" si="5"/>
        <v>1.1671410132243039</v>
      </c>
      <c r="I20" s="71">
        <f t="shared" si="5"/>
        <v>1.2213714488664023</v>
      </c>
      <c r="J20" s="71">
        <f t="shared" si="5"/>
        <v>1.260206613112562</v>
      </c>
      <c r="K20" s="71">
        <f t="shared" si="5"/>
        <v>1.1479578996851501</v>
      </c>
      <c r="L20" s="71">
        <f t="shared" si="5"/>
        <v>1.4418654935477675</v>
      </c>
      <c r="M20" s="71">
        <f t="shared" si="5"/>
        <v>1.4249874366812103</v>
      </c>
      <c r="N20" s="71">
        <f t="shared" si="5"/>
        <v>1.3624181424917001</v>
      </c>
      <c r="O20" s="71">
        <f t="shared" si="5"/>
        <v>1.2334674050792382</v>
      </c>
      <c r="P20" s="71">
        <f t="shared" si="5"/>
        <v>1.5133655306494191</v>
      </c>
      <c r="Q20" s="71">
        <f t="shared" si="5"/>
        <v>1.5035737244824841</v>
      </c>
      <c r="R20" s="71">
        <f t="shared" si="5"/>
        <v>1.2824119307682267</v>
      </c>
      <c r="S20" s="71">
        <f t="shared" si="5"/>
        <v>1.2473253750459161</v>
      </c>
      <c r="T20" s="72">
        <f t="shared" si="5"/>
        <v>0</v>
      </c>
      <c r="U20" s="72">
        <f t="shared" si="5"/>
        <v>0</v>
      </c>
      <c r="V20" s="72">
        <f t="shared" si="5"/>
        <v>0</v>
      </c>
      <c r="W20" s="71"/>
      <c r="X20" s="71">
        <f t="shared" si="5"/>
        <v>1.1667155158763265</v>
      </c>
      <c r="Y20" s="71">
        <f t="shared" si="5"/>
        <v>0.87131720969945869</v>
      </c>
      <c r="Z20" s="71">
        <f t="shared" si="5"/>
        <v>0.98094201820134652</v>
      </c>
      <c r="AA20" s="71">
        <f t="shared" si="5"/>
        <v>1.1611309013559865</v>
      </c>
      <c r="AB20" s="71">
        <f t="shared" si="5"/>
        <v>1.1245716871337998</v>
      </c>
      <c r="AC20" s="71">
        <f t="shared" si="5"/>
        <v>1.0464628468913455</v>
      </c>
      <c r="AD20" s="71">
        <f t="shared" si="5"/>
        <v>1.1994036760068392</v>
      </c>
      <c r="AE20" s="71">
        <f t="shared" si="5"/>
        <v>1.1152633932347553</v>
      </c>
      <c r="AF20" s="71">
        <f t="shared" si="5"/>
        <v>1.0395925879062939</v>
      </c>
      <c r="AG20" s="71">
        <f t="shared" si="5"/>
        <v>0.99198661903027074</v>
      </c>
      <c r="AH20" s="71">
        <f t="shared" si="5"/>
        <v>1.1098045841714368</v>
      </c>
      <c r="AI20" s="71">
        <f t="shared" si="5"/>
        <v>1.0317586897544369</v>
      </c>
      <c r="AJ20" s="71">
        <f t="shared" si="5"/>
        <v>1.041685838449778</v>
      </c>
      <c r="AK20" s="71">
        <f t="shared" si="5"/>
        <v>1.0961734122061786</v>
      </c>
      <c r="AL20" s="71">
        <f t="shared" si="5"/>
        <v>1.0055990044735352</v>
      </c>
      <c r="AM20" s="72">
        <f t="shared" si="5"/>
        <v>0</v>
      </c>
      <c r="AN20" s="72">
        <f t="shared" si="5"/>
        <v>0</v>
      </c>
      <c r="AO20" s="72">
        <f t="shared" si="5"/>
        <v>0</v>
      </c>
      <c r="AP20" s="71"/>
      <c r="AQ20" s="71">
        <f t="shared" si="5"/>
        <v>0.50232005059662566</v>
      </c>
      <c r="AR20" s="71">
        <f t="shared" si="5"/>
        <v>0.65818398266823352</v>
      </c>
      <c r="AS20" s="71">
        <f t="shared" si="5"/>
        <v>0.71549265686063135</v>
      </c>
      <c r="AT20" s="71">
        <f t="shared" si="5"/>
        <v>0.61322606871280649</v>
      </c>
      <c r="AU20" s="71">
        <f t="shared" si="5"/>
        <v>0.64401394521756716</v>
      </c>
      <c r="AV20" s="71">
        <f t="shared" si="5"/>
        <v>0.59816293203240933</v>
      </c>
      <c r="AW20" s="71">
        <f t="shared" si="5"/>
        <v>0.28123083865228005</v>
      </c>
      <c r="AX20" s="71">
        <f t="shared" si="5"/>
        <v>0.79409854132109681</v>
      </c>
      <c r="AY20" s="71">
        <f t="shared" si="5"/>
        <v>0</v>
      </c>
      <c r="AZ20" s="71">
        <f t="shared" si="5"/>
        <v>0.8338115709427798</v>
      </c>
      <c r="BA20" s="71">
        <f t="shared" si="5"/>
        <v>0</v>
      </c>
      <c r="BB20" s="71">
        <f t="shared" si="5"/>
        <v>0.68656268976673807</v>
      </c>
      <c r="BC20" s="71">
        <f t="shared" si="5"/>
        <v>0.70315010364312336</v>
      </c>
      <c r="BD20" s="71">
        <f t="shared" si="5"/>
        <v>0</v>
      </c>
      <c r="BE20" s="71">
        <f t="shared" si="5"/>
        <v>0</v>
      </c>
      <c r="BF20" s="71">
        <f t="shared" si="5"/>
        <v>0.62111175847327305</v>
      </c>
      <c r="BG20" s="71">
        <f t="shared" si="5"/>
        <v>0.71490272992249682</v>
      </c>
      <c r="BH20" s="71">
        <f t="shared" si="5"/>
        <v>0</v>
      </c>
      <c r="BI20" s="71">
        <f t="shared" si="5"/>
        <v>0.74727515172583925</v>
      </c>
      <c r="BJ20" s="71">
        <f t="shared" si="5"/>
        <v>0</v>
      </c>
      <c r="BK20" s="72">
        <f t="shared" si="5"/>
        <v>0</v>
      </c>
      <c r="BL20" s="72">
        <f t="shared" si="5"/>
        <v>0</v>
      </c>
      <c r="BM20" s="72">
        <f t="shared" si="5"/>
        <v>0</v>
      </c>
      <c r="BN20" s="71"/>
      <c r="BO20" s="204">
        <f t="shared" si="6"/>
        <v>0.54452643091420228</v>
      </c>
      <c r="BP20" s="204">
        <f t="shared" si="6"/>
        <v>0.54378457588250884</v>
      </c>
      <c r="BQ20" s="204">
        <f t="shared" si="6"/>
        <v>0.54802813683020524</v>
      </c>
      <c r="BR20" s="72">
        <f t="shared" si="6"/>
        <v>0</v>
      </c>
      <c r="BS20" s="72">
        <f t="shared" si="6"/>
        <v>0</v>
      </c>
      <c r="BT20" s="72">
        <f t="shared" si="6"/>
        <v>0</v>
      </c>
      <c r="BU20" s="205"/>
      <c r="BV20" s="205"/>
      <c r="BW20" s="206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</row>
    <row r="21" spans="1:119" s="6" customFormat="1" x14ac:dyDescent="0.25">
      <c r="A21" s="176"/>
      <c r="B21" s="13" t="s">
        <v>16</v>
      </c>
      <c r="C21" s="70"/>
      <c r="D21" s="71"/>
      <c r="E21" s="71">
        <f t="shared" si="5"/>
        <v>1.6737590466217787</v>
      </c>
      <c r="F21" s="71">
        <f t="shared" si="5"/>
        <v>1.4558973538663029</v>
      </c>
      <c r="G21" s="71">
        <f t="shared" si="5"/>
        <v>1.9284235875785849</v>
      </c>
      <c r="H21" s="71">
        <f t="shared" si="5"/>
        <v>1.496337507801043</v>
      </c>
      <c r="I21" s="71">
        <f t="shared" si="5"/>
        <v>1.6279026343855654</v>
      </c>
      <c r="J21" s="71">
        <f t="shared" si="5"/>
        <v>1.6001474375057523</v>
      </c>
      <c r="K21" s="71">
        <f t="shared" si="5"/>
        <v>1.4995302620851136</v>
      </c>
      <c r="L21" s="71">
        <f t="shared" si="5"/>
        <v>1.7624472786476364</v>
      </c>
      <c r="M21" s="71">
        <f t="shared" si="5"/>
        <v>1.9364054732887612</v>
      </c>
      <c r="N21" s="71">
        <f t="shared" si="5"/>
        <v>1.6061811759578855</v>
      </c>
      <c r="O21" s="71">
        <f t="shared" si="5"/>
        <v>1.5950072617820945</v>
      </c>
      <c r="P21" s="71">
        <f t="shared" si="5"/>
        <v>1.8773395190334567</v>
      </c>
      <c r="Q21" s="71">
        <f t="shared" si="5"/>
        <v>1.9060743075900912</v>
      </c>
      <c r="R21" s="71">
        <f t="shared" si="5"/>
        <v>1.6315228774568455</v>
      </c>
      <c r="S21" s="71">
        <f t="shared" si="5"/>
        <v>1.5713022706303434</v>
      </c>
      <c r="T21" s="72">
        <f t="shared" si="5"/>
        <v>0</v>
      </c>
      <c r="U21" s="72">
        <f t="shared" si="5"/>
        <v>0</v>
      </c>
      <c r="V21" s="72">
        <f t="shared" si="5"/>
        <v>0</v>
      </c>
      <c r="W21" s="71"/>
      <c r="X21" s="71">
        <f t="shared" si="5"/>
        <v>1.3233966507472241</v>
      </c>
      <c r="Y21" s="71">
        <f t="shared" si="5"/>
        <v>0.99216575047550482</v>
      </c>
      <c r="Z21" s="71">
        <f t="shared" si="5"/>
        <v>1.2178374290088871</v>
      </c>
      <c r="AA21" s="71">
        <f t="shared" si="5"/>
        <v>1.0384045484727915</v>
      </c>
      <c r="AB21" s="71">
        <f t="shared" si="5"/>
        <v>0.97303344632425004</v>
      </c>
      <c r="AC21" s="71">
        <f t="shared" si="5"/>
        <v>1.0257917555673812</v>
      </c>
      <c r="AD21" s="71">
        <f t="shared" si="5"/>
        <v>1.2620278934564237</v>
      </c>
      <c r="AE21" s="71">
        <f t="shared" si="5"/>
        <v>1.0898038143019331</v>
      </c>
      <c r="AF21" s="71">
        <f t="shared" si="5"/>
        <v>1.2155985678173329</v>
      </c>
      <c r="AG21" s="71">
        <f t="shared" si="5"/>
        <v>1.1623555120493201</v>
      </c>
      <c r="AH21" s="71">
        <f t="shared" si="5"/>
        <v>1.0425887473810602</v>
      </c>
      <c r="AI21" s="71">
        <f t="shared" si="5"/>
        <v>1.1246514120850082</v>
      </c>
      <c r="AJ21" s="71">
        <f t="shared" si="5"/>
        <v>1.12356224433163</v>
      </c>
      <c r="AK21" s="71">
        <f t="shared" si="5"/>
        <v>1.4141784958941506</v>
      </c>
      <c r="AL21" s="71">
        <f t="shared" si="5"/>
        <v>1.081321821075458</v>
      </c>
      <c r="AM21" s="72">
        <f t="shared" si="5"/>
        <v>0</v>
      </c>
      <c r="AN21" s="72">
        <f t="shared" si="5"/>
        <v>0</v>
      </c>
      <c r="AO21" s="72">
        <f t="shared" si="5"/>
        <v>0</v>
      </c>
      <c r="AP21" s="71"/>
      <c r="AQ21" s="71">
        <f t="shared" si="5"/>
        <v>1.0074323007566881</v>
      </c>
      <c r="AR21" s="71">
        <f t="shared" si="5"/>
        <v>0.55631029263545972</v>
      </c>
      <c r="AS21" s="71">
        <f t="shared" si="5"/>
        <v>0.66147650331050944</v>
      </c>
      <c r="AT21" s="71">
        <f t="shared" si="5"/>
        <v>0.97228090692260727</v>
      </c>
      <c r="AU21" s="71">
        <f t="shared" si="5"/>
        <v>0.72290048915968996</v>
      </c>
      <c r="AV21" s="71">
        <f t="shared" si="5"/>
        <v>0.50225752298815318</v>
      </c>
      <c r="AW21" s="71">
        <f t="shared" si="5"/>
        <v>0.9631338226318833</v>
      </c>
      <c r="AX21" s="71">
        <f t="shared" si="5"/>
        <v>0.91363405416764865</v>
      </c>
      <c r="AY21" s="71">
        <f t="shared" si="5"/>
        <v>1.0348304082919286</v>
      </c>
      <c r="AZ21" s="71">
        <f t="shared" si="5"/>
        <v>0.67824950620986024</v>
      </c>
      <c r="BA21" s="71">
        <f t="shared" si="5"/>
        <v>1.0073193474976632</v>
      </c>
      <c r="BB21" s="71">
        <f t="shared" si="5"/>
        <v>1.0375746644168238</v>
      </c>
      <c r="BC21" s="71">
        <f t="shared" si="5"/>
        <v>0.82266635386216669</v>
      </c>
      <c r="BD21" s="71">
        <f t="shared" si="5"/>
        <v>1.1642910622577107</v>
      </c>
      <c r="BE21" s="71">
        <f t="shared" si="5"/>
        <v>0</v>
      </c>
      <c r="BF21" s="71">
        <f t="shared" si="5"/>
        <v>0.86973063639922799</v>
      </c>
      <c r="BG21" s="71">
        <f t="shared" si="5"/>
        <v>0.79041315733462503</v>
      </c>
      <c r="BH21" s="71">
        <f t="shared" si="5"/>
        <v>1.2310047495521192</v>
      </c>
      <c r="BI21" s="71">
        <f t="shared" si="5"/>
        <v>0.68895360290022445</v>
      </c>
      <c r="BJ21" s="71">
        <f t="shared" si="5"/>
        <v>0.99983383723881736</v>
      </c>
      <c r="BK21" s="72">
        <f t="shared" si="5"/>
        <v>0</v>
      </c>
      <c r="BL21" s="72">
        <f t="shared" si="5"/>
        <v>0</v>
      </c>
      <c r="BM21" s="72">
        <f t="shared" si="5"/>
        <v>0</v>
      </c>
      <c r="BN21" s="71"/>
      <c r="BO21" s="204">
        <f t="shared" si="6"/>
        <v>0.92170110606873334</v>
      </c>
      <c r="BP21" s="204">
        <f t="shared" si="6"/>
        <v>0.66092729578005771</v>
      </c>
      <c r="BQ21" s="204">
        <f t="shared" si="6"/>
        <v>0.63337114509802439</v>
      </c>
      <c r="BR21" s="72">
        <f t="shared" si="6"/>
        <v>0</v>
      </c>
      <c r="BS21" s="72">
        <f t="shared" si="6"/>
        <v>0</v>
      </c>
      <c r="BT21" s="72">
        <f t="shared" si="6"/>
        <v>0</v>
      </c>
      <c r="BU21" s="205"/>
      <c r="BV21" s="205"/>
      <c r="BW21" s="206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</row>
    <row r="22" spans="1:119" s="11" customFormat="1" ht="15.75" thickBot="1" x14ac:dyDescent="0.3">
      <c r="A22" s="177"/>
      <c r="B22" s="61" t="s">
        <v>17</v>
      </c>
      <c r="C22" s="74"/>
      <c r="D22" s="75"/>
      <c r="E22" s="75">
        <f t="shared" si="5"/>
        <v>1.9955612483430691</v>
      </c>
      <c r="F22" s="75">
        <f t="shared" si="5"/>
        <v>1.6204682752811486</v>
      </c>
      <c r="G22" s="75">
        <f t="shared" si="5"/>
        <v>2.2748374274002345</v>
      </c>
      <c r="H22" s="75">
        <f t="shared" si="5"/>
        <v>1.752822101954707</v>
      </c>
      <c r="I22" s="75">
        <f t="shared" si="5"/>
        <v>1.9798882940766827</v>
      </c>
      <c r="J22" s="75">
        <f t="shared" si="5"/>
        <v>1.6363498682185522</v>
      </c>
      <c r="K22" s="75">
        <f t="shared" si="5"/>
        <v>1.8580197826562825</v>
      </c>
      <c r="L22" s="75">
        <f t="shared" si="5"/>
        <v>2.1281814278460782</v>
      </c>
      <c r="M22" s="75">
        <f t="shared" si="5"/>
        <v>2.2349279988493533</v>
      </c>
      <c r="N22" s="75">
        <f t="shared" si="5"/>
        <v>1.9598514738962733</v>
      </c>
      <c r="O22" s="75">
        <f t="shared" si="5"/>
        <v>1.8580197826562825</v>
      </c>
      <c r="P22" s="75">
        <f t="shared" si="5"/>
        <v>2.1583018960316611</v>
      </c>
      <c r="Q22" s="75">
        <f t="shared" si="5"/>
        <v>2.2652591645480231</v>
      </c>
      <c r="R22" s="75">
        <f t="shared" si="5"/>
        <v>1.95233766632862</v>
      </c>
      <c r="S22" s="75">
        <f t="shared" si="5"/>
        <v>1.8444740734267107</v>
      </c>
      <c r="T22" s="76">
        <f t="shared" si="5"/>
        <v>0</v>
      </c>
      <c r="U22" s="76">
        <f t="shared" si="5"/>
        <v>0</v>
      </c>
      <c r="V22" s="76">
        <f t="shared" si="5"/>
        <v>0</v>
      </c>
      <c r="W22" s="75"/>
      <c r="X22" s="75">
        <f t="shared" si="5"/>
        <v>1.7719786276591303</v>
      </c>
      <c r="Y22" s="75">
        <f t="shared" si="5"/>
        <v>1.3906928142360511</v>
      </c>
      <c r="Z22" s="75">
        <f t="shared" si="5"/>
        <v>1.037907406223689</v>
      </c>
      <c r="AA22" s="75">
        <f t="shared" si="5"/>
        <v>1.7436347202142788</v>
      </c>
      <c r="AB22" s="75">
        <f t="shared" si="5"/>
        <v>1.5010860688049719</v>
      </c>
      <c r="AC22" s="75">
        <f t="shared" si="5"/>
        <v>1.2844833334696539</v>
      </c>
      <c r="AD22" s="75">
        <f t="shared" si="5"/>
        <v>2.0950231233299137</v>
      </c>
      <c r="AE22" s="75">
        <f t="shared" si="5"/>
        <v>1.3864186958121176</v>
      </c>
      <c r="AF22" s="75">
        <f t="shared" si="5"/>
        <v>1.2377244107913323</v>
      </c>
      <c r="AG22" s="75">
        <f t="shared" si="5"/>
        <v>1.6042030131539651</v>
      </c>
      <c r="AH22" s="75">
        <f t="shared" si="5"/>
        <v>1.5247459192765038</v>
      </c>
      <c r="AI22" s="75">
        <f t="shared" si="5"/>
        <v>1.1745450219587141</v>
      </c>
      <c r="AJ22" s="75">
        <f t="shared" si="5"/>
        <v>1.9226010598151075</v>
      </c>
      <c r="AK22" s="75">
        <f t="shared" si="5"/>
        <v>1.8257612447352505</v>
      </c>
      <c r="AL22" s="75">
        <f t="shared" si="5"/>
        <v>1.3353281592881285</v>
      </c>
      <c r="AM22" s="76">
        <f t="shared" si="5"/>
        <v>0</v>
      </c>
      <c r="AN22" s="76">
        <f t="shared" si="5"/>
        <v>0</v>
      </c>
      <c r="AO22" s="76">
        <f t="shared" si="5"/>
        <v>0</v>
      </c>
      <c r="AP22" s="75"/>
      <c r="AQ22" s="75">
        <f t="shared" si="5"/>
        <v>0.95094351986942494</v>
      </c>
      <c r="AR22" s="75">
        <f t="shared" si="5"/>
        <v>0.56247538708960687</v>
      </c>
      <c r="AS22" s="75">
        <f t="shared" si="5"/>
        <v>0.64055979701414179</v>
      </c>
      <c r="AT22" s="75">
        <f t="shared" si="5"/>
        <v>0.88762954066670352</v>
      </c>
      <c r="AU22" s="75">
        <f t="shared" si="5"/>
        <v>0.56034884285422903</v>
      </c>
      <c r="AV22" s="75">
        <f t="shared" si="5"/>
        <v>0.519831884032117</v>
      </c>
      <c r="AW22" s="75">
        <f t="shared" si="5"/>
        <v>1.1579807726938494</v>
      </c>
      <c r="AX22" s="75">
        <f t="shared" si="5"/>
        <v>0.98011958794213772</v>
      </c>
      <c r="AY22" s="75">
        <f t="shared" si="5"/>
        <v>1.3206974559309699</v>
      </c>
      <c r="AZ22" s="75">
        <f t="shared" si="5"/>
        <v>0.84232018245944884</v>
      </c>
      <c r="BA22" s="75">
        <f t="shared" si="5"/>
        <v>1.1705843907093596</v>
      </c>
      <c r="BB22" s="75">
        <f t="shared" si="5"/>
        <v>0.74904515047144138</v>
      </c>
      <c r="BC22" s="75">
        <f t="shared" si="5"/>
        <v>1.0018319561993558</v>
      </c>
      <c r="BD22" s="75">
        <f t="shared" si="5"/>
        <v>1.268913263106485</v>
      </c>
      <c r="BE22" s="75">
        <f t="shared" si="5"/>
        <v>0</v>
      </c>
      <c r="BF22" s="75">
        <f t="shared" si="5"/>
        <v>0.69384105624693448</v>
      </c>
      <c r="BG22" s="75">
        <f t="shared" si="5"/>
        <v>0.95589631323566671</v>
      </c>
      <c r="BH22" s="75">
        <f t="shared" si="5"/>
        <v>1.3728761400799268</v>
      </c>
      <c r="BI22" s="75">
        <f t="shared" si="5"/>
        <v>0.69852589259269304</v>
      </c>
      <c r="BJ22" s="75">
        <f t="shared" si="5"/>
        <v>1.2794973581982985</v>
      </c>
      <c r="BK22" s="76">
        <f t="shared" si="5"/>
        <v>0</v>
      </c>
      <c r="BL22" s="76">
        <f t="shared" si="5"/>
        <v>0</v>
      </c>
      <c r="BM22" s="76">
        <f t="shared" si="5"/>
        <v>0</v>
      </c>
      <c r="BN22" s="75"/>
      <c r="BO22" s="207">
        <f t="shared" si="6"/>
        <v>0.99143906491272515</v>
      </c>
      <c r="BP22" s="207">
        <f t="shared" si="6"/>
        <v>0.76867175641697016</v>
      </c>
      <c r="BQ22" s="207">
        <f t="shared" si="6"/>
        <v>0.68753584870378825</v>
      </c>
      <c r="BR22" s="76">
        <f t="shared" si="6"/>
        <v>0</v>
      </c>
      <c r="BS22" s="76">
        <f t="shared" si="6"/>
        <v>0</v>
      </c>
      <c r="BT22" s="76">
        <f t="shared" si="6"/>
        <v>0</v>
      </c>
      <c r="BU22" s="208"/>
      <c r="BV22" s="208"/>
      <c r="BW22" s="209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</row>
    <row r="23" spans="1:119" s="6" customFormat="1" x14ac:dyDescent="0.25">
      <c r="A23" s="77"/>
      <c r="B23" s="13" t="s">
        <v>18</v>
      </c>
      <c r="C23" s="70"/>
      <c r="D23" s="71"/>
      <c r="E23" s="71">
        <f t="shared" si="5"/>
        <v>2.0237158768455101</v>
      </c>
      <c r="F23" s="71">
        <f t="shared" si="5"/>
        <v>1.6230306601447206</v>
      </c>
      <c r="G23" s="71">
        <f t="shared" si="5"/>
        <v>2.2967502538140847</v>
      </c>
      <c r="H23" s="71">
        <f t="shared" ref="H23:BM23" si="7">H17/SQRT(9.81*(H10/100))</f>
        <v>1.7772998847992476</v>
      </c>
      <c r="I23" s="71">
        <f t="shared" si="7"/>
        <v>2.196290466007885</v>
      </c>
      <c r="J23" s="71">
        <f t="shared" si="7"/>
        <v>1.1078458647640266</v>
      </c>
      <c r="K23" s="71">
        <f t="shared" si="7"/>
        <v>2.127496178222203</v>
      </c>
      <c r="L23" s="71">
        <f t="shared" si="7"/>
        <v>2.4424570273139361</v>
      </c>
      <c r="M23" s="71">
        <f t="shared" si="7"/>
        <v>2.4504389130241124</v>
      </c>
      <c r="N23" s="71">
        <f t="shared" si="7"/>
        <v>2.1936835930511989</v>
      </c>
      <c r="O23" s="71">
        <f t="shared" si="7"/>
        <v>2.0052259281103177</v>
      </c>
      <c r="P23" s="71">
        <f t="shared" si="7"/>
        <v>2.5957092329493201</v>
      </c>
      <c r="Q23" s="71">
        <f t="shared" si="7"/>
        <v>2.4679990615865002</v>
      </c>
      <c r="R23" s="71">
        <f t="shared" si="7"/>
        <v>2.2028076483995993</v>
      </c>
      <c r="S23" s="71">
        <f t="shared" si="7"/>
        <v>2.037869140893509</v>
      </c>
      <c r="T23" s="72">
        <f t="shared" si="7"/>
        <v>0</v>
      </c>
      <c r="U23" s="72">
        <f t="shared" si="7"/>
        <v>0</v>
      </c>
      <c r="V23" s="72">
        <f t="shared" si="7"/>
        <v>0</v>
      </c>
      <c r="W23" s="71"/>
      <c r="X23" s="71">
        <f t="shared" si="7"/>
        <v>1.8502011076188576</v>
      </c>
      <c r="Y23" s="71">
        <f t="shared" si="7"/>
        <v>1.6665185604792185</v>
      </c>
      <c r="Z23" s="71">
        <f t="shared" si="7"/>
        <v>1.3377697599673033</v>
      </c>
      <c r="AA23" s="71">
        <f t="shared" si="7"/>
        <v>1.8182735647781525</v>
      </c>
      <c r="AB23" s="71">
        <f t="shared" si="7"/>
        <v>1.5241413790204501</v>
      </c>
      <c r="AC23" s="71">
        <f t="shared" si="7"/>
        <v>1.4514571398240383</v>
      </c>
      <c r="AD23" s="71">
        <f t="shared" si="7"/>
        <v>1.8728776639542246</v>
      </c>
      <c r="AE23" s="71">
        <f t="shared" si="7"/>
        <v>1.335986263524886</v>
      </c>
      <c r="AF23" s="71">
        <f t="shared" si="7"/>
        <v>1.4230836458506408</v>
      </c>
      <c r="AG23" s="71">
        <f t="shared" si="7"/>
        <v>1.4920960634587823</v>
      </c>
      <c r="AH23" s="71">
        <f t="shared" si="7"/>
        <v>1.7224393218062048</v>
      </c>
      <c r="AI23" s="71">
        <f t="shared" si="7"/>
        <v>1.6658169767482416</v>
      </c>
      <c r="AJ23" s="71">
        <f t="shared" si="7"/>
        <v>1.2775217438035542</v>
      </c>
      <c r="AK23" s="71">
        <f t="shared" si="7"/>
        <v>1.8386797469749514</v>
      </c>
      <c r="AL23" s="71">
        <f t="shared" si="7"/>
        <v>1.7737278332542925</v>
      </c>
      <c r="AM23" s="72">
        <f t="shared" si="7"/>
        <v>0</v>
      </c>
      <c r="AN23" s="72">
        <f t="shared" si="7"/>
        <v>0</v>
      </c>
      <c r="AO23" s="72">
        <f t="shared" si="7"/>
        <v>0</v>
      </c>
      <c r="AP23" s="71"/>
      <c r="AQ23" s="71">
        <f t="shared" si="7"/>
        <v>1.0794494009328608</v>
      </c>
      <c r="AR23" s="71">
        <f t="shared" si="7"/>
        <v>0.66232223587815175</v>
      </c>
      <c r="AS23" s="71">
        <f t="shared" si="7"/>
        <v>0.58355156048410406</v>
      </c>
      <c r="AT23" s="71">
        <f t="shared" si="7"/>
        <v>1.0823050871787148</v>
      </c>
      <c r="AU23" s="71">
        <f t="shared" si="7"/>
        <v>0.76757690945377288</v>
      </c>
      <c r="AV23" s="71">
        <f t="shared" si="7"/>
        <v>0.38608267127628126</v>
      </c>
      <c r="AW23" s="71">
        <f t="shared" si="7"/>
        <v>1.2837133651572326</v>
      </c>
      <c r="AX23" s="71">
        <f t="shared" si="7"/>
        <v>0.96757324739006789</v>
      </c>
      <c r="AY23" s="71">
        <f t="shared" si="7"/>
        <v>1.3679483842411304</v>
      </c>
      <c r="AZ23" s="71">
        <f t="shared" si="7"/>
        <v>0.75760683839495568</v>
      </c>
      <c r="BA23" s="71">
        <f t="shared" si="7"/>
        <v>1.0406264197013304</v>
      </c>
      <c r="BB23" s="71">
        <f t="shared" si="7"/>
        <v>0.93752058649999703</v>
      </c>
      <c r="BC23" s="71">
        <f t="shared" si="7"/>
        <v>0.93156862533557505</v>
      </c>
      <c r="BD23" s="71">
        <f t="shared" si="7"/>
        <v>1.112619250824523</v>
      </c>
      <c r="BE23" s="71">
        <f t="shared" si="7"/>
        <v>0</v>
      </c>
      <c r="BF23" s="71">
        <f t="shared" si="7"/>
        <v>0.8884810481292279</v>
      </c>
      <c r="BG23" s="71">
        <f t="shared" si="7"/>
        <v>0.9109489456887121</v>
      </c>
      <c r="BH23" s="71">
        <f t="shared" si="7"/>
        <v>1.3252218862931202</v>
      </c>
      <c r="BI23" s="71">
        <f t="shared" si="7"/>
        <v>0.79060208522476627</v>
      </c>
      <c r="BJ23" s="71">
        <f t="shared" si="7"/>
        <v>1.3837932255328029</v>
      </c>
      <c r="BK23" s="72">
        <f t="shared" si="7"/>
        <v>0</v>
      </c>
      <c r="BL23" s="72">
        <f t="shared" si="7"/>
        <v>0</v>
      </c>
      <c r="BM23" s="72">
        <f t="shared" si="7"/>
        <v>0</v>
      </c>
      <c r="BN23" s="71"/>
      <c r="BO23" s="204">
        <f t="shared" si="6"/>
        <v>0.89987560667464273</v>
      </c>
      <c r="BP23" s="204">
        <f t="shared" si="6"/>
        <v>0.81383352627839889</v>
      </c>
      <c r="BQ23" s="204">
        <f t="shared" si="6"/>
        <v>0.73780722218733452</v>
      </c>
      <c r="BR23" s="72">
        <f t="shared" si="6"/>
        <v>0</v>
      </c>
      <c r="BS23" s="72">
        <f t="shared" si="6"/>
        <v>0</v>
      </c>
      <c r="BT23" s="72">
        <f t="shared" si="6"/>
        <v>0</v>
      </c>
      <c r="BU23" s="205"/>
      <c r="BV23" s="205"/>
      <c r="BW23" s="206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</row>
    <row r="24" spans="1:119" s="84" customFormat="1" x14ac:dyDescent="0.25">
      <c r="A24" s="78"/>
      <c r="B24" s="79" t="s">
        <v>19</v>
      </c>
      <c r="C24" s="80"/>
      <c r="D24" s="81"/>
      <c r="E24" s="81">
        <f t="shared" ref="E24:BM24" si="8">E18/SQRT(9.81*(E11/100))</f>
        <v>1.0322690254040847</v>
      </c>
      <c r="F24" s="81">
        <f t="shared" si="8"/>
        <v>1.5668369135597713</v>
      </c>
      <c r="G24" s="81">
        <f t="shared" si="8"/>
        <v>1.8930128648326769</v>
      </c>
      <c r="H24" s="81">
        <f t="shared" si="8"/>
        <v>1.6346032010468408</v>
      </c>
      <c r="I24" s="81">
        <f t="shared" si="8"/>
        <v>2.1101276252493424</v>
      </c>
      <c r="J24" s="81">
        <f t="shared" si="8"/>
        <v>0.92988440963945607</v>
      </c>
      <c r="K24" s="81">
        <f t="shared" si="8"/>
        <v>2.3133353225479087</v>
      </c>
      <c r="L24" s="81">
        <f t="shared" si="8"/>
        <v>2.6212512672218842</v>
      </c>
      <c r="M24" s="81">
        <f t="shared" si="8"/>
        <v>2.3434816445077504</v>
      </c>
      <c r="N24" s="81">
        <f t="shared" si="8"/>
        <v>2.3826818824109277</v>
      </c>
      <c r="O24" s="81">
        <f t="shared" si="8"/>
        <v>2.1696078210542451</v>
      </c>
      <c r="P24" s="81">
        <f t="shared" si="8"/>
        <v>2.5989019872333907</v>
      </c>
      <c r="Q24" s="81">
        <f t="shared" si="8"/>
        <v>2.6898954843294005</v>
      </c>
      <c r="R24" s="81">
        <f t="shared" si="8"/>
        <v>2.3500959704523536</v>
      </c>
      <c r="S24" s="81">
        <f t="shared" si="8"/>
        <v>2.2759261441446821</v>
      </c>
      <c r="T24" s="82">
        <f t="shared" si="8"/>
        <v>0</v>
      </c>
      <c r="U24" s="82">
        <f t="shared" si="8"/>
        <v>0</v>
      </c>
      <c r="V24" s="82">
        <f t="shared" si="8"/>
        <v>0</v>
      </c>
      <c r="W24" s="81"/>
      <c r="X24" s="81">
        <f t="shared" si="8"/>
        <v>1.9028815533060208</v>
      </c>
      <c r="Y24" s="81">
        <f t="shared" si="8"/>
        <v>0.80000849468816559</v>
      </c>
      <c r="Z24" s="81">
        <f t="shared" si="8"/>
        <v>0.85772260865299299</v>
      </c>
      <c r="AA24" s="81">
        <f t="shared" si="8"/>
        <v>2.1869152708539148</v>
      </c>
      <c r="AB24" s="81">
        <f t="shared" si="8"/>
        <v>1.757032372806308</v>
      </c>
      <c r="AC24" s="81">
        <f t="shared" si="8"/>
        <v>1.7360424204448437</v>
      </c>
      <c r="AD24" s="81">
        <f t="shared" si="8"/>
        <v>1.9808521548412463</v>
      </c>
      <c r="AE24" s="81">
        <f t="shared" si="8"/>
        <v>1.8704313464221451</v>
      </c>
      <c r="AF24" s="81">
        <f t="shared" si="8"/>
        <v>1.5088472345123882</v>
      </c>
      <c r="AG24" s="81">
        <f t="shared" si="8"/>
        <v>2.1290548648959247</v>
      </c>
      <c r="AH24" s="81">
        <f t="shared" si="8"/>
        <v>1.6877360003026132</v>
      </c>
      <c r="AI24" s="81">
        <f t="shared" si="8"/>
        <v>1.4566453922901137</v>
      </c>
      <c r="AJ24" s="81">
        <f t="shared" si="8"/>
        <v>2.0168284111344783</v>
      </c>
      <c r="AK24" s="81">
        <f t="shared" si="8"/>
        <v>1.7652328453293404</v>
      </c>
      <c r="AL24" s="81">
        <f t="shared" si="8"/>
        <v>1.6827285201856026</v>
      </c>
      <c r="AM24" s="82">
        <f t="shared" si="8"/>
        <v>0</v>
      </c>
      <c r="AN24" s="82">
        <f t="shared" si="8"/>
        <v>0</v>
      </c>
      <c r="AO24" s="82">
        <f t="shared" si="8"/>
        <v>0</v>
      </c>
      <c r="AP24" s="81"/>
      <c r="AQ24" s="81">
        <f t="shared" si="8"/>
        <v>0.98378391169674728</v>
      </c>
      <c r="AR24" s="81">
        <f t="shared" si="8"/>
        <v>0.72794867693315146</v>
      </c>
      <c r="AS24" s="81">
        <f t="shared" si="8"/>
        <v>0.56229930334962985</v>
      </c>
      <c r="AT24" s="81">
        <f t="shared" si="8"/>
        <v>1.2943677708257619</v>
      </c>
      <c r="AU24" s="81">
        <f t="shared" si="8"/>
        <v>0.68756317474545936</v>
      </c>
      <c r="AV24" s="81">
        <f t="shared" si="8"/>
        <v>0.34623355678064854</v>
      </c>
      <c r="AW24" s="81">
        <f t="shared" si="8"/>
        <v>0.96768317265996451</v>
      </c>
      <c r="AX24" s="81">
        <f t="shared" si="8"/>
        <v>0.92536430369956013</v>
      </c>
      <c r="AY24" s="81">
        <f t="shared" si="8"/>
        <v>1.3929744311311723</v>
      </c>
      <c r="AZ24" s="81">
        <f t="shared" si="8"/>
        <v>0.99026676575303374</v>
      </c>
      <c r="BA24" s="81">
        <f t="shared" si="8"/>
        <v>1.1827111860507424</v>
      </c>
      <c r="BB24" s="81">
        <f t="shared" si="8"/>
        <v>1.5009505940836989</v>
      </c>
      <c r="BC24" s="81">
        <f t="shared" si="8"/>
        <v>1.0810991333063975</v>
      </c>
      <c r="BD24" s="81">
        <f t="shared" si="8"/>
        <v>1.3968279839195448</v>
      </c>
      <c r="BE24" s="81">
        <f t="shared" si="8"/>
        <v>0</v>
      </c>
      <c r="BF24" s="81">
        <f t="shared" si="8"/>
        <v>1.2738115992900594</v>
      </c>
      <c r="BG24" s="81">
        <f t="shared" si="8"/>
        <v>1.2328796362298251</v>
      </c>
      <c r="BH24" s="81">
        <f t="shared" si="8"/>
        <v>1.6053237119607642</v>
      </c>
      <c r="BI24" s="81">
        <f t="shared" si="8"/>
        <v>0.97067812243481411</v>
      </c>
      <c r="BJ24" s="81">
        <f t="shared" si="8"/>
        <v>1.4574294214637171</v>
      </c>
      <c r="BK24" s="82">
        <f t="shared" si="8"/>
        <v>0</v>
      </c>
      <c r="BL24" s="82">
        <f t="shared" si="8"/>
        <v>0</v>
      </c>
      <c r="BM24" s="82">
        <f t="shared" si="8"/>
        <v>0</v>
      </c>
      <c r="BN24" s="81"/>
      <c r="BO24" s="210">
        <f t="shared" si="6"/>
        <v>1.302080757970367</v>
      </c>
      <c r="BP24" s="210">
        <f t="shared" si="6"/>
        <v>1.0510199409448477</v>
      </c>
      <c r="BQ24" s="210">
        <f t="shared" si="6"/>
        <v>1.0173597154924523</v>
      </c>
      <c r="BR24" s="82">
        <f t="shared" si="6"/>
        <v>0</v>
      </c>
      <c r="BS24" s="82">
        <f t="shared" si="6"/>
        <v>0</v>
      </c>
      <c r="BT24" s="82">
        <f t="shared" si="6"/>
        <v>0</v>
      </c>
      <c r="BU24" s="211"/>
      <c r="BV24" s="211"/>
      <c r="BW24" s="212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</row>
    <row r="25" spans="1:119" s="6" customFormat="1" x14ac:dyDescent="0.25">
      <c r="A25" s="180" t="s">
        <v>20</v>
      </c>
      <c r="B25" s="14" t="s">
        <v>21</v>
      </c>
      <c r="C25" s="70"/>
      <c r="D25" s="71"/>
      <c r="E25" s="71">
        <f>E67/((0.5*(E6*((1/10)*E6)))/100)</f>
        <v>0.90978308928461871</v>
      </c>
      <c r="F25" s="71">
        <f t="shared" ref="F25:BM25" si="9">F67/((0.5*(F6*((1/10)*F6)))/100)</f>
        <v>1.1424228731880064</v>
      </c>
      <c r="G25" s="71">
        <f t="shared" si="9"/>
        <v>0.69763128507023686</v>
      </c>
      <c r="H25" s="71">
        <f t="shared" si="9"/>
        <v>1.0406773037848487</v>
      </c>
      <c r="I25" s="71">
        <f t="shared" si="9"/>
        <v>0.9356696256504724</v>
      </c>
      <c r="J25" s="71">
        <f t="shared" si="9"/>
        <v>0.96434970599776582</v>
      </c>
      <c r="K25" s="71">
        <f t="shared" si="9"/>
        <v>1.0665334274898495</v>
      </c>
      <c r="L25" s="71">
        <f t="shared" si="9"/>
        <v>0.7636127671439642</v>
      </c>
      <c r="M25" s="71">
        <f t="shared" si="9"/>
        <v>0.76370685675704419</v>
      </c>
      <c r="N25" s="71">
        <f t="shared" si="9"/>
        <v>0.93756832492973774</v>
      </c>
      <c r="O25" s="71">
        <f t="shared" si="9"/>
        <v>1.0672190119296188</v>
      </c>
      <c r="P25" s="71">
        <f t="shared" si="9"/>
        <v>0.7636127671439642</v>
      </c>
      <c r="Q25" s="71">
        <f t="shared" si="9"/>
        <v>0.76370685675704419</v>
      </c>
      <c r="R25" s="71">
        <f t="shared" si="9"/>
        <v>0.93756832492973774</v>
      </c>
      <c r="S25" s="71">
        <f t="shared" si="9"/>
        <v>1.0412355993984679</v>
      </c>
      <c r="T25" s="72">
        <f t="shared" si="9"/>
        <v>0.70250844271445079</v>
      </c>
      <c r="U25" s="72">
        <f t="shared" si="9"/>
        <v>0.93200446075532239</v>
      </c>
      <c r="V25" s="72">
        <f t="shared" si="9"/>
        <v>1.0653215557565614</v>
      </c>
      <c r="W25" s="71"/>
      <c r="X25" s="71">
        <f t="shared" si="9"/>
        <v>0.73126898317781308</v>
      </c>
      <c r="Y25" s="71">
        <f t="shared" si="9"/>
        <v>0.93724594401957728</v>
      </c>
      <c r="Z25" s="71">
        <f t="shared" si="9"/>
        <v>1.0147557195297352</v>
      </c>
      <c r="AA25" s="71">
        <f t="shared" si="9"/>
        <v>0.73790437405476128</v>
      </c>
      <c r="AB25" s="71">
        <f t="shared" si="9"/>
        <v>0.96434970599776582</v>
      </c>
      <c r="AC25" s="71">
        <f t="shared" si="9"/>
        <v>1.0872359802373146</v>
      </c>
      <c r="AD25" s="71">
        <f t="shared" si="9"/>
        <v>0.757324814244689</v>
      </c>
      <c r="AE25" s="71">
        <f t="shared" si="9"/>
        <v>0.98095676205392068</v>
      </c>
      <c r="AF25" s="71">
        <f t="shared" si="9"/>
        <v>1.0768790478102559</v>
      </c>
      <c r="AG25" s="71">
        <f t="shared" si="9"/>
        <v>0.73783422898135775</v>
      </c>
      <c r="AH25" s="71">
        <f t="shared" si="9"/>
        <v>0.95895252683343035</v>
      </c>
      <c r="AI25" s="71">
        <f t="shared" si="9"/>
        <v>1.0924207209698527</v>
      </c>
      <c r="AJ25" s="71">
        <f t="shared" si="9"/>
        <v>0.74434957387293599</v>
      </c>
      <c r="AK25" s="71">
        <f t="shared" si="9"/>
        <v>0.94269198101617158</v>
      </c>
      <c r="AL25" s="71">
        <f t="shared" si="9"/>
        <v>1.1046712535174084</v>
      </c>
      <c r="AM25" s="72">
        <f t="shared" si="9"/>
        <v>0.70996522923172523</v>
      </c>
      <c r="AN25" s="72">
        <f t="shared" si="9"/>
        <v>0.96636926030996628</v>
      </c>
      <c r="AO25" s="72">
        <f t="shared" si="9"/>
        <v>1.0941213354328634</v>
      </c>
      <c r="AP25" s="71"/>
      <c r="AQ25" s="71">
        <f t="shared" si="9"/>
        <v>0.73126898317781308</v>
      </c>
      <c r="AR25" s="71">
        <f t="shared" si="9"/>
        <v>0.93724594401957728</v>
      </c>
      <c r="AS25" s="71">
        <f t="shared" si="9"/>
        <v>1.1184407257044164</v>
      </c>
      <c r="AT25" s="71">
        <f t="shared" si="9"/>
        <v>0.7636127671439642</v>
      </c>
      <c r="AU25" s="71">
        <f t="shared" si="9"/>
        <v>0.96434970599776582</v>
      </c>
      <c r="AV25" s="71">
        <f t="shared" si="9"/>
        <v>1.1184407257044164</v>
      </c>
      <c r="AW25" s="71">
        <f t="shared" si="9"/>
        <v>0.73783422898135775</v>
      </c>
      <c r="AX25" s="71">
        <f t="shared" si="9"/>
        <v>0.98048420351289467</v>
      </c>
      <c r="AY25" s="71">
        <f t="shared" si="9"/>
        <v>0.98048420351289467</v>
      </c>
      <c r="AZ25" s="71">
        <f t="shared" si="9"/>
        <v>1.0924207209698527</v>
      </c>
      <c r="BA25" s="71">
        <f t="shared" si="9"/>
        <v>1.0924207209698527</v>
      </c>
      <c r="BB25" s="71">
        <f t="shared" si="9"/>
        <v>0.73126898317781308</v>
      </c>
      <c r="BC25" s="71">
        <f t="shared" si="9"/>
        <v>0.95354441619145369</v>
      </c>
      <c r="BD25" s="71">
        <f t="shared" si="9"/>
        <v>0.95354441619145369</v>
      </c>
      <c r="BE25" s="71">
        <f t="shared" si="9"/>
        <v>1.0924207209698527</v>
      </c>
      <c r="BF25" s="71">
        <f t="shared" si="9"/>
        <v>0.73126898317781308</v>
      </c>
      <c r="BG25" s="71">
        <f t="shared" si="9"/>
        <v>0.96434970599776615</v>
      </c>
      <c r="BH25" s="71">
        <f t="shared" si="9"/>
        <v>0.96434970599776615</v>
      </c>
      <c r="BI25" s="71">
        <f t="shared" si="9"/>
        <v>1.1080100396276666</v>
      </c>
      <c r="BJ25" s="71">
        <f t="shared" si="9"/>
        <v>1.1080100396276666</v>
      </c>
      <c r="BK25" s="72">
        <f t="shared" si="9"/>
        <v>0.73257472149217651</v>
      </c>
      <c r="BL25" s="72">
        <f t="shared" si="9"/>
        <v>0.96109720953309841</v>
      </c>
      <c r="BM25" s="72">
        <f t="shared" si="9"/>
        <v>1.1003013461752822</v>
      </c>
      <c r="BN25" s="71"/>
      <c r="BO25" s="204">
        <f t="shared" ref="BO25:BW25" si="10">BO67/((0.5*(BO6*((1/10)*BO6)))/100)</f>
        <v>0.75732481424469034</v>
      </c>
      <c r="BP25" s="204">
        <f t="shared" si="10"/>
        <v>0.95934413132226626</v>
      </c>
      <c r="BQ25" s="204">
        <f>BQ67/((0.5*(BQ6*((1/10)*BQ6)))/100)</f>
        <v>1.1341611660247597</v>
      </c>
      <c r="BR25" s="72">
        <f t="shared" si="10"/>
        <v>0.73924089256588732</v>
      </c>
      <c r="BS25" s="72">
        <f t="shared" si="10"/>
        <v>0.99014453224586463</v>
      </c>
      <c r="BT25" s="72">
        <f t="shared" si="10"/>
        <v>1.1579735323079812</v>
      </c>
      <c r="BU25" s="205"/>
      <c r="BV25" s="205"/>
      <c r="BW25" s="206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</row>
    <row r="26" spans="1:119" s="6" customFormat="1" x14ac:dyDescent="0.25">
      <c r="A26" s="178"/>
      <c r="B26" s="14" t="s">
        <v>22</v>
      </c>
      <c r="C26" s="70"/>
      <c r="D26" s="71"/>
      <c r="E26" s="71">
        <f>E67/((0.5*(E7*((1/10)*E7)))/100)</f>
        <v>1.503927147592941</v>
      </c>
      <c r="F26" s="71">
        <f t="shared" ref="F26:BM26" si="11">F67/((0.5*(F7*((1/10)*F7)))/100)</f>
        <v>1.7207154432935057</v>
      </c>
      <c r="G26" s="71">
        <f t="shared" si="11"/>
        <v>1.3189591483359167</v>
      </c>
      <c r="H26" s="71">
        <f t="shared" si="11"/>
        <v>1.3762957342554623</v>
      </c>
      <c r="I26" s="71">
        <f t="shared" si="11"/>
        <v>1.3194403705461739</v>
      </c>
      <c r="J26" s="71">
        <f t="shared" si="11"/>
        <v>1.9680606244852363</v>
      </c>
      <c r="K26" s="71">
        <f t="shared" si="11"/>
        <v>1.5358081355853832</v>
      </c>
      <c r="L26" s="71">
        <f t="shared" si="11"/>
        <v>1.5932167610781476</v>
      </c>
      <c r="M26" s="71">
        <f t="shared" si="11"/>
        <v>1.2906645879194047</v>
      </c>
      <c r="N26" s="71">
        <f t="shared" si="11"/>
        <v>1.7268477821409964</v>
      </c>
      <c r="O26" s="71">
        <f t="shared" si="11"/>
        <v>1.8972782434304334</v>
      </c>
      <c r="P26" s="71">
        <f t="shared" si="11"/>
        <v>2.0164149632395305</v>
      </c>
      <c r="Q26" s="71">
        <f t="shared" si="11"/>
        <v>1.593413071505438</v>
      </c>
      <c r="R26" s="71">
        <f t="shared" si="11"/>
        <v>1.5042762902206013</v>
      </c>
      <c r="S26" s="71">
        <f t="shared" si="11"/>
        <v>1.9059295227743582</v>
      </c>
      <c r="T26" s="72">
        <f t="shared" si="11"/>
        <v>1.4256352446917253</v>
      </c>
      <c r="U26" s="72">
        <f t="shared" si="11"/>
        <v>1.3262373765160831</v>
      </c>
      <c r="V26" s="72">
        <f t="shared" si="11"/>
        <v>1.4034845495881958</v>
      </c>
      <c r="W26" s="71"/>
      <c r="X26" s="71">
        <f t="shared" si="11"/>
        <v>0.87027052543475281</v>
      </c>
      <c r="Y26" s="71">
        <f t="shared" si="11"/>
        <v>0.84586446447766839</v>
      </c>
      <c r="Z26" s="71">
        <f t="shared" si="11"/>
        <v>1.0147557195297352</v>
      </c>
      <c r="AA26" s="71">
        <f t="shared" si="11"/>
        <v>1.2976097239403432</v>
      </c>
      <c r="AB26" s="71">
        <f t="shared" si="11"/>
        <v>1.545184595413821</v>
      </c>
      <c r="AC26" s="71">
        <f t="shared" si="11"/>
        <v>1.5456120961657684</v>
      </c>
      <c r="AD26" s="71">
        <f t="shared" si="11"/>
        <v>1.6022739871623175</v>
      </c>
      <c r="AE26" s="71">
        <f t="shared" si="11"/>
        <v>1.6260891075984447</v>
      </c>
      <c r="AF26" s="71">
        <f t="shared" si="11"/>
        <v>1.5108179609395649</v>
      </c>
      <c r="AG26" s="71">
        <f t="shared" si="11"/>
        <v>0.94152303362127265</v>
      </c>
      <c r="AH26" s="71">
        <f t="shared" si="11"/>
        <v>1.5059595762689395</v>
      </c>
      <c r="AI26" s="71">
        <f t="shared" si="11"/>
        <v>1.4633979565461199</v>
      </c>
      <c r="AJ26" s="71">
        <f t="shared" si="11"/>
        <v>1.0581655924436266</v>
      </c>
      <c r="AK26" s="71">
        <f t="shared" si="11"/>
        <v>1.3920604545818034</v>
      </c>
      <c r="AL26" s="71">
        <f t="shared" si="11"/>
        <v>1.7817242647982279</v>
      </c>
      <c r="AM26" s="72">
        <f t="shared" si="11"/>
        <v>1.349395690661563</v>
      </c>
      <c r="AN26" s="72">
        <f t="shared" si="11"/>
        <v>1.5373912216557213</v>
      </c>
      <c r="AO26" s="72">
        <f t="shared" si="11"/>
        <v>1.4401914754120611</v>
      </c>
      <c r="AP26" s="71"/>
      <c r="AQ26" s="71">
        <f t="shared" si="11"/>
        <v>0.41133880303751991</v>
      </c>
      <c r="AR26" s="71">
        <f t="shared" si="11"/>
        <v>0.76722400406137725</v>
      </c>
      <c r="AS26" s="71">
        <f t="shared" si="11"/>
        <v>1.1184407257044164</v>
      </c>
      <c r="AT26" s="71">
        <f t="shared" si="11"/>
        <v>0.5735580339881331</v>
      </c>
      <c r="AU26" s="71">
        <f t="shared" si="11"/>
        <v>0.79698322809732702</v>
      </c>
      <c r="AV26" s="71">
        <f t="shared" si="11"/>
        <v>0.96436980940839989</v>
      </c>
      <c r="AW26" s="71">
        <f t="shared" si="11"/>
        <v>0.61160195278227469</v>
      </c>
      <c r="AX26" s="71">
        <f t="shared" si="11"/>
        <v>1.3132125886969195</v>
      </c>
      <c r="AY26" s="71">
        <f t="shared" si="11"/>
        <v>1.3132125886969195</v>
      </c>
      <c r="AZ26" s="71">
        <f t="shared" si="11"/>
        <v>1.360736110104747</v>
      </c>
      <c r="BA26" s="71">
        <f t="shared" si="11"/>
        <v>1.360736110104747</v>
      </c>
      <c r="BB26" s="71">
        <f t="shared" si="11"/>
        <v>0.49400794510041801</v>
      </c>
      <c r="BC26" s="71">
        <f t="shared" si="11"/>
        <v>1.0819754930414371</v>
      </c>
      <c r="BD26" s="71">
        <f t="shared" si="11"/>
        <v>1.0819754930414371</v>
      </c>
      <c r="BE26" s="71">
        <f t="shared" si="11"/>
        <v>1.2685102381951507</v>
      </c>
      <c r="BF26" s="71">
        <f t="shared" si="11"/>
        <v>0.50782568276237017</v>
      </c>
      <c r="BG26" s="71">
        <f t="shared" si="11"/>
        <v>1.2174595455091091</v>
      </c>
      <c r="BH26" s="71">
        <f t="shared" si="11"/>
        <v>1.2174595455091091</v>
      </c>
      <c r="BI26" s="71">
        <f t="shared" si="11"/>
        <v>1.3037659070137668</v>
      </c>
      <c r="BJ26" s="71">
        <f t="shared" si="11"/>
        <v>1.3037659070137668</v>
      </c>
      <c r="BK26" s="72">
        <f t="shared" si="11"/>
        <v>0.85572559256484559</v>
      </c>
      <c r="BL26" s="72">
        <f t="shared" si="11"/>
        <v>1.3587123728254915</v>
      </c>
      <c r="BM26" s="72">
        <f t="shared" si="11"/>
        <v>1.4574500697442239</v>
      </c>
      <c r="BN26" s="71"/>
      <c r="BO26" s="204">
        <f t="shared" ref="BO26:BW26" si="12">BO67/((0.5*(BO7*((1/10)*BO7)))/100)</f>
        <v>0.65154430563878407</v>
      </c>
      <c r="BP26" s="204">
        <f t="shared" si="12"/>
        <v>0.65295359938121778</v>
      </c>
      <c r="BQ26" s="204">
        <f t="shared" si="12"/>
        <v>0.8798814466826882</v>
      </c>
      <c r="BR26" s="72">
        <f t="shared" si="12"/>
        <v>0.6802169811253771</v>
      </c>
      <c r="BS26" s="72">
        <f t="shared" si="12"/>
        <v>0.7503700235380808</v>
      </c>
      <c r="BT26" s="72">
        <f t="shared" si="12"/>
        <v>1.0203401042972651</v>
      </c>
      <c r="BU26" s="205"/>
      <c r="BV26" s="205"/>
      <c r="BW26" s="206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</row>
    <row r="27" spans="1:119" s="6" customFormat="1" x14ac:dyDescent="0.25">
      <c r="A27" s="181"/>
      <c r="B27" s="14" t="s">
        <v>23</v>
      </c>
      <c r="C27" s="70"/>
      <c r="D27" s="71"/>
      <c r="E27" s="71">
        <f>E67/((0.5*(E8*((1/10)*E8)))/100)</f>
        <v>1.503927147592941</v>
      </c>
      <c r="F27" s="71">
        <f t="shared" ref="F27:BM27" si="13">F67/((0.5*(F8*((1/10)*F8)))/100)</f>
        <v>2.0820656863851417</v>
      </c>
      <c r="G27" s="71">
        <f t="shared" si="13"/>
        <v>1.3189591483359167</v>
      </c>
      <c r="H27" s="71">
        <f t="shared" si="13"/>
        <v>1.6991305361178548</v>
      </c>
      <c r="I27" s="71">
        <f t="shared" si="13"/>
        <v>1.7233506880603087</v>
      </c>
      <c r="J27" s="71">
        <f t="shared" si="13"/>
        <v>1.9680606244852363</v>
      </c>
      <c r="K27" s="71">
        <f t="shared" si="13"/>
        <v>1.8960594266486215</v>
      </c>
      <c r="L27" s="71">
        <f t="shared" si="13"/>
        <v>1.5932167610781476</v>
      </c>
      <c r="M27" s="71">
        <f t="shared" si="13"/>
        <v>2.0166634186240699</v>
      </c>
      <c r="N27" s="71">
        <f t="shared" si="13"/>
        <v>1.7268477821409964</v>
      </c>
      <c r="O27" s="71">
        <f t="shared" si="13"/>
        <v>2.4012427768416424</v>
      </c>
      <c r="P27" s="71">
        <f t="shared" si="13"/>
        <v>2.0164149632395305</v>
      </c>
      <c r="Q27" s="71">
        <f t="shared" si="13"/>
        <v>2.0166634186240699</v>
      </c>
      <c r="R27" s="71">
        <f t="shared" si="13"/>
        <v>1.7268477821409964</v>
      </c>
      <c r="S27" s="71">
        <f t="shared" si="13"/>
        <v>2.1516157503194906</v>
      </c>
      <c r="T27" s="72">
        <f t="shared" si="13"/>
        <v>1.6911146083884818</v>
      </c>
      <c r="U27" s="72">
        <f t="shared" si="13"/>
        <v>1.9551690084387336</v>
      </c>
      <c r="V27" s="72">
        <f t="shared" si="13"/>
        <v>1.9023788252539902</v>
      </c>
      <c r="W27" s="71"/>
      <c r="X27" s="71">
        <f t="shared" si="13"/>
        <v>1.6453552121500796</v>
      </c>
      <c r="Y27" s="71">
        <f t="shared" si="13"/>
        <v>1.1707466636369113</v>
      </c>
      <c r="Z27" s="71">
        <f t="shared" si="13"/>
        <v>1.1137001547673286</v>
      </c>
      <c r="AA27" s="71">
        <f t="shared" si="13"/>
        <v>0.7887797115362728</v>
      </c>
      <c r="AB27" s="71">
        <f t="shared" si="13"/>
        <v>1.506796415621509</v>
      </c>
      <c r="AC27" s="71">
        <f t="shared" si="13"/>
        <v>1.6717340432128951</v>
      </c>
      <c r="AD27" s="71">
        <f t="shared" si="13"/>
        <v>1.1043084511022596</v>
      </c>
      <c r="AE27" s="71">
        <f t="shared" si="13"/>
        <v>1.801760784042598</v>
      </c>
      <c r="AF27" s="71">
        <f t="shared" si="13"/>
        <v>1.5712447551816338</v>
      </c>
      <c r="AG27" s="71">
        <f t="shared" si="13"/>
        <v>0.94152303362127265</v>
      </c>
      <c r="AH27" s="71">
        <f t="shared" si="13"/>
        <v>1.5448214522508963</v>
      </c>
      <c r="AI27" s="71">
        <f t="shared" si="13"/>
        <v>1.6406260827714292</v>
      </c>
      <c r="AJ27" s="71">
        <f t="shared" si="13"/>
        <v>0.79479993387987957</v>
      </c>
      <c r="AK27" s="71">
        <f t="shared" si="13"/>
        <v>6.3461280475128081</v>
      </c>
      <c r="AL27" s="71">
        <f t="shared" si="13"/>
        <v>1.7817242647982279</v>
      </c>
      <c r="AM27" s="72">
        <f t="shared" si="13"/>
        <v>1.1261096165488678</v>
      </c>
      <c r="AN27" s="72">
        <f t="shared" si="13"/>
        <v>1.4994792103587411</v>
      </c>
      <c r="AO27" s="72">
        <f t="shared" si="13"/>
        <v>1.5846199596869528</v>
      </c>
      <c r="AP27" s="71"/>
      <c r="AQ27" s="71">
        <f t="shared" si="13"/>
        <v>0.87027052543475281</v>
      </c>
      <c r="AR27" s="71">
        <f t="shared" si="13"/>
        <v>0.84586446447766839</v>
      </c>
      <c r="AS27" s="71">
        <f t="shared" si="13"/>
        <v>1.1184407257044164</v>
      </c>
      <c r="AT27" s="71">
        <f t="shared" si="13"/>
        <v>1.5932167610781476</v>
      </c>
      <c r="AU27" s="71">
        <f t="shared" si="13"/>
        <v>0.96434970599776582</v>
      </c>
      <c r="AV27" s="71">
        <f t="shared" si="13"/>
        <v>1.0371274767848908</v>
      </c>
      <c r="AW27" s="71">
        <f t="shared" si="13"/>
        <v>0.94152303362127265</v>
      </c>
      <c r="AX27" s="71">
        <f t="shared" si="13"/>
        <v>1.1525714033316679</v>
      </c>
      <c r="AY27" s="71">
        <f t="shared" si="13"/>
        <v>1.1525714033316679</v>
      </c>
      <c r="AZ27" s="71">
        <f t="shared" si="13"/>
        <v>1.1468068909670754</v>
      </c>
      <c r="BA27" s="71">
        <f t="shared" si="13"/>
        <v>1.1468068909670754</v>
      </c>
      <c r="BB27" s="71">
        <f t="shared" si="13"/>
        <v>1.2441249241210433</v>
      </c>
      <c r="BC27" s="71">
        <f t="shared" si="13"/>
        <v>1.13059760161762</v>
      </c>
      <c r="BD27" s="71">
        <f t="shared" si="13"/>
        <v>1.13059760161762</v>
      </c>
      <c r="BE27" s="71">
        <f t="shared" si="13"/>
        <v>1.2258743008585136</v>
      </c>
      <c r="BF27" s="71">
        <f t="shared" si="13"/>
        <v>1.0964466220075497</v>
      </c>
      <c r="BG27" s="71">
        <f t="shared" si="13"/>
        <v>1.0041125635128758</v>
      </c>
      <c r="BH27" s="71">
        <f t="shared" si="13"/>
        <v>1.0041125635128758</v>
      </c>
      <c r="BI27" s="71">
        <f t="shared" si="13"/>
        <v>1.1255277133895276</v>
      </c>
      <c r="BJ27" s="71">
        <f t="shared" si="13"/>
        <v>1.1255277133895276</v>
      </c>
      <c r="BK27" s="72">
        <f t="shared" si="13"/>
        <v>1.1571079683563561</v>
      </c>
      <c r="BL27" s="72">
        <f t="shared" si="13"/>
        <v>0.86625692958025746</v>
      </c>
      <c r="BM27" s="72">
        <f t="shared" si="13"/>
        <v>1.0044938892932778</v>
      </c>
      <c r="BN27" s="71"/>
      <c r="BO27" s="204">
        <f t="shared" ref="BO27:BW27" si="14">BO67/((0.5*(BO8*((1/10)*BO8)))/100)</f>
        <v>0.83364752462946834</v>
      </c>
      <c r="BP27" s="204">
        <f t="shared" si="14"/>
        <v>0.71096649006348078</v>
      </c>
      <c r="BQ27" s="204">
        <f t="shared" si="14"/>
        <v>0.94117924872452496</v>
      </c>
      <c r="BR27" s="72">
        <f t="shared" si="14"/>
        <v>0.46577917886753745</v>
      </c>
      <c r="BS27" s="72">
        <f t="shared" si="14"/>
        <v>0.76298106365636587</v>
      </c>
      <c r="BT27" s="72">
        <f t="shared" si="14"/>
        <v>0.9117046221003029</v>
      </c>
      <c r="BU27" s="205"/>
      <c r="BV27" s="205"/>
      <c r="BW27" s="206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</row>
    <row r="28" spans="1:119" s="90" customFormat="1" x14ac:dyDescent="0.25">
      <c r="A28" s="85"/>
      <c r="B28" s="85" t="s">
        <v>24</v>
      </c>
      <c r="C28" s="86"/>
      <c r="D28" s="87"/>
      <c r="E28" s="87">
        <f t="shared" ref="E28:BM28" si="15">((E25^2)*E31*E32)/E33</f>
        <v>85135.399153535764</v>
      </c>
      <c r="F28" s="87">
        <f t="shared" si="15"/>
        <v>206956.33193046931</v>
      </c>
      <c r="G28" s="87">
        <f t="shared" si="15"/>
        <v>30591.905765692856</v>
      </c>
      <c r="H28" s="87">
        <f t="shared" si="15"/>
        <v>150074.13901350216</v>
      </c>
      <c r="I28" s="87">
        <f t="shared" si="15"/>
        <v>92550.49425571748</v>
      </c>
      <c r="J28" s="87">
        <f t="shared" si="15"/>
        <v>114253.50081340862</v>
      </c>
      <c r="K28" s="87">
        <f t="shared" si="15"/>
        <v>149499.1525424266</v>
      </c>
      <c r="L28" s="87">
        <f t="shared" si="15"/>
        <v>39984.305701389399</v>
      </c>
      <c r="M28" s="87">
        <f t="shared" si="15"/>
        <v>39160.948091018639</v>
      </c>
      <c r="N28" s="87">
        <f t="shared" si="15"/>
        <v>90414.963145188434</v>
      </c>
      <c r="O28" s="87">
        <f t="shared" si="15"/>
        <v>144810.17332676976</v>
      </c>
      <c r="P28" s="87">
        <f t="shared" si="15"/>
        <v>37485.286595052567</v>
      </c>
      <c r="Q28" s="87">
        <f t="shared" si="15"/>
        <v>38327.736429507597</v>
      </c>
      <c r="R28" s="87">
        <f t="shared" si="15"/>
        <v>91670.726522204946</v>
      </c>
      <c r="S28" s="87">
        <f t="shared" si="15"/>
        <v>134747.03841508247</v>
      </c>
      <c r="T28" s="88">
        <f t="shared" si="15"/>
        <v>26339.766667855281</v>
      </c>
      <c r="U28" s="88">
        <f t="shared" si="15"/>
        <v>86168.32563488766</v>
      </c>
      <c r="V28" s="88">
        <f t="shared" si="15"/>
        <v>148932.62025182717</v>
      </c>
      <c r="W28" s="87"/>
      <c r="X28" s="87">
        <f t="shared" si="15"/>
        <v>35904.93330088842</v>
      </c>
      <c r="Y28" s="87">
        <f t="shared" si="15"/>
        <v>107921.39503425537</v>
      </c>
      <c r="Z28" s="87">
        <f t="shared" si="15"/>
        <v>154459.3755477466</v>
      </c>
      <c r="AA28" s="87">
        <f t="shared" si="15"/>
        <v>37337.339331370211</v>
      </c>
      <c r="AB28" s="87">
        <f t="shared" si="15"/>
        <v>98576.857678545581</v>
      </c>
      <c r="AC28" s="87">
        <f t="shared" si="15"/>
        <v>163465.06432392445</v>
      </c>
      <c r="AD28" s="87">
        <f t="shared" si="15"/>
        <v>36870.484774548393</v>
      </c>
      <c r="AE28" s="87">
        <f t="shared" si="15"/>
        <v>107774.93093016297</v>
      </c>
      <c r="AF28" s="87">
        <f t="shared" si="15"/>
        <v>161690.92000085971</v>
      </c>
      <c r="AG28" s="87">
        <f t="shared" si="15"/>
        <v>36708.070420496413</v>
      </c>
      <c r="AH28" s="87">
        <f t="shared" si="15"/>
        <v>97739.274549692054</v>
      </c>
      <c r="AI28" s="87">
        <f t="shared" si="15"/>
        <v>166391.69126368425</v>
      </c>
      <c r="AJ28" s="87">
        <f t="shared" si="15"/>
        <v>38309.034778916219</v>
      </c>
      <c r="AK28" s="87">
        <f t="shared" si="15"/>
        <v>74140.315986594476</v>
      </c>
      <c r="AL28" s="87">
        <f t="shared" si="15"/>
        <v>163868.66623526558</v>
      </c>
      <c r="AM28" s="88">
        <f t="shared" si="15"/>
        <v>31827.196715625825</v>
      </c>
      <c r="AN28" s="88">
        <f t="shared" si="15"/>
        <v>108275.50350942582</v>
      </c>
      <c r="AO28" s="88">
        <f t="shared" si="15"/>
        <v>180009.86219616429</v>
      </c>
      <c r="AP28" s="87"/>
      <c r="AQ28" s="87">
        <f t="shared" si="15"/>
        <v>45072.150313881211</v>
      </c>
      <c r="AR28" s="87">
        <f t="shared" si="15"/>
        <v>124235.09428361958</v>
      </c>
      <c r="AS28" s="87">
        <f t="shared" si="15"/>
        <v>228737.7658357434</v>
      </c>
      <c r="AT28" s="87">
        <f t="shared" si="15"/>
        <v>48314.36938917885</v>
      </c>
      <c r="AU28" s="87">
        <f t="shared" si="15"/>
        <v>134181.43700179385</v>
      </c>
      <c r="AV28" s="87">
        <f t="shared" si="15"/>
        <v>230524.77963133514</v>
      </c>
      <c r="AW28" s="87">
        <f t="shared" si="15"/>
        <v>42618.691928881432</v>
      </c>
      <c r="AX28" s="87">
        <f t="shared" si="15"/>
        <v>126348.76163875</v>
      </c>
      <c r="AY28" s="87">
        <f t="shared" si="15"/>
        <v>126348.76163875</v>
      </c>
      <c r="AZ28" s="87">
        <f t="shared" si="15"/>
        <v>197419.65008539581</v>
      </c>
      <c r="BA28" s="87">
        <f t="shared" si="15"/>
        <v>197419.65008539581</v>
      </c>
      <c r="BB28" s="87">
        <f t="shared" si="15"/>
        <v>42169.198259766832</v>
      </c>
      <c r="BC28" s="87">
        <f t="shared" si="15"/>
        <v>118202.10397448702</v>
      </c>
      <c r="BD28" s="87">
        <f t="shared" si="15"/>
        <v>118202.10397448702</v>
      </c>
      <c r="BE28" s="87">
        <f t="shared" si="15"/>
        <v>195714.81718310399</v>
      </c>
      <c r="BF28" s="87">
        <f t="shared" si="15"/>
        <v>43391.493861499199</v>
      </c>
      <c r="BG28" s="87">
        <f t="shared" si="15"/>
        <v>120364.73457784686</v>
      </c>
      <c r="BH28" s="87">
        <f t="shared" si="15"/>
        <v>120364.73457784686</v>
      </c>
      <c r="BI28" s="87">
        <f t="shared" si="15"/>
        <v>207654.35964745612</v>
      </c>
      <c r="BJ28" s="87">
        <f t="shared" si="15"/>
        <v>207654.35964745612</v>
      </c>
      <c r="BK28" s="88">
        <f t="shared" si="15"/>
        <v>38946.598152174956</v>
      </c>
      <c r="BL28" s="88">
        <f t="shared" si="15"/>
        <v>124172.72617830602</v>
      </c>
      <c r="BM28" s="88">
        <f t="shared" si="15"/>
        <v>207576.82792637782</v>
      </c>
      <c r="BN28" s="87"/>
      <c r="BO28" s="213">
        <f>((BO25^2)*BO31*BO32)/BO33</f>
        <v>57354.087427075472</v>
      </c>
      <c r="BP28" s="213">
        <f t="shared" ref="BO28:BW28" si="16">((BP25^2)*BP31*BP32)/BP33</f>
        <v>150935.95061760567</v>
      </c>
      <c r="BQ28" s="213">
        <f t="shared" si="16"/>
        <v>266452.3211788616</v>
      </c>
      <c r="BR28" s="88">
        <f t="shared" si="16"/>
        <v>56099.777439688674</v>
      </c>
      <c r="BS28" s="88">
        <f t="shared" si="16"/>
        <v>169186.64617736422</v>
      </c>
      <c r="BT28" s="88">
        <f t="shared" si="16"/>
        <v>284079.81519468501</v>
      </c>
      <c r="BU28" s="214"/>
      <c r="BV28" s="214"/>
      <c r="BW28" s="215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</row>
    <row r="29" spans="1:119" s="6" customFormat="1" x14ac:dyDescent="0.25">
      <c r="A29" s="5"/>
      <c r="B29" s="5" t="s">
        <v>25</v>
      </c>
      <c r="C29" s="70"/>
      <c r="D29" s="71"/>
      <c r="E29" s="71">
        <f t="shared" ref="E29:BM29" si="17">(E32*E25)/E30</f>
        <v>501564.94968217879</v>
      </c>
      <c r="F29" s="71">
        <f t="shared" si="17"/>
        <v>970971.96725780028</v>
      </c>
      <c r="G29" s="71">
        <f t="shared" si="17"/>
        <v>235036.57383683324</v>
      </c>
      <c r="H29" s="71">
        <f t="shared" si="17"/>
        <v>772937.96682335623</v>
      </c>
      <c r="I29" s="71">
        <f t="shared" si="17"/>
        <v>530165.02525371336</v>
      </c>
      <c r="J29" s="71">
        <f t="shared" si="17"/>
        <v>635023.54300006013</v>
      </c>
      <c r="K29" s="71">
        <f t="shared" si="17"/>
        <v>751309.91829300264</v>
      </c>
      <c r="L29" s="71">
        <f t="shared" si="17"/>
        <v>280654.0032382104</v>
      </c>
      <c r="M29" s="71">
        <f t="shared" si="17"/>
        <v>274840.90557106491</v>
      </c>
      <c r="N29" s="71">
        <f t="shared" si="17"/>
        <v>516882.9968984772</v>
      </c>
      <c r="O29" s="71">
        <f t="shared" si="17"/>
        <v>727277.88714958704</v>
      </c>
      <c r="P29" s="71">
        <f t="shared" si="17"/>
        <v>263113.1280358223</v>
      </c>
      <c r="Q29" s="71">
        <f t="shared" si="17"/>
        <v>268993.22672912729</v>
      </c>
      <c r="R29" s="71">
        <f t="shared" si="17"/>
        <v>524061.92741095601</v>
      </c>
      <c r="S29" s="71">
        <f t="shared" si="17"/>
        <v>693625.55243236362</v>
      </c>
      <c r="T29" s="72">
        <f t="shared" si="17"/>
        <v>200962.59892658412</v>
      </c>
      <c r="U29" s="72">
        <f t="shared" si="17"/>
        <v>495546.62905704125</v>
      </c>
      <c r="V29" s="72">
        <f t="shared" si="17"/>
        <v>749314.22750227957</v>
      </c>
      <c r="W29" s="71"/>
      <c r="X29" s="71">
        <f t="shared" si="17"/>
        <v>263167.24509461876</v>
      </c>
      <c r="Y29" s="71">
        <f t="shared" si="17"/>
        <v>617175.73649068642</v>
      </c>
      <c r="Z29" s="71">
        <f t="shared" si="17"/>
        <v>815844.95061732153</v>
      </c>
      <c r="AA29" s="71">
        <f t="shared" si="17"/>
        <v>271205.28296040231</v>
      </c>
      <c r="AB29" s="71">
        <f t="shared" si="17"/>
        <v>547892.40570470295</v>
      </c>
      <c r="AC29" s="71">
        <f t="shared" si="17"/>
        <v>805853.31460162369</v>
      </c>
      <c r="AD29" s="71">
        <f t="shared" si="17"/>
        <v>260946.528644801</v>
      </c>
      <c r="AE29" s="71">
        <f t="shared" si="17"/>
        <v>588874.50340756041</v>
      </c>
      <c r="AF29" s="71">
        <f t="shared" si="17"/>
        <v>804773.31597458653</v>
      </c>
      <c r="AG29" s="71">
        <f t="shared" si="17"/>
        <v>266659.84385849989</v>
      </c>
      <c r="AH29" s="71">
        <f t="shared" si="17"/>
        <v>546294.54821138759</v>
      </c>
      <c r="AI29" s="71">
        <f t="shared" si="17"/>
        <v>816387.92011223303</v>
      </c>
      <c r="AJ29" s="71">
        <f t="shared" si="17"/>
        <v>275853.90027144027</v>
      </c>
      <c r="AK29" s="71">
        <f t="shared" si="17"/>
        <v>421540.67144980421</v>
      </c>
      <c r="AL29" s="71">
        <f t="shared" si="17"/>
        <v>795092.63270012569</v>
      </c>
      <c r="AM29" s="72">
        <f t="shared" si="17"/>
        <v>240279.19702942</v>
      </c>
      <c r="AN29" s="72">
        <f t="shared" si="17"/>
        <v>600540.03956169123</v>
      </c>
      <c r="AO29" s="72">
        <f t="shared" si="17"/>
        <v>881831.63681212242</v>
      </c>
      <c r="AP29" s="71"/>
      <c r="AQ29" s="71">
        <f t="shared" si="17"/>
        <v>330358.88214005338</v>
      </c>
      <c r="AR29" s="71">
        <f t="shared" si="17"/>
        <v>710469.74316951109</v>
      </c>
      <c r="AS29" s="71">
        <f t="shared" si="17"/>
        <v>1096174.67756635</v>
      </c>
      <c r="AT29" s="71">
        <f t="shared" si="17"/>
        <v>339123.58724617091</v>
      </c>
      <c r="AU29" s="71">
        <f t="shared" si="17"/>
        <v>745783.46329076833</v>
      </c>
      <c r="AV29" s="71">
        <f t="shared" si="17"/>
        <v>1104738.5422348371</v>
      </c>
      <c r="AW29" s="71">
        <f t="shared" si="17"/>
        <v>309596.59837808885</v>
      </c>
      <c r="AX29" s="71">
        <f t="shared" si="17"/>
        <v>690693.31334752147</v>
      </c>
      <c r="AY29" s="71">
        <f t="shared" si="17"/>
        <v>690693.31334752147</v>
      </c>
      <c r="AZ29" s="71">
        <f t="shared" si="17"/>
        <v>968624.19210037473</v>
      </c>
      <c r="BA29" s="71">
        <f t="shared" si="17"/>
        <v>968624.19210037473</v>
      </c>
      <c r="BB29" s="71">
        <f t="shared" si="17"/>
        <v>309081.53040899913</v>
      </c>
      <c r="BC29" s="71">
        <f t="shared" si="17"/>
        <v>664414.5625836316</v>
      </c>
      <c r="BD29" s="71">
        <f t="shared" si="17"/>
        <v>664414.5625836316</v>
      </c>
      <c r="BE29" s="71">
        <f t="shared" si="17"/>
        <v>960259.56177135592</v>
      </c>
      <c r="BF29" s="71">
        <f t="shared" si="17"/>
        <v>318040.41534839029</v>
      </c>
      <c r="BG29" s="71">
        <f t="shared" si="17"/>
        <v>668989.91855587752</v>
      </c>
      <c r="BH29" s="71">
        <f t="shared" si="17"/>
        <v>668989.91855587752</v>
      </c>
      <c r="BI29" s="71">
        <f t="shared" si="17"/>
        <v>1004505.2732918508</v>
      </c>
      <c r="BJ29" s="71">
        <f t="shared" si="17"/>
        <v>1004505.2732918508</v>
      </c>
      <c r="BK29" s="72">
        <f t="shared" si="17"/>
        <v>284952.49503677309</v>
      </c>
      <c r="BL29" s="72">
        <f t="shared" si="17"/>
        <v>692490.40901274548</v>
      </c>
      <c r="BM29" s="72">
        <f t="shared" si="17"/>
        <v>1011165.1421742523</v>
      </c>
      <c r="BN29" s="71"/>
      <c r="BO29" s="204">
        <f t="shared" ref="BO29:BW29" si="18">(BO32*BO25)/BO30</f>
        <v>405916.82233635779</v>
      </c>
      <c r="BP29" s="204">
        <f t="shared" si="18"/>
        <v>843282.59016689251</v>
      </c>
      <c r="BQ29" s="204">
        <f t="shared" si="18"/>
        <v>1259214.1582970149</v>
      </c>
      <c r="BR29" s="72">
        <f t="shared" si="18"/>
        <v>406752.30122346606</v>
      </c>
      <c r="BS29" s="72">
        <f t="shared" si="18"/>
        <v>915845.78480321926</v>
      </c>
      <c r="BT29" s="72">
        <f t="shared" si="18"/>
        <v>1314911.7522302726</v>
      </c>
      <c r="BU29" s="205"/>
      <c r="BV29" s="205"/>
      <c r="BW29" s="206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</row>
    <row r="30" spans="1:119" s="6" customFormat="1" x14ac:dyDescent="0.25">
      <c r="A30" s="5"/>
      <c r="B30" s="91" t="s">
        <v>26</v>
      </c>
      <c r="C30" s="70"/>
      <c r="D30" s="71"/>
      <c r="E30" s="71">
        <v>1.306E-5</v>
      </c>
      <c r="F30" s="71">
        <v>1.306E-5</v>
      </c>
      <c r="G30" s="71">
        <v>1.306E-5</v>
      </c>
      <c r="H30" s="71">
        <v>1.306E-5</v>
      </c>
      <c r="I30" s="71">
        <v>1.306E-5</v>
      </c>
      <c r="J30" s="71">
        <v>1.306E-5</v>
      </c>
      <c r="K30" s="71">
        <v>1.306E-5</v>
      </c>
      <c r="L30" s="71">
        <v>1.306E-5</v>
      </c>
      <c r="M30" s="71">
        <v>1.306E-5</v>
      </c>
      <c r="N30" s="71">
        <v>1.306E-5</v>
      </c>
      <c r="O30" s="71">
        <v>1.306E-5</v>
      </c>
      <c r="P30" s="71">
        <v>1.306E-5</v>
      </c>
      <c r="Q30" s="71">
        <v>1.306E-5</v>
      </c>
      <c r="R30" s="71">
        <v>1.306E-5</v>
      </c>
      <c r="S30" s="71">
        <v>1.306E-5</v>
      </c>
      <c r="T30" s="72">
        <v>1.306E-5</v>
      </c>
      <c r="U30" s="72">
        <v>1.306E-5</v>
      </c>
      <c r="V30" s="72">
        <v>1.306E-5</v>
      </c>
      <c r="W30" s="71"/>
      <c r="X30" s="71">
        <v>1.306E-5</v>
      </c>
      <c r="Y30" s="71">
        <v>1.306E-5</v>
      </c>
      <c r="Z30" s="71">
        <v>1.306E-5</v>
      </c>
      <c r="AA30" s="71">
        <v>1.306E-5</v>
      </c>
      <c r="AB30" s="71">
        <v>1.306E-5</v>
      </c>
      <c r="AC30" s="71">
        <v>1.306E-5</v>
      </c>
      <c r="AD30" s="71">
        <v>1.306E-5</v>
      </c>
      <c r="AE30" s="71">
        <v>1.306E-5</v>
      </c>
      <c r="AF30" s="71">
        <v>1.306E-5</v>
      </c>
      <c r="AG30" s="71">
        <v>1.306E-5</v>
      </c>
      <c r="AH30" s="71">
        <v>1.306E-5</v>
      </c>
      <c r="AI30" s="71">
        <v>1.306E-5</v>
      </c>
      <c r="AJ30" s="71">
        <v>1.306E-5</v>
      </c>
      <c r="AK30" s="71">
        <v>1.306E-5</v>
      </c>
      <c r="AL30" s="71">
        <v>1.306E-5</v>
      </c>
      <c r="AM30" s="72">
        <v>1.306E-5</v>
      </c>
      <c r="AN30" s="72">
        <v>1.306E-5</v>
      </c>
      <c r="AO30" s="72">
        <v>1.306E-5</v>
      </c>
      <c r="AP30" s="71"/>
      <c r="AQ30" s="71">
        <v>1.306E-5</v>
      </c>
      <c r="AR30" s="71">
        <v>1.306E-5</v>
      </c>
      <c r="AS30" s="71">
        <v>1.306E-5</v>
      </c>
      <c r="AT30" s="71">
        <v>1.306E-5</v>
      </c>
      <c r="AU30" s="71">
        <v>1.306E-5</v>
      </c>
      <c r="AV30" s="71">
        <v>1.306E-5</v>
      </c>
      <c r="AW30" s="71">
        <v>1.306E-5</v>
      </c>
      <c r="AX30" s="71">
        <v>1.306E-5</v>
      </c>
      <c r="AY30" s="71">
        <v>1.306E-5</v>
      </c>
      <c r="AZ30" s="71">
        <v>1.306E-5</v>
      </c>
      <c r="BA30" s="71">
        <v>1.306E-5</v>
      </c>
      <c r="BB30" s="71">
        <v>1.306E-5</v>
      </c>
      <c r="BC30" s="71">
        <v>1.306E-5</v>
      </c>
      <c r="BD30" s="71">
        <v>1.306E-5</v>
      </c>
      <c r="BE30" s="71">
        <v>1.306E-5</v>
      </c>
      <c r="BF30" s="71">
        <v>1.306E-5</v>
      </c>
      <c r="BG30" s="71">
        <v>1.306E-5</v>
      </c>
      <c r="BH30" s="71">
        <v>1.306E-5</v>
      </c>
      <c r="BI30" s="71">
        <v>1.306E-5</v>
      </c>
      <c r="BJ30" s="71">
        <v>1.306E-5</v>
      </c>
      <c r="BK30" s="72">
        <v>1.306E-5</v>
      </c>
      <c r="BL30" s="72">
        <v>1.306E-5</v>
      </c>
      <c r="BM30" s="72">
        <v>1.306E-5</v>
      </c>
      <c r="BN30" s="71"/>
      <c r="BO30" s="204">
        <v>1.306E-5</v>
      </c>
      <c r="BP30" s="204">
        <v>1.306E-5</v>
      </c>
      <c r="BQ30" s="204">
        <v>1.306E-5</v>
      </c>
      <c r="BR30" s="72">
        <v>1.306E-5</v>
      </c>
      <c r="BS30" s="72">
        <v>1.306E-5</v>
      </c>
      <c r="BT30" s="72">
        <v>1.306E-5</v>
      </c>
      <c r="BU30" s="205"/>
      <c r="BV30" s="205"/>
      <c r="BW30" s="206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</row>
    <row r="31" spans="1:119" s="6" customFormat="1" x14ac:dyDescent="0.25">
      <c r="A31" s="5"/>
      <c r="B31" s="91" t="s">
        <v>27</v>
      </c>
      <c r="C31" s="70"/>
      <c r="D31" s="92"/>
      <c r="E31" s="92">
        <v>1000</v>
      </c>
      <c r="F31" s="92">
        <v>1000</v>
      </c>
      <c r="G31" s="92">
        <v>1000</v>
      </c>
      <c r="H31" s="92">
        <v>1000</v>
      </c>
      <c r="I31" s="92">
        <v>1000</v>
      </c>
      <c r="J31" s="92">
        <v>1000</v>
      </c>
      <c r="K31" s="92">
        <v>1000</v>
      </c>
      <c r="L31" s="92">
        <v>1000</v>
      </c>
      <c r="M31" s="92">
        <v>1000</v>
      </c>
      <c r="N31" s="92">
        <v>1000</v>
      </c>
      <c r="O31" s="92">
        <v>1000</v>
      </c>
      <c r="P31" s="92">
        <v>1000</v>
      </c>
      <c r="Q31" s="92">
        <v>1000</v>
      </c>
      <c r="R31" s="92">
        <v>1000</v>
      </c>
      <c r="S31" s="92">
        <v>1000</v>
      </c>
      <c r="T31" s="93">
        <v>1000</v>
      </c>
      <c r="U31" s="93">
        <v>1000</v>
      </c>
      <c r="V31" s="93">
        <v>1000</v>
      </c>
      <c r="W31" s="92"/>
      <c r="X31" s="92">
        <v>1000</v>
      </c>
      <c r="Y31" s="92">
        <v>1000</v>
      </c>
      <c r="Z31" s="92">
        <v>1000</v>
      </c>
      <c r="AA31" s="92">
        <v>1000</v>
      </c>
      <c r="AB31" s="92">
        <v>1000</v>
      </c>
      <c r="AC31" s="92">
        <v>1000</v>
      </c>
      <c r="AD31" s="92">
        <v>1000</v>
      </c>
      <c r="AE31" s="92">
        <v>1000</v>
      </c>
      <c r="AF31" s="92">
        <v>1000</v>
      </c>
      <c r="AG31" s="92">
        <v>1000</v>
      </c>
      <c r="AH31" s="92">
        <v>1000</v>
      </c>
      <c r="AI31" s="92">
        <v>1000</v>
      </c>
      <c r="AJ31" s="92">
        <v>1000</v>
      </c>
      <c r="AK31" s="92">
        <v>1000</v>
      </c>
      <c r="AL31" s="92">
        <v>1000</v>
      </c>
      <c r="AM31" s="93">
        <v>1000</v>
      </c>
      <c r="AN31" s="93">
        <v>1000</v>
      </c>
      <c r="AO31" s="93">
        <v>1000</v>
      </c>
      <c r="AP31" s="92"/>
      <c r="AQ31" s="92">
        <v>1000</v>
      </c>
      <c r="AR31" s="92">
        <v>1000</v>
      </c>
      <c r="AS31" s="92">
        <v>1000</v>
      </c>
      <c r="AT31" s="92">
        <v>1000</v>
      </c>
      <c r="AU31" s="92">
        <v>1000</v>
      </c>
      <c r="AV31" s="92">
        <v>1000</v>
      </c>
      <c r="AW31" s="92">
        <v>1000</v>
      </c>
      <c r="AX31" s="92">
        <v>1000</v>
      </c>
      <c r="AY31" s="92">
        <v>1000</v>
      </c>
      <c r="AZ31" s="92">
        <v>1000</v>
      </c>
      <c r="BA31" s="92">
        <v>1000</v>
      </c>
      <c r="BB31" s="92">
        <v>1000</v>
      </c>
      <c r="BC31" s="92">
        <v>1000</v>
      </c>
      <c r="BD31" s="92">
        <v>1000</v>
      </c>
      <c r="BE31" s="92">
        <v>1000</v>
      </c>
      <c r="BF31" s="92">
        <v>1000</v>
      </c>
      <c r="BG31" s="92">
        <v>1000</v>
      </c>
      <c r="BH31" s="92">
        <v>1000</v>
      </c>
      <c r="BI31" s="92">
        <v>1000</v>
      </c>
      <c r="BJ31" s="92">
        <v>1000</v>
      </c>
      <c r="BK31" s="93">
        <v>1000</v>
      </c>
      <c r="BL31" s="93">
        <v>1000</v>
      </c>
      <c r="BM31" s="93">
        <v>1000</v>
      </c>
      <c r="BN31" s="92"/>
      <c r="BO31" s="106">
        <v>1000</v>
      </c>
      <c r="BP31" s="106">
        <v>1000</v>
      </c>
      <c r="BQ31" s="106">
        <v>1000</v>
      </c>
      <c r="BR31" s="93">
        <v>1000</v>
      </c>
      <c r="BS31" s="93">
        <v>1000</v>
      </c>
      <c r="BT31" s="93">
        <v>1000</v>
      </c>
      <c r="BU31" s="198"/>
      <c r="BV31" s="198"/>
      <c r="BW31" s="107"/>
    </row>
    <row r="32" spans="1:119" s="6" customFormat="1" x14ac:dyDescent="0.25">
      <c r="A32" s="5"/>
      <c r="B32" s="1" t="s">
        <v>28</v>
      </c>
      <c r="C32" s="70"/>
      <c r="D32" s="71"/>
      <c r="E32" s="71">
        <f t="shared" ref="E32:BM32" si="19">AVERAGE(E6:E10)</f>
        <v>7.2</v>
      </c>
      <c r="F32" s="71">
        <f t="shared" si="19"/>
        <v>11.1</v>
      </c>
      <c r="G32" s="71">
        <f t="shared" si="19"/>
        <v>4.4000000000000004</v>
      </c>
      <c r="H32" s="71">
        <f t="shared" si="19"/>
        <v>9.6999999999999993</v>
      </c>
      <c r="I32" s="71">
        <f t="shared" si="19"/>
        <v>7.4</v>
      </c>
      <c r="J32" s="71">
        <f t="shared" si="19"/>
        <v>8.6</v>
      </c>
      <c r="K32" s="71">
        <f t="shared" si="19"/>
        <v>9.1999999999999993</v>
      </c>
      <c r="L32" s="71">
        <f t="shared" si="19"/>
        <v>4.8</v>
      </c>
      <c r="M32" s="71">
        <f t="shared" si="19"/>
        <v>4.7</v>
      </c>
      <c r="N32" s="71">
        <f t="shared" si="19"/>
        <v>7.2</v>
      </c>
      <c r="O32" s="71">
        <f t="shared" si="19"/>
        <v>8.9</v>
      </c>
      <c r="P32" s="71">
        <f t="shared" si="19"/>
        <v>4.5</v>
      </c>
      <c r="Q32" s="71">
        <f t="shared" si="19"/>
        <v>4.5999999999999996</v>
      </c>
      <c r="R32" s="71">
        <f t="shared" si="19"/>
        <v>7.3</v>
      </c>
      <c r="S32" s="71">
        <f t="shared" si="19"/>
        <v>8.6999999999999993</v>
      </c>
      <c r="T32" s="72">
        <f t="shared" si="19"/>
        <v>3.7360000000000007</v>
      </c>
      <c r="U32" s="72">
        <f t="shared" si="19"/>
        <v>6.944</v>
      </c>
      <c r="V32" s="72">
        <f t="shared" si="19"/>
        <v>9.1859999999999982</v>
      </c>
      <c r="W32" s="71"/>
      <c r="X32" s="71">
        <f t="shared" si="19"/>
        <v>4.7</v>
      </c>
      <c r="Y32" s="71">
        <f t="shared" si="19"/>
        <v>8.6</v>
      </c>
      <c r="Z32" s="71">
        <f t="shared" si="19"/>
        <v>10.5</v>
      </c>
      <c r="AA32" s="71">
        <f t="shared" si="19"/>
        <v>4.8</v>
      </c>
      <c r="AB32" s="71">
        <f t="shared" si="19"/>
        <v>7.419999999999999</v>
      </c>
      <c r="AC32" s="71">
        <f t="shared" si="19"/>
        <v>9.68</v>
      </c>
      <c r="AD32" s="71">
        <f t="shared" si="19"/>
        <v>4.5000000000000009</v>
      </c>
      <c r="AE32" s="71">
        <f t="shared" si="19"/>
        <v>7.8400000000000007</v>
      </c>
      <c r="AF32" s="71">
        <f t="shared" si="19"/>
        <v>9.7600000000000016</v>
      </c>
      <c r="AG32" s="71">
        <f t="shared" si="19"/>
        <v>4.72</v>
      </c>
      <c r="AH32" s="71">
        <f t="shared" si="19"/>
        <v>7.44</v>
      </c>
      <c r="AI32" s="71">
        <f t="shared" si="19"/>
        <v>9.7600000000000016</v>
      </c>
      <c r="AJ32" s="71">
        <f t="shared" si="19"/>
        <v>4.84</v>
      </c>
      <c r="AK32" s="71">
        <f t="shared" si="19"/>
        <v>5.8400000000000007</v>
      </c>
      <c r="AL32" s="71">
        <f t="shared" si="19"/>
        <v>9.4000000000000021</v>
      </c>
      <c r="AM32" s="72">
        <f t="shared" si="19"/>
        <v>4.42</v>
      </c>
      <c r="AN32" s="72">
        <f t="shared" si="19"/>
        <v>8.1160000000000014</v>
      </c>
      <c r="AO32" s="72">
        <f t="shared" si="19"/>
        <v>10.526</v>
      </c>
      <c r="AP32" s="71"/>
      <c r="AQ32" s="71">
        <f t="shared" si="19"/>
        <v>5.9</v>
      </c>
      <c r="AR32" s="71">
        <f t="shared" si="19"/>
        <v>9.9</v>
      </c>
      <c r="AS32" s="71">
        <f t="shared" si="19"/>
        <v>12.8</v>
      </c>
      <c r="AT32" s="71">
        <f t="shared" si="19"/>
        <v>5.8</v>
      </c>
      <c r="AU32" s="71">
        <f t="shared" si="19"/>
        <v>10.1</v>
      </c>
      <c r="AV32" s="71">
        <f t="shared" si="19"/>
        <v>12.9</v>
      </c>
      <c r="AW32" s="71">
        <f t="shared" si="19"/>
        <v>5.48</v>
      </c>
      <c r="AX32" s="71">
        <f t="shared" si="19"/>
        <v>9.1999999999999993</v>
      </c>
      <c r="AY32" s="71">
        <f t="shared" si="19"/>
        <v>9.1999999999999993</v>
      </c>
      <c r="AZ32" s="71">
        <f t="shared" si="19"/>
        <v>11.58</v>
      </c>
      <c r="BA32" s="71">
        <f t="shared" si="19"/>
        <v>11.58</v>
      </c>
      <c r="BB32" s="71">
        <f t="shared" si="19"/>
        <v>5.5200000000000005</v>
      </c>
      <c r="BC32" s="71">
        <f t="shared" si="19"/>
        <v>9.1</v>
      </c>
      <c r="BD32" s="71">
        <f t="shared" si="19"/>
        <v>9.1</v>
      </c>
      <c r="BE32" s="71">
        <f t="shared" si="19"/>
        <v>11.48</v>
      </c>
      <c r="BF32" s="71">
        <f t="shared" si="19"/>
        <v>5.68</v>
      </c>
      <c r="BG32" s="71">
        <f t="shared" si="19"/>
        <v>9.0599999999999987</v>
      </c>
      <c r="BH32" s="71">
        <f t="shared" si="19"/>
        <v>9.0599999999999987</v>
      </c>
      <c r="BI32" s="71">
        <f t="shared" si="19"/>
        <v>11.84</v>
      </c>
      <c r="BJ32" s="71">
        <f t="shared" si="19"/>
        <v>11.84</v>
      </c>
      <c r="BK32" s="72">
        <f t="shared" si="19"/>
        <v>5.08</v>
      </c>
      <c r="BL32" s="72">
        <f t="shared" si="19"/>
        <v>9.41</v>
      </c>
      <c r="BM32" s="72">
        <f t="shared" si="19"/>
        <v>12.001999999999999</v>
      </c>
      <c r="BN32" s="71"/>
      <c r="BO32" s="204">
        <f t="shared" ref="BO32:BW32" si="20">AVERAGE(BO6:BO10)</f>
        <v>7</v>
      </c>
      <c r="BP32" s="204">
        <f t="shared" si="20"/>
        <v>11.48</v>
      </c>
      <c r="BQ32" s="204">
        <f t="shared" si="20"/>
        <v>14.5</v>
      </c>
      <c r="BR32" s="72">
        <f t="shared" si="20"/>
        <v>7.1859999999999999</v>
      </c>
      <c r="BS32" s="72">
        <f t="shared" si="20"/>
        <v>12.08</v>
      </c>
      <c r="BT32" s="72">
        <f t="shared" si="20"/>
        <v>14.829999999999998</v>
      </c>
      <c r="BU32" s="205"/>
      <c r="BV32" s="205"/>
      <c r="BW32" s="206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</row>
    <row r="33" spans="1:119" s="6" customFormat="1" x14ac:dyDescent="0.25">
      <c r="A33" s="5"/>
      <c r="B33" s="91" t="s">
        <v>29</v>
      </c>
      <c r="C33" s="70"/>
      <c r="D33" s="71"/>
      <c r="E33" s="71">
        <v>7.0000000000000007E-2</v>
      </c>
      <c r="F33" s="71">
        <v>7.0000000000000007E-2</v>
      </c>
      <c r="G33" s="71">
        <v>7.0000000000000007E-2</v>
      </c>
      <c r="H33" s="71">
        <v>7.0000000000000007E-2</v>
      </c>
      <c r="I33" s="71">
        <v>7.0000000000000007E-2</v>
      </c>
      <c r="J33" s="71">
        <v>7.0000000000000007E-2</v>
      </c>
      <c r="K33" s="71">
        <v>7.0000000000000007E-2</v>
      </c>
      <c r="L33" s="71">
        <v>7.0000000000000007E-2</v>
      </c>
      <c r="M33" s="71">
        <v>7.0000000000000007E-2</v>
      </c>
      <c r="N33" s="71">
        <v>7.0000000000000007E-2</v>
      </c>
      <c r="O33" s="71">
        <v>7.0000000000000007E-2</v>
      </c>
      <c r="P33" s="71">
        <v>7.0000000000000007E-2</v>
      </c>
      <c r="Q33" s="71">
        <v>7.0000000000000007E-2</v>
      </c>
      <c r="R33" s="71">
        <v>7.0000000000000007E-2</v>
      </c>
      <c r="S33" s="71">
        <v>7.0000000000000007E-2</v>
      </c>
      <c r="T33" s="72">
        <v>7.0000000000000007E-2</v>
      </c>
      <c r="U33" s="72">
        <v>7.0000000000000007E-2</v>
      </c>
      <c r="V33" s="72">
        <v>7.0000000000000007E-2</v>
      </c>
      <c r="W33" s="71"/>
      <c r="X33" s="71">
        <v>7.0000000000000007E-2</v>
      </c>
      <c r="Y33" s="71">
        <v>7.0000000000000007E-2</v>
      </c>
      <c r="Z33" s="71">
        <v>7.0000000000000007E-2</v>
      </c>
      <c r="AA33" s="71">
        <v>7.0000000000000007E-2</v>
      </c>
      <c r="AB33" s="71">
        <v>7.0000000000000007E-2</v>
      </c>
      <c r="AC33" s="71">
        <v>7.0000000000000007E-2</v>
      </c>
      <c r="AD33" s="71">
        <v>7.0000000000000007E-2</v>
      </c>
      <c r="AE33" s="71">
        <v>7.0000000000000007E-2</v>
      </c>
      <c r="AF33" s="71">
        <v>7.0000000000000007E-2</v>
      </c>
      <c r="AG33" s="71">
        <v>7.0000000000000007E-2</v>
      </c>
      <c r="AH33" s="71">
        <v>7.0000000000000007E-2</v>
      </c>
      <c r="AI33" s="71">
        <v>7.0000000000000007E-2</v>
      </c>
      <c r="AJ33" s="71">
        <v>7.0000000000000007E-2</v>
      </c>
      <c r="AK33" s="71">
        <v>7.0000000000000007E-2</v>
      </c>
      <c r="AL33" s="71">
        <v>7.0000000000000007E-2</v>
      </c>
      <c r="AM33" s="72">
        <v>7.0000000000000007E-2</v>
      </c>
      <c r="AN33" s="72">
        <v>7.0000000000000007E-2</v>
      </c>
      <c r="AO33" s="72">
        <v>7.0000000000000007E-2</v>
      </c>
      <c r="AP33" s="71"/>
      <c r="AQ33" s="71">
        <v>7.0000000000000007E-2</v>
      </c>
      <c r="AR33" s="71">
        <v>7.0000000000000007E-2</v>
      </c>
      <c r="AS33" s="71">
        <v>7.0000000000000007E-2</v>
      </c>
      <c r="AT33" s="71">
        <v>7.0000000000000007E-2</v>
      </c>
      <c r="AU33" s="71">
        <v>7.0000000000000007E-2</v>
      </c>
      <c r="AV33" s="71">
        <v>7.0000000000000007E-2</v>
      </c>
      <c r="AW33" s="71">
        <v>7.0000000000000007E-2</v>
      </c>
      <c r="AX33" s="71">
        <v>7.0000000000000007E-2</v>
      </c>
      <c r="AY33" s="71">
        <v>7.0000000000000007E-2</v>
      </c>
      <c r="AZ33" s="71">
        <v>7.0000000000000007E-2</v>
      </c>
      <c r="BA33" s="71">
        <v>7.0000000000000007E-2</v>
      </c>
      <c r="BB33" s="71">
        <v>7.0000000000000007E-2</v>
      </c>
      <c r="BC33" s="71">
        <v>7.0000000000000007E-2</v>
      </c>
      <c r="BD33" s="71">
        <v>7.0000000000000007E-2</v>
      </c>
      <c r="BE33" s="71">
        <v>7.0000000000000007E-2</v>
      </c>
      <c r="BF33" s="71">
        <v>7.0000000000000007E-2</v>
      </c>
      <c r="BG33" s="71">
        <v>7.0000000000000007E-2</v>
      </c>
      <c r="BH33" s="71">
        <v>7.0000000000000007E-2</v>
      </c>
      <c r="BI33" s="71">
        <v>7.0000000000000007E-2</v>
      </c>
      <c r="BJ33" s="71">
        <v>7.0000000000000007E-2</v>
      </c>
      <c r="BK33" s="72">
        <v>7.0000000000000007E-2</v>
      </c>
      <c r="BL33" s="72">
        <v>7.0000000000000007E-2</v>
      </c>
      <c r="BM33" s="72">
        <v>7.0000000000000007E-2</v>
      </c>
      <c r="BN33" s="71"/>
      <c r="BO33" s="204">
        <v>7.0000000000000007E-2</v>
      </c>
      <c r="BP33" s="204">
        <v>7.0000000000000007E-2</v>
      </c>
      <c r="BQ33" s="204">
        <v>7.0000000000000007E-2</v>
      </c>
      <c r="BR33" s="72">
        <v>7.0000000000000007E-2</v>
      </c>
      <c r="BS33" s="72">
        <v>7.0000000000000007E-2</v>
      </c>
      <c r="BT33" s="72">
        <v>7.0000000000000007E-2</v>
      </c>
      <c r="BU33" s="205"/>
      <c r="BV33" s="205"/>
      <c r="BW33" s="206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</row>
    <row r="34" spans="1:119" s="49" customFormat="1" x14ac:dyDescent="0.25">
      <c r="A34" s="5"/>
      <c r="B34" s="94" t="s">
        <v>30</v>
      </c>
      <c r="C34" s="70"/>
      <c r="D34" s="71"/>
      <c r="E34" s="71">
        <v>0.03</v>
      </c>
      <c r="F34" s="71">
        <v>0.03</v>
      </c>
      <c r="G34" s="71">
        <v>0.03</v>
      </c>
      <c r="H34" s="71">
        <v>0.03</v>
      </c>
      <c r="I34" s="71">
        <v>0.03</v>
      </c>
      <c r="J34" s="71">
        <v>0.03</v>
      </c>
      <c r="K34" s="71">
        <v>0.03</v>
      </c>
      <c r="L34" s="71">
        <v>0.03</v>
      </c>
      <c r="M34" s="71">
        <v>0.03</v>
      </c>
      <c r="N34" s="71">
        <v>0.03</v>
      </c>
      <c r="O34" s="71">
        <v>0.03</v>
      </c>
      <c r="P34" s="71">
        <v>0.03</v>
      </c>
      <c r="Q34" s="71">
        <v>0.03</v>
      </c>
      <c r="R34" s="71">
        <v>0.03</v>
      </c>
      <c r="S34" s="71">
        <v>0.03</v>
      </c>
      <c r="T34" s="72">
        <v>0.03</v>
      </c>
      <c r="U34" s="72">
        <v>0.03</v>
      </c>
      <c r="V34" s="72">
        <v>0.03</v>
      </c>
      <c r="W34" s="71"/>
      <c r="X34" s="71">
        <v>0.03</v>
      </c>
      <c r="Y34" s="71">
        <v>0.03</v>
      </c>
      <c r="Z34" s="71">
        <v>0.03</v>
      </c>
      <c r="AA34" s="71">
        <v>0.03</v>
      </c>
      <c r="AB34" s="71">
        <v>0.03</v>
      </c>
      <c r="AC34" s="71">
        <v>0.03</v>
      </c>
      <c r="AD34" s="71">
        <v>0.03</v>
      </c>
      <c r="AE34" s="71">
        <v>0.03</v>
      </c>
      <c r="AF34" s="71">
        <v>0.03</v>
      </c>
      <c r="AG34" s="71">
        <v>0.03</v>
      </c>
      <c r="AH34" s="71">
        <v>0.03</v>
      </c>
      <c r="AI34" s="71">
        <v>0.03</v>
      </c>
      <c r="AJ34" s="71">
        <v>0.03</v>
      </c>
      <c r="AK34" s="71">
        <v>0.03</v>
      </c>
      <c r="AL34" s="71">
        <v>0.03</v>
      </c>
      <c r="AM34" s="72">
        <v>0.03</v>
      </c>
      <c r="AN34" s="72">
        <v>0.03</v>
      </c>
      <c r="AO34" s="72">
        <v>0.03</v>
      </c>
      <c r="AP34" s="71"/>
      <c r="AQ34" s="71">
        <v>0.03</v>
      </c>
      <c r="AR34" s="71">
        <v>0.03</v>
      </c>
      <c r="AS34" s="71">
        <v>0.03</v>
      </c>
      <c r="AT34" s="71">
        <v>0.03</v>
      </c>
      <c r="AU34" s="71">
        <v>0.03</v>
      </c>
      <c r="AV34" s="71">
        <v>0.03</v>
      </c>
      <c r="AW34" s="71">
        <v>0.03</v>
      </c>
      <c r="AX34" s="71">
        <v>0.03</v>
      </c>
      <c r="AY34" s="71">
        <v>0.03</v>
      </c>
      <c r="AZ34" s="71">
        <v>0.03</v>
      </c>
      <c r="BA34" s="71">
        <v>0.03</v>
      </c>
      <c r="BB34" s="71">
        <v>0.03</v>
      </c>
      <c r="BC34" s="71">
        <v>0.03</v>
      </c>
      <c r="BD34" s="71">
        <v>0.03</v>
      </c>
      <c r="BE34" s="71">
        <v>0.03</v>
      </c>
      <c r="BF34" s="71">
        <v>0.03</v>
      </c>
      <c r="BG34" s="71">
        <v>0.03</v>
      </c>
      <c r="BH34" s="71">
        <v>0.03</v>
      </c>
      <c r="BI34" s="71">
        <v>0.03</v>
      </c>
      <c r="BJ34" s="71">
        <v>0.03</v>
      </c>
      <c r="BK34" s="72">
        <v>0.03</v>
      </c>
      <c r="BL34" s="72">
        <v>0.03</v>
      </c>
      <c r="BM34" s="72">
        <v>0.03</v>
      </c>
      <c r="BN34" s="71"/>
      <c r="BO34" s="204">
        <v>0.03</v>
      </c>
      <c r="BP34" s="204">
        <v>0.03</v>
      </c>
      <c r="BQ34" s="204">
        <v>0.03</v>
      </c>
      <c r="BR34" s="72">
        <v>0.03</v>
      </c>
      <c r="BS34" s="72">
        <v>0.03</v>
      </c>
      <c r="BT34" s="72">
        <v>0.03</v>
      </c>
      <c r="BU34" s="205"/>
      <c r="BV34" s="205"/>
      <c r="BW34" s="206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6"/>
      <c r="DN34" s="6"/>
      <c r="DO34" s="6"/>
    </row>
    <row r="35" spans="1:119" s="49" customFormat="1" x14ac:dyDescent="0.25">
      <c r="A35" s="5"/>
      <c r="B35" s="94" t="s">
        <v>31</v>
      </c>
      <c r="C35" s="70"/>
      <c r="D35" s="71"/>
      <c r="E35" s="71">
        <f t="shared" ref="E35:BM35" si="21">(E12/100)-E34</f>
        <v>6.5000000000000002E-2</v>
      </c>
      <c r="F35" s="71">
        <f t="shared" si="21"/>
        <v>0.13</v>
      </c>
      <c r="G35" s="71">
        <f t="shared" si="21"/>
        <v>2.0000000000000004E-2</v>
      </c>
      <c r="H35" s="71">
        <f t="shared" si="21"/>
        <v>0.10500000000000001</v>
      </c>
      <c r="I35" s="71">
        <f t="shared" si="21"/>
        <v>7.0000000000000007E-2</v>
      </c>
      <c r="J35" s="71">
        <f t="shared" si="21"/>
        <v>0.06</v>
      </c>
      <c r="K35" s="71">
        <f t="shared" si="21"/>
        <v>0.10500000000000001</v>
      </c>
      <c r="L35" s="71">
        <f t="shared" si="21"/>
        <v>2.0000000000000004E-2</v>
      </c>
      <c r="M35" s="71">
        <f t="shared" si="21"/>
        <v>2.0000000000000004E-2</v>
      </c>
      <c r="N35" s="71">
        <f t="shared" si="21"/>
        <v>6.5000000000000002E-2</v>
      </c>
      <c r="O35" s="71">
        <f t="shared" si="21"/>
        <v>0.11000000000000001</v>
      </c>
      <c r="P35" s="71">
        <f t="shared" si="21"/>
        <v>2.0000000000000004E-2</v>
      </c>
      <c r="Q35" s="71">
        <f t="shared" si="21"/>
        <v>2.0000000000000004E-2</v>
      </c>
      <c r="R35" s="71">
        <f t="shared" si="21"/>
        <v>7.0000000000000007E-2</v>
      </c>
      <c r="S35" s="71">
        <f t="shared" si="21"/>
        <v>0.10500000000000001</v>
      </c>
      <c r="T35" s="72">
        <f t="shared" si="21"/>
        <v>2.0000000000000004E-2</v>
      </c>
      <c r="U35" s="72">
        <f t="shared" si="21"/>
        <v>6.8000000000000005E-2</v>
      </c>
      <c r="V35" s="72">
        <f t="shared" si="21"/>
        <v>0.11000000000000001</v>
      </c>
      <c r="W35" s="71"/>
      <c r="X35" s="71">
        <f t="shared" si="21"/>
        <v>2.0000000000000004E-2</v>
      </c>
      <c r="Y35" s="71">
        <f t="shared" si="21"/>
        <v>7.0000000000000007E-2</v>
      </c>
      <c r="Z35" s="71">
        <f t="shared" si="21"/>
        <v>0.10500000000000001</v>
      </c>
      <c r="AA35" s="71">
        <f t="shared" si="21"/>
        <v>2.0000000000000004E-2</v>
      </c>
      <c r="AB35" s="71">
        <f t="shared" si="21"/>
        <v>0.06</v>
      </c>
      <c r="AC35" s="71">
        <f t="shared" si="21"/>
        <v>0.11000000000000001</v>
      </c>
      <c r="AD35" s="71">
        <f t="shared" si="21"/>
        <v>2.0000000000000004E-2</v>
      </c>
      <c r="AE35" s="71">
        <f t="shared" si="21"/>
        <v>6.5000000000000002E-2</v>
      </c>
      <c r="AF35" s="71">
        <f t="shared" si="21"/>
        <v>0.11000000000000001</v>
      </c>
      <c r="AG35" s="71">
        <f t="shared" si="21"/>
        <v>2.0000000000000004E-2</v>
      </c>
      <c r="AH35" s="71">
        <f t="shared" si="21"/>
        <v>6.5000000000000002E-2</v>
      </c>
      <c r="AI35" s="71">
        <f t="shared" si="21"/>
        <v>0.11000000000000001</v>
      </c>
      <c r="AJ35" s="71">
        <f t="shared" si="21"/>
        <v>2.0000000000000004E-2</v>
      </c>
      <c r="AK35" s="71">
        <f t="shared" si="21"/>
        <v>6.5000000000000002E-2</v>
      </c>
      <c r="AL35" s="71">
        <f t="shared" si="21"/>
        <v>0.11000000000000001</v>
      </c>
      <c r="AM35" s="72">
        <f t="shared" si="21"/>
        <v>2.0000000000000004E-2</v>
      </c>
      <c r="AN35" s="72">
        <f t="shared" si="21"/>
        <v>7.0000000000000007E-2</v>
      </c>
      <c r="AO35" s="72">
        <f t="shared" si="21"/>
        <v>0.11000000000000001</v>
      </c>
      <c r="AP35" s="71"/>
      <c r="AQ35" s="71">
        <f t="shared" si="21"/>
        <v>2.0000000000000004E-2</v>
      </c>
      <c r="AR35" s="71">
        <f t="shared" si="21"/>
        <v>6.5000000000000002E-2</v>
      </c>
      <c r="AS35" s="71">
        <f t="shared" si="21"/>
        <v>0.10500000000000001</v>
      </c>
      <c r="AT35" s="71">
        <f t="shared" si="21"/>
        <v>2.0000000000000004E-2</v>
      </c>
      <c r="AU35" s="71">
        <f t="shared" si="21"/>
        <v>7.0000000000000007E-2</v>
      </c>
      <c r="AV35" s="71">
        <f t="shared" si="21"/>
        <v>0.11000000000000001</v>
      </c>
      <c r="AW35" s="71">
        <f t="shared" si="21"/>
        <v>2.0000000000000004E-2</v>
      </c>
      <c r="AX35" s="71">
        <f t="shared" si="21"/>
        <v>6.8000000000000005E-2</v>
      </c>
      <c r="AY35" s="71">
        <f t="shared" si="21"/>
        <v>6.8000000000000005E-2</v>
      </c>
      <c r="AZ35" s="71">
        <f t="shared" si="21"/>
        <v>0.10500000000000001</v>
      </c>
      <c r="BA35" s="71">
        <f t="shared" si="21"/>
        <v>0.10500000000000001</v>
      </c>
      <c r="BB35" s="71">
        <f t="shared" si="21"/>
        <v>2.0000000000000004E-2</v>
      </c>
      <c r="BC35" s="71">
        <f t="shared" si="21"/>
        <v>6.8000000000000005E-2</v>
      </c>
      <c r="BD35" s="71">
        <f t="shared" si="21"/>
        <v>6.8000000000000005E-2</v>
      </c>
      <c r="BE35" s="71">
        <f t="shared" si="21"/>
        <v>0.10500000000000001</v>
      </c>
      <c r="BF35" s="71">
        <f t="shared" si="21"/>
        <v>2.0000000000000004E-2</v>
      </c>
      <c r="BG35" s="71">
        <f t="shared" si="21"/>
        <v>0.06</v>
      </c>
      <c r="BH35" s="71">
        <f t="shared" si="21"/>
        <v>0.06</v>
      </c>
      <c r="BI35" s="71">
        <f t="shared" si="21"/>
        <v>0.11000000000000001</v>
      </c>
      <c r="BJ35" s="71">
        <f t="shared" si="21"/>
        <v>0.11000000000000001</v>
      </c>
      <c r="BK35" s="72">
        <f t="shared" si="21"/>
        <v>2.0000000000000004E-2</v>
      </c>
      <c r="BL35" s="72">
        <f t="shared" si="21"/>
        <v>7.0000000000000007E-2</v>
      </c>
      <c r="BM35" s="72">
        <f t="shared" si="21"/>
        <v>0.11000000000000001</v>
      </c>
      <c r="BN35" s="71"/>
      <c r="BO35" s="204">
        <f t="shared" ref="BO35:BW35" si="22">(BO12/100)-BO34</f>
        <v>2.0000000000000004E-2</v>
      </c>
      <c r="BP35" s="204">
        <f t="shared" si="22"/>
        <v>6.5000000000000002E-2</v>
      </c>
      <c r="BQ35" s="204">
        <f t="shared" si="22"/>
        <v>0.11000000000000001</v>
      </c>
      <c r="BR35" s="72">
        <f t="shared" si="22"/>
        <v>2.0000000000000004E-2</v>
      </c>
      <c r="BS35" s="72">
        <f t="shared" si="22"/>
        <v>7.0000000000000007E-2</v>
      </c>
      <c r="BT35" s="72">
        <f t="shared" si="22"/>
        <v>0.11000000000000001</v>
      </c>
      <c r="BU35" s="205"/>
      <c r="BV35" s="205"/>
      <c r="BW35" s="206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6"/>
      <c r="DN35" s="6"/>
      <c r="DO35" s="6"/>
    </row>
    <row r="36" spans="1:119" s="49" customFormat="1" x14ac:dyDescent="0.25">
      <c r="A36" s="5"/>
      <c r="B36" s="94" t="s">
        <v>32</v>
      </c>
      <c r="C36" s="70"/>
      <c r="D36" s="71"/>
      <c r="E36" s="71">
        <v>0.5</v>
      </c>
      <c r="F36" s="71">
        <v>0.5</v>
      </c>
      <c r="G36" s="71">
        <v>0.5</v>
      </c>
      <c r="H36" s="71">
        <v>0.5</v>
      </c>
      <c r="I36" s="71">
        <v>0.5</v>
      </c>
      <c r="J36" s="71">
        <v>0.5</v>
      </c>
      <c r="K36" s="71">
        <v>0.5</v>
      </c>
      <c r="L36" s="71">
        <v>0.5</v>
      </c>
      <c r="M36" s="71">
        <v>0.5</v>
      </c>
      <c r="N36" s="71">
        <v>0.5</v>
      </c>
      <c r="O36" s="71">
        <v>0.5</v>
      </c>
      <c r="P36" s="71">
        <v>0.5</v>
      </c>
      <c r="Q36" s="71">
        <v>0.5</v>
      </c>
      <c r="R36" s="71">
        <v>0.5</v>
      </c>
      <c r="S36" s="71">
        <v>0.5</v>
      </c>
      <c r="T36" s="72">
        <v>0.5</v>
      </c>
      <c r="U36" s="72">
        <v>0.5</v>
      </c>
      <c r="V36" s="72">
        <v>0.5</v>
      </c>
      <c r="W36" s="71"/>
      <c r="X36" s="71">
        <v>0.5</v>
      </c>
      <c r="Y36" s="71">
        <v>0.5</v>
      </c>
      <c r="Z36" s="71">
        <v>0.5</v>
      </c>
      <c r="AA36" s="71">
        <v>0.5</v>
      </c>
      <c r="AB36" s="71">
        <v>0.5</v>
      </c>
      <c r="AC36" s="71">
        <v>0.5</v>
      </c>
      <c r="AD36" s="71">
        <v>0.5</v>
      </c>
      <c r="AE36" s="71">
        <v>0.5</v>
      </c>
      <c r="AF36" s="71">
        <v>0.5</v>
      </c>
      <c r="AG36" s="71">
        <v>0.5</v>
      </c>
      <c r="AH36" s="71">
        <v>0.5</v>
      </c>
      <c r="AI36" s="71">
        <v>0.5</v>
      </c>
      <c r="AJ36" s="71">
        <v>0.5</v>
      </c>
      <c r="AK36" s="71">
        <v>0.5</v>
      </c>
      <c r="AL36" s="71">
        <v>0.5</v>
      </c>
      <c r="AM36" s="72">
        <v>0.5</v>
      </c>
      <c r="AN36" s="72">
        <v>0.5</v>
      </c>
      <c r="AO36" s="72">
        <v>0.5</v>
      </c>
      <c r="AP36" s="71"/>
      <c r="AQ36" s="71">
        <v>0.5</v>
      </c>
      <c r="AR36" s="71">
        <v>0.5</v>
      </c>
      <c r="AS36" s="71">
        <v>0.5</v>
      </c>
      <c r="AT36" s="71">
        <v>0.5</v>
      </c>
      <c r="AU36" s="71">
        <v>0.5</v>
      </c>
      <c r="AV36" s="71">
        <v>0.5</v>
      </c>
      <c r="AW36" s="71">
        <v>0.5</v>
      </c>
      <c r="AX36" s="71">
        <v>0.5</v>
      </c>
      <c r="AY36" s="71">
        <v>0.5</v>
      </c>
      <c r="AZ36" s="71">
        <v>0.5</v>
      </c>
      <c r="BA36" s="71">
        <v>0.5</v>
      </c>
      <c r="BB36" s="71">
        <v>0.5</v>
      </c>
      <c r="BC36" s="71">
        <v>0.5</v>
      </c>
      <c r="BD36" s="71">
        <v>0.5</v>
      </c>
      <c r="BE36" s="71">
        <v>0.5</v>
      </c>
      <c r="BF36" s="71">
        <v>0.5</v>
      </c>
      <c r="BG36" s="71">
        <v>0.5</v>
      </c>
      <c r="BH36" s="71">
        <v>0.5</v>
      </c>
      <c r="BI36" s="71">
        <v>0.5</v>
      </c>
      <c r="BJ36" s="71">
        <v>0.5</v>
      </c>
      <c r="BK36" s="72">
        <v>0.5</v>
      </c>
      <c r="BL36" s="72">
        <v>0.5</v>
      </c>
      <c r="BM36" s="72">
        <v>0.5</v>
      </c>
      <c r="BN36" s="71"/>
      <c r="BO36" s="204">
        <v>0.5</v>
      </c>
      <c r="BP36" s="204">
        <v>0.5</v>
      </c>
      <c r="BQ36" s="204">
        <v>0.5</v>
      </c>
      <c r="BR36" s="72">
        <v>0.5</v>
      </c>
      <c r="BS36" s="72">
        <v>0.5</v>
      </c>
      <c r="BT36" s="72">
        <v>0.5</v>
      </c>
      <c r="BU36" s="205"/>
      <c r="BV36" s="205"/>
      <c r="BW36" s="206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6"/>
      <c r="DN36" s="6"/>
      <c r="DO36" s="6"/>
    </row>
    <row r="37" spans="1:119" s="96" customFormat="1" x14ac:dyDescent="0.25">
      <c r="A37" s="180" t="s">
        <v>33</v>
      </c>
      <c r="B37" s="95" t="s">
        <v>34</v>
      </c>
      <c r="D37" s="97"/>
      <c r="E37" s="97">
        <v>1</v>
      </c>
      <c r="F37" s="97">
        <v>1</v>
      </c>
      <c r="G37" s="97">
        <v>1</v>
      </c>
      <c r="H37" s="97">
        <v>1</v>
      </c>
      <c r="I37" s="97">
        <v>1</v>
      </c>
      <c r="J37" s="97">
        <v>1</v>
      </c>
      <c r="K37" s="97">
        <v>1</v>
      </c>
      <c r="L37" s="97">
        <v>1</v>
      </c>
      <c r="M37" s="97">
        <v>1</v>
      </c>
      <c r="N37" s="97">
        <v>1</v>
      </c>
      <c r="O37" s="97">
        <v>1</v>
      </c>
      <c r="P37" s="97">
        <v>1</v>
      </c>
      <c r="Q37" s="97">
        <v>1</v>
      </c>
      <c r="R37" s="97">
        <v>1</v>
      </c>
      <c r="S37" s="97">
        <v>1</v>
      </c>
      <c r="T37" s="98">
        <v>1</v>
      </c>
      <c r="U37" s="98">
        <v>1</v>
      </c>
      <c r="V37" s="98">
        <v>1</v>
      </c>
      <c r="W37" s="97"/>
      <c r="X37" s="97">
        <v>1</v>
      </c>
      <c r="Y37" s="97">
        <v>1</v>
      </c>
      <c r="Z37" s="97">
        <v>1</v>
      </c>
      <c r="AA37" s="97">
        <v>1</v>
      </c>
      <c r="AB37" s="97">
        <v>1</v>
      </c>
      <c r="AC37" s="97">
        <v>1</v>
      </c>
      <c r="AD37" s="97">
        <v>1</v>
      </c>
      <c r="AE37" s="97">
        <v>1</v>
      </c>
      <c r="AF37" s="97">
        <v>1</v>
      </c>
      <c r="AG37" s="97">
        <v>1</v>
      </c>
      <c r="AH37" s="97">
        <v>1</v>
      </c>
      <c r="AI37" s="97">
        <v>1</v>
      </c>
      <c r="AJ37" s="97">
        <v>1</v>
      </c>
      <c r="AK37" s="97">
        <v>1</v>
      </c>
      <c r="AL37" s="97">
        <v>1</v>
      </c>
      <c r="AM37" s="98">
        <v>1</v>
      </c>
      <c r="AN37" s="98">
        <v>1</v>
      </c>
      <c r="AO37" s="98">
        <v>1</v>
      </c>
      <c r="AP37" s="97"/>
      <c r="AQ37" s="97">
        <v>1</v>
      </c>
      <c r="AR37" s="97">
        <v>1</v>
      </c>
      <c r="AS37" s="97">
        <v>1</v>
      </c>
      <c r="AT37" s="97">
        <v>1</v>
      </c>
      <c r="AU37" s="97">
        <v>1</v>
      </c>
      <c r="AV37" s="97">
        <v>1</v>
      </c>
      <c r="AW37" s="97">
        <v>1</v>
      </c>
      <c r="AX37" s="97">
        <v>1</v>
      </c>
      <c r="AY37" s="97">
        <v>1</v>
      </c>
      <c r="AZ37" s="97">
        <v>1</v>
      </c>
      <c r="BA37" s="97">
        <v>1</v>
      </c>
      <c r="BB37" s="97">
        <v>1</v>
      </c>
      <c r="BC37" s="97">
        <v>1</v>
      </c>
      <c r="BD37" s="97">
        <v>1</v>
      </c>
      <c r="BE37" s="97">
        <v>1</v>
      </c>
      <c r="BF37" s="97">
        <v>1</v>
      </c>
      <c r="BG37" s="97">
        <v>1</v>
      </c>
      <c r="BH37" s="97">
        <v>1</v>
      </c>
      <c r="BI37" s="97">
        <v>1</v>
      </c>
      <c r="BJ37" s="97">
        <v>1</v>
      </c>
      <c r="BK37" s="98">
        <v>1</v>
      </c>
      <c r="BL37" s="98">
        <v>1</v>
      </c>
      <c r="BM37" s="98">
        <v>1</v>
      </c>
      <c r="BN37" s="97"/>
      <c r="BO37" s="97">
        <v>1</v>
      </c>
      <c r="BP37" s="97">
        <v>1</v>
      </c>
      <c r="BQ37" s="97">
        <v>1</v>
      </c>
      <c r="BR37" s="98">
        <v>1</v>
      </c>
      <c r="BS37" s="98">
        <v>1</v>
      </c>
      <c r="BT37" s="98">
        <v>1</v>
      </c>
      <c r="BW37" s="216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</row>
    <row r="38" spans="1:119" x14ac:dyDescent="0.25">
      <c r="A38" s="178"/>
      <c r="B38" s="15" t="s">
        <v>35</v>
      </c>
      <c r="D38" s="92"/>
      <c r="E38" s="92">
        <f>IF(E34=0,0.602,0.602+(0.083*(E35/E34)))</f>
        <v>0.78183333333333338</v>
      </c>
      <c r="F38" s="92">
        <f t="shared" ref="F38:BM38" si="23">IF(F34=0,0.602,0.602+(0.083*(F35/F34)))</f>
        <v>0.96166666666666667</v>
      </c>
      <c r="G38" s="92">
        <f t="shared" si="23"/>
        <v>0.65733333333333333</v>
      </c>
      <c r="H38" s="92">
        <f t="shared" si="23"/>
        <v>0.89250000000000007</v>
      </c>
      <c r="I38" s="92">
        <f t="shared" si="23"/>
        <v>0.79566666666666663</v>
      </c>
      <c r="J38" s="92">
        <f t="shared" si="23"/>
        <v>0.76800000000000002</v>
      </c>
      <c r="K38" s="92">
        <f t="shared" si="23"/>
        <v>0.89250000000000007</v>
      </c>
      <c r="L38" s="92">
        <f t="shared" si="23"/>
        <v>0.65733333333333333</v>
      </c>
      <c r="M38" s="92">
        <f t="shared" si="23"/>
        <v>0.65733333333333333</v>
      </c>
      <c r="N38" s="92">
        <f t="shared" si="23"/>
        <v>0.78183333333333338</v>
      </c>
      <c r="O38" s="92">
        <f t="shared" si="23"/>
        <v>0.90633333333333344</v>
      </c>
      <c r="P38" s="92">
        <f t="shared" si="23"/>
        <v>0.65733333333333333</v>
      </c>
      <c r="Q38" s="92">
        <f t="shared" si="23"/>
        <v>0.65733333333333333</v>
      </c>
      <c r="R38" s="92">
        <f t="shared" si="23"/>
        <v>0.79566666666666663</v>
      </c>
      <c r="S38" s="92">
        <f t="shared" si="23"/>
        <v>0.89250000000000007</v>
      </c>
      <c r="T38" s="93">
        <f t="shared" si="23"/>
        <v>0.65733333333333333</v>
      </c>
      <c r="U38" s="93">
        <f t="shared" si="23"/>
        <v>0.79013333333333335</v>
      </c>
      <c r="V38" s="93">
        <f t="shared" si="23"/>
        <v>0.90633333333333344</v>
      </c>
      <c r="W38" s="92"/>
      <c r="X38" s="92">
        <f t="shared" si="23"/>
        <v>0.65733333333333333</v>
      </c>
      <c r="Y38" s="92">
        <f t="shared" si="23"/>
        <v>0.79566666666666663</v>
      </c>
      <c r="Z38" s="92">
        <f t="shared" si="23"/>
        <v>0.89250000000000007</v>
      </c>
      <c r="AA38" s="92">
        <f t="shared" si="23"/>
        <v>0.65733333333333333</v>
      </c>
      <c r="AB38" s="92">
        <f t="shared" si="23"/>
        <v>0.76800000000000002</v>
      </c>
      <c r="AC38" s="92">
        <f t="shared" si="23"/>
        <v>0.90633333333333344</v>
      </c>
      <c r="AD38" s="92">
        <f t="shared" si="23"/>
        <v>0.65733333333333333</v>
      </c>
      <c r="AE38" s="92">
        <f t="shared" si="23"/>
        <v>0.78183333333333338</v>
      </c>
      <c r="AF38" s="92">
        <f t="shared" si="23"/>
        <v>0.90633333333333344</v>
      </c>
      <c r="AG38" s="92">
        <f t="shared" si="23"/>
        <v>0.65733333333333333</v>
      </c>
      <c r="AH38" s="92">
        <f t="shared" si="23"/>
        <v>0.78183333333333338</v>
      </c>
      <c r="AI38" s="92">
        <f t="shared" si="23"/>
        <v>0.90633333333333344</v>
      </c>
      <c r="AJ38" s="92">
        <f t="shared" si="23"/>
        <v>0.65733333333333333</v>
      </c>
      <c r="AK38" s="92">
        <f t="shared" si="23"/>
        <v>0.78183333333333338</v>
      </c>
      <c r="AL38" s="92">
        <f t="shared" si="23"/>
        <v>0.90633333333333344</v>
      </c>
      <c r="AM38" s="93">
        <f t="shared" si="23"/>
        <v>0.65733333333333333</v>
      </c>
      <c r="AN38" s="93">
        <f t="shared" si="23"/>
        <v>0.79566666666666663</v>
      </c>
      <c r="AO38" s="93">
        <f t="shared" si="23"/>
        <v>0.90633333333333344</v>
      </c>
      <c r="AP38" s="92"/>
      <c r="AQ38" s="92">
        <f t="shared" si="23"/>
        <v>0.65733333333333333</v>
      </c>
      <c r="AR38" s="92">
        <f t="shared" si="23"/>
        <v>0.78183333333333338</v>
      </c>
      <c r="AS38" s="92">
        <f t="shared" si="23"/>
        <v>0.89250000000000007</v>
      </c>
      <c r="AT38" s="92">
        <f t="shared" si="23"/>
        <v>0.65733333333333333</v>
      </c>
      <c r="AU38" s="92">
        <f t="shared" si="23"/>
        <v>0.79566666666666663</v>
      </c>
      <c r="AV38" s="92">
        <f t="shared" si="23"/>
        <v>0.90633333333333344</v>
      </c>
      <c r="AW38" s="92">
        <f t="shared" si="23"/>
        <v>0.65733333333333333</v>
      </c>
      <c r="AX38" s="92">
        <f t="shared" si="23"/>
        <v>0.79013333333333335</v>
      </c>
      <c r="AY38" s="92">
        <f t="shared" si="23"/>
        <v>0.79013333333333335</v>
      </c>
      <c r="AZ38" s="92">
        <f t="shared" si="23"/>
        <v>0.89250000000000007</v>
      </c>
      <c r="BA38" s="92">
        <f t="shared" si="23"/>
        <v>0.89250000000000007</v>
      </c>
      <c r="BB38" s="92">
        <f t="shared" si="23"/>
        <v>0.65733333333333333</v>
      </c>
      <c r="BC38" s="92">
        <f t="shared" si="23"/>
        <v>0.79013333333333335</v>
      </c>
      <c r="BD38" s="92">
        <f t="shared" si="23"/>
        <v>0.79013333333333335</v>
      </c>
      <c r="BE38" s="92">
        <f t="shared" si="23"/>
        <v>0.89250000000000007</v>
      </c>
      <c r="BF38" s="92">
        <f t="shared" si="23"/>
        <v>0.65733333333333333</v>
      </c>
      <c r="BG38" s="92">
        <f t="shared" si="23"/>
        <v>0.76800000000000002</v>
      </c>
      <c r="BH38" s="92">
        <f t="shared" si="23"/>
        <v>0.76800000000000002</v>
      </c>
      <c r="BI38" s="92">
        <f t="shared" si="23"/>
        <v>0.90633333333333344</v>
      </c>
      <c r="BJ38" s="92">
        <f t="shared" si="23"/>
        <v>0.90633333333333344</v>
      </c>
      <c r="BK38" s="93">
        <f t="shared" si="23"/>
        <v>0.65733333333333333</v>
      </c>
      <c r="BL38" s="93">
        <f t="shared" si="23"/>
        <v>0.79566666666666663</v>
      </c>
      <c r="BM38" s="93">
        <f t="shared" si="23"/>
        <v>0.90633333333333344</v>
      </c>
      <c r="BN38" s="92"/>
      <c r="BO38" s="106">
        <f t="shared" ref="BO38:BW38" si="24">IF(BO34=0,0.602,0.602+(0.083*(BO35/BO34)))</f>
        <v>0.65733333333333333</v>
      </c>
      <c r="BP38" s="106">
        <f t="shared" si="24"/>
        <v>0.78183333333333338</v>
      </c>
      <c r="BQ38" s="106">
        <f t="shared" si="24"/>
        <v>0.90633333333333344</v>
      </c>
      <c r="BR38" s="93">
        <f t="shared" si="24"/>
        <v>0.65733333333333333</v>
      </c>
      <c r="BS38" s="93">
        <f t="shared" si="24"/>
        <v>0.79566666666666663</v>
      </c>
      <c r="BT38" s="93">
        <f t="shared" si="24"/>
        <v>0.90633333333333344</v>
      </c>
    </row>
    <row r="39" spans="1:119" x14ac:dyDescent="0.25">
      <c r="A39" s="178" t="s">
        <v>36</v>
      </c>
      <c r="B39" s="15" t="s">
        <v>34</v>
      </c>
      <c r="D39" s="92"/>
      <c r="E39" s="92">
        <v>2.67</v>
      </c>
      <c r="F39" s="92">
        <v>2.67</v>
      </c>
      <c r="G39" s="92">
        <v>2.67</v>
      </c>
      <c r="H39" s="92">
        <v>2.67</v>
      </c>
      <c r="I39" s="92">
        <v>2.67</v>
      </c>
      <c r="J39" s="92">
        <v>2.67</v>
      </c>
      <c r="K39" s="92">
        <v>2.67</v>
      </c>
      <c r="L39" s="92">
        <v>2.67</v>
      </c>
      <c r="M39" s="92">
        <v>2.67</v>
      </c>
      <c r="N39" s="92">
        <v>2.67</v>
      </c>
      <c r="O39" s="92">
        <v>2.67</v>
      </c>
      <c r="P39" s="92">
        <v>2.67</v>
      </c>
      <c r="Q39" s="92">
        <v>2.67</v>
      </c>
      <c r="R39" s="92">
        <v>2.67</v>
      </c>
      <c r="S39" s="92">
        <v>2.67</v>
      </c>
      <c r="T39" s="93">
        <v>2.67</v>
      </c>
      <c r="U39" s="93">
        <v>2.67</v>
      </c>
      <c r="V39" s="93">
        <v>2.67</v>
      </c>
      <c r="W39" s="92"/>
      <c r="X39" s="92">
        <v>2.67</v>
      </c>
      <c r="Y39" s="92">
        <v>2.67</v>
      </c>
      <c r="Z39" s="92">
        <v>2.67</v>
      </c>
      <c r="AA39" s="92">
        <v>2.67</v>
      </c>
      <c r="AB39" s="92">
        <v>2.67</v>
      </c>
      <c r="AC39" s="92">
        <v>2.67</v>
      </c>
      <c r="AD39" s="92">
        <v>2.67</v>
      </c>
      <c r="AE39" s="92">
        <v>2.67</v>
      </c>
      <c r="AF39" s="92">
        <v>2.67</v>
      </c>
      <c r="AG39" s="92">
        <v>2.67</v>
      </c>
      <c r="AH39" s="92">
        <v>2.67</v>
      </c>
      <c r="AI39" s="92">
        <v>2.67</v>
      </c>
      <c r="AJ39" s="92">
        <v>2.67</v>
      </c>
      <c r="AK39" s="92">
        <v>2.67</v>
      </c>
      <c r="AL39" s="92">
        <v>2.67</v>
      </c>
      <c r="AM39" s="93">
        <v>2.67</v>
      </c>
      <c r="AN39" s="93">
        <v>2.67</v>
      </c>
      <c r="AO39" s="93">
        <v>2.67</v>
      </c>
      <c r="AP39" s="92"/>
      <c r="AQ39" s="92">
        <v>2.67</v>
      </c>
      <c r="AR39" s="92">
        <v>2.67</v>
      </c>
      <c r="AS39" s="92">
        <v>2.67</v>
      </c>
      <c r="AT39" s="92">
        <v>2.67</v>
      </c>
      <c r="AU39" s="92">
        <v>2.67</v>
      </c>
      <c r="AV39" s="92">
        <v>2.67</v>
      </c>
      <c r="AW39" s="92">
        <v>2.67</v>
      </c>
      <c r="AX39" s="92">
        <v>2.67</v>
      </c>
      <c r="AY39" s="92">
        <v>2.67</v>
      </c>
      <c r="AZ39" s="92">
        <v>2.67</v>
      </c>
      <c r="BA39" s="92">
        <v>2.67</v>
      </c>
      <c r="BB39" s="92">
        <v>2.67</v>
      </c>
      <c r="BC39" s="92">
        <v>2.67</v>
      </c>
      <c r="BD39" s="92">
        <v>2.67</v>
      </c>
      <c r="BE39" s="92">
        <v>2.67</v>
      </c>
      <c r="BF39" s="92">
        <v>2.67</v>
      </c>
      <c r="BG39" s="92">
        <v>2.67</v>
      </c>
      <c r="BH39" s="92">
        <v>2.67</v>
      </c>
      <c r="BI39" s="92">
        <v>2.67</v>
      </c>
      <c r="BJ39" s="92">
        <v>2.67</v>
      </c>
      <c r="BK39" s="93">
        <v>2.67</v>
      </c>
      <c r="BL39" s="93">
        <v>2.67</v>
      </c>
      <c r="BM39" s="93">
        <v>2.67</v>
      </c>
      <c r="BN39" s="92"/>
      <c r="BO39" s="106">
        <v>2.67</v>
      </c>
      <c r="BP39" s="106">
        <v>2.67</v>
      </c>
      <c r="BQ39" s="106">
        <v>2.67</v>
      </c>
      <c r="BR39" s="93">
        <v>2.67</v>
      </c>
      <c r="BS39" s="93">
        <v>2.67</v>
      </c>
      <c r="BT39" s="93">
        <v>2.67</v>
      </c>
    </row>
    <row r="40" spans="1:119" x14ac:dyDescent="0.25">
      <c r="A40" s="178"/>
      <c r="B40" s="99" t="s">
        <v>37</v>
      </c>
      <c r="C40" s="7"/>
      <c r="D40" s="71"/>
      <c r="E40" s="71">
        <v>0.61499999999999999</v>
      </c>
      <c r="F40" s="71">
        <v>0.61499999999999999</v>
      </c>
      <c r="G40" s="71">
        <v>0.61499999999999999</v>
      </c>
      <c r="H40" s="71">
        <v>0.61499999999999999</v>
      </c>
      <c r="I40" s="71">
        <v>0.61499999999999999</v>
      </c>
      <c r="J40" s="71">
        <v>0.61499999999999999</v>
      </c>
      <c r="K40" s="71">
        <v>0.61499999999999999</v>
      </c>
      <c r="L40" s="71">
        <v>0.61499999999999999</v>
      </c>
      <c r="M40" s="71">
        <v>0.61499999999999999</v>
      </c>
      <c r="N40" s="71">
        <v>0.61499999999999999</v>
      </c>
      <c r="O40" s="71">
        <v>0.61499999999999999</v>
      </c>
      <c r="P40" s="71">
        <v>0.61499999999999999</v>
      </c>
      <c r="Q40" s="71">
        <v>0.61499999999999999</v>
      </c>
      <c r="R40" s="71">
        <v>0.61499999999999999</v>
      </c>
      <c r="S40" s="71">
        <v>0.61499999999999999</v>
      </c>
      <c r="T40" s="72">
        <v>0.61499999999999999</v>
      </c>
      <c r="U40" s="72">
        <v>0.61499999999999999</v>
      </c>
      <c r="V40" s="72">
        <v>0.61499999999999999</v>
      </c>
      <c r="W40" s="71"/>
      <c r="X40" s="71">
        <v>0.61499999999999999</v>
      </c>
      <c r="Y40" s="71">
        <v>0.61499999999999999</v>
      </c>
      <c r="Z40" s="71">
        <v>0.61499999999999999</v>
      </c>
      <c r="AA40" s="71">
        <v>0.61499999999999999</v>
      </c>
      <c r="AB40" s="71">
        <v>0.61499999999999999</v>
      </c>
      <c r="AC40" s="71">
        <v>0.61499999999999999</v>
      </c>
      <c r="AD40" s="71">
        <v>0.61499999999999999</v>
      </c>
      <c r="AE40" s="71">
        <v>0.61499999999999999</v>
      </c>
      <c r="AF40" s="71">
        <v>0.61499999999999999</v>
      </c>
      <c r="AG40" s="71">
        <v>0.61499999999999999</v>
      </c>
      <c r="AH40" s="71">
        <v>0.61499999999999999</v>
      </c>
      <c r="AI40" s="71">
        <v>0.61499999999999999</v>
      </c>
      <c r="AJ40" s="71">
        <v>0.61499999999999999</v>
      </c>
      <c r="AK40" s="71">
        <v>0.61499999999999999</v>
      </c>
      <c r="AL40" s="71">
        <v>0.61499999999999999</v>
      </c>
      <c r="AM40" s="72">
        <v>0.61499999999999999</v>
      </c>
      <c r="AN40" s="72">
        <v>0.61499999999999999</v>
      </c>
      <c r="AO40" s="72">
        <v>0.61499999999999999</v>
      </c>
      <c r="AP40" s="71"/>
      <c r="AQ40" s="71">
        <v>0.61499999999999999</v>
      </c>
      <c r="AR40" s="71">
        <v>0.61499999999999999</v>
      </c>
      <c r="AS40" s="71">
        <v>0.61499999999999999</v>
      </c>
      <c r="AT40" s="71">
        <v>0.61499999999999999</v>
      </c>
      <c r="AU40" s="71">
        <v>0.61499999999999999</v>
      </c>
      <c r="AV40" s="71">
        <v>0.61499999999999999</v>
      </c>
      <c r="AW40" s="71">
        <v>0.61499999999999999</v>
      </c>
      <c r="AX40" s="71">
        <v>0.61499999999999999</v>
      </c>
      <c r="AY40" s="71">
        <v>0.61499999999999999</v>
      </c>
      <c r="AZ40" s="71">
        <v>0.61499999999999999</v>
      </c>
      <c r="BA40" s="71">
        <v>0.61499999999999999</v>
      </c>
      <c r="BB40" s="71">
        <v>0.61499999999999999</v>
      </c>
      <c r="BC40" s="71">
        <v>0.61499999999999999</v>
      </c>
      <c r="BD40" s="71">
        <v>0.61499999999999999</v>
      </c>
      <c r="BE40" s="71">
        <v>0.61499999999999999</v>
      </c>
      <c r="BF40" s="71">
        <v>0.61499999999999999</v>
      </c>
      <c r="BG40" s="71">
        <v>0.61499999999999999</v>
      </c>
      <c r="BH40" s="71">
        <v>0.61499999999999999</v>
      </c>
      <c r="BI40" s="71">
        <v>0.61499999999999999</v>
      </c>
      <c r="BJ40" s="71">
        <v>0.61499999999999999</v>
      </c>
      <c r="BK40" s="72">
        <v>0.61499999999999999</v>
      </c>
      <c r="BL40" s="72">
        <v>0.61499999999999999</v>
      </c>
      <c r="BM40" s="72">
        <v>0.61499999999999999</v>
      </c>
      <c r="BN40" s="71"/>
      <c r="BO40" s="204">
        <v>0.61499999999999999</v>
      </c>
      <c r="BP40" s="204">
        <v>0.61499999999999999</v>
      </c>
      <c r="BQ40" s="204">
        <v>0.61499999999999999</v>
      </c>
      <c r="BR40" s="72">
        <v>0.61499999999999999</v>
      </c>
      <c r="BS40" s="72">
        <v>0.61499999999999999</v>
      </c>
      <c r="BT40" s="72">
        <v>0.61499999999999999</v>
      </c>
      <c r="BU40" s="205"/>
      <c r="BV40" s="205"/>
      <c r="BW40" s="206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</row>
    <row r="41" spans="1:119" x14ac:dyDescent="0.25">
      <c r="A41" s="178"/>
      <c r="B41" s="99" t="s">
        <v>38</v>
      </c>
      <c r="C41" s="7"/>
      <c r="D41" s="71"/>
      <c r="E41" s="71">
        <v>10</v>
      </c>
      <c r="F41" s="71">
        <v>10</v>
      </c>
      <c r="G41" s="71">
        <v>10</v>
      </c>
      <c r="H41" s="71">
        <v>10</v>
      </c>
      <c r="I41" s="71">
        <v>10</v>
      </c>
      <c r="J41" s="71">
        <v>10</v>
      </c>
      <c r="K41" s="71">
        <v>10</v>
      </c>
      <c r="L41" s="71">
        <v>10</v>
      </c>
      <c r="M41" s="71">
        <v>10</v>
      </c>
      <c r="N41" s="71">
        <v>10</v>
      </c>
      <c r="O41" s="71">
        <v>10</v>
      </c>
      <c r="P41" s="71">
        <v>10</v>
      </c>
      <c r="Q41" s="71">
        <v>10</v>
      </c>
      <c r="R41" s="71">
        <v>10</v>
      </c>
      <c r="S41" s="71">
        <v>10</v>
      </c>
      <c r="T41" s="72">
        <v>10</v>
      </c>
      <c r="U41" s="72">
        <v>10</v>
      </c>
      <c r="V41" s="72">
        <v>10</v>
      </c>
      <c r="W41" s="71"/>
      <c r="X41" s="71">
        <v>10</v>
      </c>
      <c r="Y41" s="71">
        <v>10</v>
      </c>
      <c r="Z41" s="71">
        <v>10</v>
      </c>
      <c r="AA41" s="71">
        <v>10</v>
      </c>
      <c r="AB41" s="71">
        <v>10</v>
      </c>
      <c r="AC41" s="71">
        <v>10</v>
      </c>
      <c r="AD41" s="71">
        <v>10</v>
      </c>
      <c r="AE41" s="71">
        <v>10</v>
      </c>
      <c r="AF41" s="71">
        <v>10</v>
      </c>
      <c r="AG41" s="71">
        <v>10</v>
      </c>
      <c r="AH41" s="71">
        <v>10</v>
      </c>
      <c r="AI41" s="71">
        <v>10</v>
      </c>
      <c r="AJ41" s="71">
        <v>10</v>
      </c>
      <c r="AK41" s="71">
        <v>10</v>
      </c>
      <c r="AL41" s="71">
        <v>10</v>
      </c>
      <c r="AM41" s="72">
        <v>10</v>
      </c>
      <c r="AN41" s="72">
        <v>10</v>
      </c>
      <c r="AO41" s="72">
        <v>10</v>
      </c>
      <c r="AP41" s="71"/>
      <c r="AQ41" s="71">
        <v>10</v>
      </c>
      <c r="AR41" s="71">
        <v>10</v>
      </c>
      <c r="AS41" s="71">
        <v>10</v>
      </c>
      <c r="AT41" s="71">
        <v>10</v>
      </c>
      <c r="AU41" s="71">
        <v>10</v>
      </c>
      <c r="AV41" s="71">
        <v>10</v>
      </c>
      <c r="AW41" s="71">
        <v>10</v>
      </c>
      <c r="AX41" s="71">
        <v>10</v>
      </c>
      <c r="AY41" s="71">
        <v>10</v>
      </c>
      <c r="AZ41" s="71">
        <v>10</v>
      </c>
      <c r="BA41" s="71">
        <v>10</v>
      </c>
      <c r="BB41" s="71">
        <v>10</v>
      </c>
      <c r="BC41" s="71">
        <v>10</v>
      </c>
      <c r="BD41" s="71">
        <v>10</v>
      </c>
      <c r="BE41" s="71">
        <v>10</v>
      </c>
      <c r="BF41" s="71">
        <v>10</v>
      </c>
      <c r="BG41" s="71">
        <v>10</v>
      </c>
      <c r="BH41" s="71">
        <v>10</v>
      </c>
      <c r="BI41" s="71">
        <v>10</v>
      </c>
      <c r="BJ41" s="71">
        <v>10</v>
      </c>
      <c r="BK41" s="72">
        <v>10</v>
      </c>
      <c r="BL41" s="72">
        <v>10</v>
      </c>
      <c r="BM41" s="72">
        <v>10</v>
      </c>
      <c r="BN41" s="71"/>
      <c r="BO41" s="204">
        <v>10</v>
      </c>
      <c r="BP41" s="204">
        <v>10</v>
      </c>
      <c r="BQ41" s="204">
        <v>10</v>
      </c>
      <c r="BR41" s="72">
        <v>10</v>
      </c>
      <c r="BS41" s="72">
        <v>10</v>
      </c>
      <c r="BT41" s="72">
        <v>10</v>
      </c>
      <c r="BU41" s="205"/>
      <c r="BV41" s="205"/>
      <c r="BW41" s="206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</row>
    <row r="42" spans="1:119" x14ac:dyDescent="0.25">
      <c r="A42" s="178"/>
      <c r="B42" s="99" t="s">
        <v>39</v>
      </c>
      <c r="C42" s="7"/>
      <c r="D42" s="71"/>
      <c r="E42" s="71">
        <v>1</v>
      </c>
      <c r="F42" s="71">
        <v>1</v>
      </c>
      <c r="G42" s="71">
        <v>1</v>
      </c>
      <c r="H42" s="71">
        <v>1</v>
      </c>
      <c r="I42" s="71">
        <v>1</v>
      </c>
      <c r="J42" s="71">
        <v>1</v>
      </c>
      <c r="K42" s="71">
        <v>1</v>
      </c>
      <c r="L42" s="71">
        <v>1</v>
      </c>
      <c r="M42" s="71">
        <v>1</v>
      </c>
      <c r="N42" s="71">
        <v>1</v>
      </c>
      <c r="O42" s="71">
        <v>1</v>
      </c>
      <c r="P42" s="71">
        <v>1</v>
      </c>
      <c r="Q42" s="71">
        <v>1</v>
      </c>
      <c r="R42" s="71">
        <v>1</v>
      </c>
      <c r="S42" s="71">
        <v>1</v>
      </c>
      <c r="T42" s="72">
        <v>1</v>
      </c>
      <c r="U42" s="72">
        <v>1</v>
      </c>
      <c r="V42" s="72">
        <v>1</v>
      </c>
      <c r="W42" s="71"/>
      <c r="X42" s="71">
        <v>1</v>
      </c>
      <c r="Y42" s="71">
        <v>1</v>
      </c>
      <c r="Z42" s="71">
        <v>1</v>
      </c>
      <c r="AA42" s="71">
        <v>1</v>
      </c>
      <c r="AB42" s="71">
        <v>1</v>
      </c>
      <c r="AC42" s="71">
        <v>1</v>
      </c>
      <c r="AD42" s="71">
        <v>1</v>
      </c>
      <c r="AE42" s="71">
        <v>1</v>
      </c>
      <c r="AF42" s="71">
        <v>1</v>
      </c>
      <c r="AG42" s="71">
        <v>1</v>
      </c>
      <c r="AH42" s="71">
        <v>1</v>
      </c>
      <c r="AI42" s="71">
        <v>1</v>
      </c>
      <c r="AJ42" s="71">
        <v>1</v>
      </c>
      <c r="AK42" s="71">
        <v>1</v>
      </c>
      <c r="AL42" s="71">
        <v>1</v>
      </c>
      <c r="AM42" s="72">
        <v>1</v>
      </c>
      <c r="AN42" s="72">
        <v>1</v>
      </c>
      <c r="AO42" s="72">
        <v>1</v>
      </c>
      <c r="AP42" s="71"/>
      <c r="AQ42" s="71">
        <v>1</v>
      </c>
      <c r="AR42" s="71">
        <v>1</v>
      </c>
      <c r="AS42" s="71">
        <v>1</v>
      </c>
      <c r="AT42" s="71">
        <v>1</v>
      </c>
      <c r="AU42" s="71">
        <v>1</v>
      </c>
      <c r="AV42" s="71">
        <v>1</v>
      </c>
      <c r="AW42" s="71">
        <v>1</v>
      </c>
      <c r="AX42" s="71">
        <v>1</v>
      </c>
      <c r="AY42" s="71">
        <v>1</v>
      </c>
      <c r="AZ42" s="71">
        <v>1</v>
      </c>
      <c r="BA42" s="71">
        <v>1</v>
      </c>
      <c r="BB42" s="71">
        <v>1</v>
      </c>
      <c r="BC42" s="71">
        <v>1</v>
      </c>
      <c r="BD42" s="71">
        <v>1</v>
      </c>
      <c r="BE42" s="71">
        <v>1</v>
      </c>
      <c r="BF42" s="71">
        <v>1</v>
      </c>
      <c r="BG42" s="71">
        <v>1</v>
      </c>
      <c r="BH42" s="71">
        <v>1</v>
      </c>
      <c r="BI42" s="71">
        <v>1</v>
      </c>
      <c r="BJ42" s="71">
        <v>1</v>
      </c>
      <c r="BK42" s="72">
        <v>1</v>
      </c>
      <c r="BL42" s="72">
        <v>1</v>
      </c>
      <c r="BM42" s="72">
        <v>1</v>
      </c>
      <c r="BN42" s="71"/>
      <c r="BO42" s="204">
        <v>1</v>
      </c>
      <c r="BP42" s="204">
        <v>1</v>
      </c>
      <c r="BQ42" s="204">
        <v>1</v>
      </c>
      <c r="BR42" s="72">
        <v>1</v>
      </c>
      <c r="BS42" s="72">
        <v>1</v>
      </c>
      <c r="BT42" s="72">
        <v>1</v>
      </c>
      <c r="BU42" s="205"/>
      <c r="BV42" s="205"/>
      <c r="BW42" s="206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</row>
    <row r="43" spans="1:119" x14ac:dyDescent="0.25">
      <c r="A43" s="178"/>
      <c r="B43" s="99" t="s">
        <v>40</v>
      </c>
      <c r="C43" s="7"/>
      <c r="D43" s="71"/>
      <c r="E43" s="71">
        <f>E6/100</f>
        <v>0.09</v>
      </c>
      <c r="F43" s="71">
        <f t="shared" ref="F43:BM43" si="25">F6/100</f>
        <v>0.13500000000000001</v>
      </c>
      <c r="G43" s="71">
        <f t="shared" si="25"/>
        <v>5.5E-2</v>
      </c>
      <c r="H43" s="71">
        <f t="shared" si="25"/>
        <v>0.115</v>
      </c>
      <c r="I43" s="71">
        <f t="shared" si="25"/>
        <v>9.5000000000000001E-2</v>
      </c>
      <c r="J43" s="71">
        <f t="shared" si="25"/>
        <v>0.1</v>
      </c>
      <c r="K43" s="71">
        <f t="shared" si="25"/>
        <v>0.12</v>
      </c>
      <c r="L43" s="71">
        <f t="shared" si="25"/>
        <v>6.5000000000000002E-2</v>
      </c>
      <c r="M43" s="71">
        <f t="shared" si="25"/>
        <v>6.5000000000000002E-2</v>
      </c>
      <c r="N43" s="71">
        <f t="shared" si="25"/>
        <v>9.5000000000000001E-2</v>
      </c>
      <c r="O43" s="71">
        <f t="shared" si="25"/>
        <v>0.12</v>
      </c>
      <c r="P43" s="71">
        <f t="shared" si="25"/>
        <v>6.5000000000000002E-2</v>
      </c>
      <c r="Q43" s="71">
        <f t="shared" si="25"/>
        <v>6.5000000000000002E-2</v>
      </c>
      <c r="R43" s="71">
        <f t="shared" si="25"/>
        <v>9.5000000000000001E-2</v>
      </c>
      <c r="S43" s="71">
        <f t="shared" si="25"/>
        <v>0.115</v>
      </c>
      <c r="T43" s="72">
        <f t="shared" si="25"/>
        <v>5.570000000000002E-2</v>
      </c>
      <c r="U43" s="72">
        <f t="shared" si="25"/>
        <v>9.4E-2</v>
      </c>
      <c r="V43" s="72">
        <f t="shared" si="25"/>
        <v>0.11959999999999998</v>
      </c>
      <c r="W43" s="71"/>
      <c r="X43" s="71">
        <f t="shared" si="25"/>
        <v>0.06</v>
      </c>
      <c r="Y43" s="71">
        <f t="shared" si="25"/>
        <v>9.5000000000000001E-2</v>
      </c>
      <c r="Z43" s="71">
        <f t="shared" si="25"/>
        <v>0.11</v>
      </c>
      <c r="AA43" s="71">
        <f t="shared" si="25"/>
        <v>6.0999999999999999E-2</v>
      </c>
      <c r="AB43" s="71">
        <f t="shared" si="25"/>
        <v>0.1</v>
      </c>
      <c r="AC43" s="71">
        <f t="shared" si="25"/>
        <v>0.124</v>
      </c>
      <c r="AD43" s="71">
        <f t="shared" si="25"/>
        <v>6.4000000000000001E-2</v>
      </c>
      <c r="AE43" s="71">
        <f t="shared" si="25"/>
        <v>0.10300000000000001</v>
      </c>
      <c r="AF43" s="71">
        <f t="shared" si="25"/>
        <v>0.122</v>
      </c>
      <c r="AG43" s="71">
        <f t="shared" si="25"/>
        <v>6.0999999999999999E-2</v>
      </c>
      <c r="AH43" s="71">
        <f t="shared" si="25"/>
        <v>9.9000000000000005E-2</v>
      </c>
      <c r="AI43" s="71">
        <f t="shared" si="25"/>
        <v>0.125</v>
      </c>
      <c r="AJ43" s="71">
        <f t="shared" si="25"/>
        <v>6.2E-2</v>
      </c>
      <c r="AK43" s="71">
        <f t="shared" si="25"/>
        <v>9.6000000000000002E-2</v>
      </c>
      <c r="AL43" s="71">
        <f t="shared" si="25"/>
        <v>0.127</v>
      </c>
      <c r="AM43" s="72">
        <f t="shared" si="25"/>
        <v>5.6800000000000017E-2</v>
      </c>
      <c r="AN43" s="72">
        <f t="shared" si="25"/>
        <v>0.1004</v>
      </c>
      <c r="AO43" s="72">
        <f t="shared" si="25"/>
        <v>0.12539999999999998</v>
      </c>
      <c r="AP43" s="71"/>
      <c r="AQ43" s="71">
        <f t="shared" si="25"/>
        <v>0.06</v>
      </c>
      <c r="AR43" s="71">
        <f t="shared" si="25"/>
        <v>9.5000000000000001E-2</v>
      </c>
      <c r="AS43" s="71">
        <f t="shared" si="25"/>
        <v>0.13</v>
      </c>
      <c r="AT43" s="71">
        <f t="shared" si="25"/>
        <v>6.5000000000000002E-2</v>
      </c>
      <c r="AU43" s="71">
        <f t="shared" si="25"/>
        <v>0.1</v>
      </c>
      <c r="AV43" s="71">
        <f t="shared" si="25"/>
        <v>0.13</v>
      </c>
      <c r="AW43" s="71">
        <f t="shared" si="25"/>
        <v>6.0999999999999999E-2</v>
      </c>
      <c r="AX43" s="71">
        <f t="shared" si="25"/>
        <v>0.10300000000000001</v>
      </c>
      <c r="AY43" s="71">
        <f t="shared" si="25"/>
        <v>0.10300000000000001</v>
      </c>
      <c r="AZ43" s="71">
        <f t="shared" si="25"/>
        <v>0.125</v>
      </c>
      <c r="BA43" s="71">
        <f t="shared" si="25"/>
        <v>0.125</v>
      </c>
      <c r="BB43" s="71">
        <f t="shared" si="25"/>
        <v>0.06</v>
      </c>
      <c r="BC43" s="71">
        <f t="shared" si="25"/>
        <v>9.8000000000000004E-2</v>
      </c>
      <c r="BD43" s="71">
        <f t="shared" si="25"/>
        <v>9.8000000000000004E-2</v>
      </c>
      <c r="BE43" s="71">
        <f t="shared" si="25"/>
        <v>0.125</v>
      </c>
      <c r="BF43" s="71">
        <f t="shared" si="25"/>
        <v>0.06</v>
      </c>
      <c r="BG43" s="71">
        <f t="shared" si="25"/>
        <v>9.9999999999999978E-2</v>
      </c>
      <c r="BH43" s="71">
        <f t="shared" si="25"/>
        <v>9.9999999999999978E-2</v>
      </c>
      <c r="BI43" s="71">
        <f t="shared" si="25"/>
        <v>0.128</v>
      </c>
      <c r="BJ43" s="71">
        <f t="shared" si="25"/>
        <v>0.128</v>
      </c>
      <c r="BK43" s="72">
        <f t="shared" si="25"/>
        <v>6.019999999999999E-2</v>
      </c>
      <c r="BL43" s="72">
        <f t="shared" si="25"/>
        <v>9.9400000000000016E-2</v>
      </c>
      <c r="BM43" s="72">
        <f t="shared" si="25"/>
        <v>0.12659999999999999</v>
      </c>
      <c r="BN43" s="71"/>
      <c r="BO43" s="204">
        <f t="shared" ref="BO43:BW43" si="26">BO6/100</f>
        <v>6.4000000000000015E-2</v>
      </c>
      <c r="BP43" s="204">
        <f t="shared" si="26"/>
        <v>9.9000000000000005E-2</v>
      </c>
      <c r="BQ43" s="204">
        <f t="shared" si="26"/>
        <v>0.13299999999999998</v>
      </c>
      <c r="BR43" s="72">
        <f t="shared" si="26"/>
        <v>6.1200000000000018E-2</v>
      </c>
      <c r="BS43" s="72">
        <f t="shared" si="26"/>
        <v>0.10490000000000001</v>
      </c>
      <c r="BT43" s="72">
        <f t="shared" si="26"/>
        <v>0.13780000000000001</v>
      </c>
      <c r="BU43" s="205"/>
      <c r="BV43" s="205"/>
      <c r="BW43" s="206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</row>
    <row r="44" spans="1:119" s="6" customFormat="1" ht="15.75" thickBot="1" x14ac:dyDescent="0.3">
      <c r="A44" s="179"/>
      <c r="B44" s="1" t="s">
        <v>7</v>
      </c>
      <c r="C44" s="7"/>
      <c r="D44" s="71"/>
      <c r="E44" s="71">
        <f t="shared" ref="E44:BM44" si="27">((0.8)*E40*((9.81)^(0.5))*E41*E42*((E43^(2.5))))</f>
        <v>3.7446038549379279E-2</v>
      </c>
      <c r="F44" s="71">
        <f t="shared" si="27"/>
        <v>0.10318914825138903</v>
      </c>
      <c r="G44" s="71">
        <f t="shared" si="27"/>
        <v>1.0932168833307962E-2</v>
      </c>
      <c r="H44" s="71">
        <f t="shared" si="27"/>
        <v>6.9110527423579579E-2</v>
      </c>
      <c r="I44" s="71">
        <f t="shared" si="27"/>
        <v>4.2865571638175469E-2</v>
      </c>
      <c r="J44" s="71">
        <f t="shared" si="27"/>
        <v>4.8730358504735054E-2</v>
      </c>
      <c r="K44" s="71">
        <f t="shared" si="27"/>
        <v>7.6869263774468385E-2</v>
      </c>
      <c r="L44" s="71">
        <f t="shared" si="27"/>
        <v>1.6599041015759004E-2</v>
      </c>
      <c r="M44" s="71">
        <f t="shared" si="27"/>
        <v>1.6599041015759004E-2</v>
      </c>
      <c r="N44" s="71">
        <f t="shared" si="27"/>
        <v>4.2865571638175469E-2</v>
      </c>
      <c r="O44" s="71">
        <f t="shared" si="27"/>
        <v>7.6869263774468385E-2</v>
      </c>
      <c r="P44" s="71">
        <f t="shared" si="27"/>
        <v>1.6599041015759004E-2</v>
      </c>
      <c r="Q44" s="71">
        <f t="shared" si="27"/>
        <v>1.6599041015759004E-2</v>
      </c>
      <c r="R44" s="71">
        <f t="shared" si="27"/>
        <v>4.2865571638175469E-2</v>
      </c>
      <c r="S44" s="71">
        <f t="shared" si="27"/>
        <v>6.9110527423579579E-2</v>
      </c>
      <c r="T44" s="72">
        <f t="shared" si="27"/>
        <v>1.1283337908303588E-2</v>
      </c>
      <c r="U44" s="72">
        <f t="shared" si="27"/>
        <v>4.1746420224487171E-2</v>
      </c>
      <c r="V44" s="72">
        <f t="shared" si="27"/>
        <v>7.6230287129281427E-2</v>
      </c>
      <c r="W44" s="71"/>
      <c r="X44" s="71">
        <f t="shared" si="27"/>
        <v>1.3588694419936011E-2</v>
      </c>
      <c r="Y44" s="71">
        <f t="shared" si="27"/>
        <v>4.2865571638175469E-2</v>
      </c>
      <c r="Z44" s="71">
        <f t="shared" si="27"/>
        <v>6.1841685720866318E-2</v>
      </c>
      <c r="AA44" s="71">
        <f t="shared" si="27"/>
        <v>1.4161987084592464E-2</v>
      </c>
      <c r="AB44" s="71">
        <f t="shared" si="27"/>
        <v>4.8730358504735054E-2</v>
      </c>
      <c r="AC44" s="71">
        <f t="shared" si="27"/>
        <v>8.343606607527719E-2</v>
      </c>
      <c r="AD44" s="71">
        <f t="shared" si="27"/>
        <v>1.596796387483157E-2</v>
      </c>
      <c r="AE44" s="71">
        <f t="shared" si="27"/>
        <v>5.2467777506813584E-2</v>
      </c>
      <c r="AF44" s="71">
        <f t="shared" si="27"/>
        <v>8.0112296820733106E-2</v>
      </c>
      <c r="AG44" s="71">
        <f t="shared" si="27"/>
        <v>1.4161987084592464E-2</v>
      </c>
      <c r="AH44" s="71">
        <f t="shared" si="27"/>
        <v>4.7521221237006632E-2</v>
      </c>
      <c r="AI44" s="71">
        <f t="shared" si="27"/>
        <v>8.5128432956658215E-2</v>
      </c>
      <c r="AJ44" s="71">
        <f t="shared" si="27"/>
        <v>1.4749552029339334E-2</v>
      </c>
      <c r="AK44" s="71">
        <f t="shared" si="27"/>
        <v>4.4002534190098801E-2</v>
      </c>
      <c r="AL44" s="71">
        <f t="shared" si="27"/>
        <v>8.8574540670248295E-2</v>
      </c>
      <c r="AM44" s="72">
        <f t="shared" si="27"/>
        <v>1.1848692964429062E-2</v>
      </c>
      <c r="AN44" s="72">
        <f t="shared" si="27"/>
        <v>4.9219124974657989E-2</v>
      </c>
      <c r="AO44" s="72">
        <f t="shared" si="27"/>
        <v>8.5811095757591035E-2</v>
      </c>
      <c r="AP44" s="71"/>
      <c r="AQ44" s="71">
        <f t="shared" si="27"/>
        <v>1.3588694419936011E-2</v>
      </c>
      <c r="AR44" s="71">
        <f t="shared" si="27"/>
        <v>4.2865571638175469E-2</v>
      </c>
      <c r="AS44" s="71">
        <f t="shared" si="27"/>
        <v>9.3898355707494718E-2</v>
      </c>
      <c r="AT44" s="71">
        <f t="shared" si="27"/>
        <v>1.6599041015759004E-2</v>
      </c>
      <c r="AU44" s="71">
        <f t="shared" si="27"/>
        <v>4.8730358504735054E-2</v>
      </c>
      <c r="AV44" s="71">
        <f t="shared" si="27"/>
        <v>9.3898355707494718E-2</v>
      </c>
      <c r="AW44" s="71">
        <f t="shared" si="27"/>
        <v>1.4161987084592464E-2</v>
      </c>
      <c r="AX44" s="71">
        <f t="shared" si="27"/>
        <v>5.2467777506813584E-2</v>
      </c>
      <c r="AY44" s="71">
        <f t="shared" si="27"/>
        <v>5.2467777506813584E-2</v>
      </c>
      <c r="AZ44" s="71">
        <f t="shared" si="27"/>
        <v>8.5128432956658215E-2</v>
      </c>
      <c r="BA44" s="71">
        <f t="shared" si="27"/>
        <v>8.5128432956658215E-2</v>
      </c>
      <c r="BB44" s="71">
        <f t="shared" si="27"/>
        <v>1.3588694419936011E-2</v>
      </c>
      <c r="BC44" s="71">
        <f t="shared" si="27"/>
        <v>4.6330266216073071E-2</v>
      </c>
      <c r="BD44" s="71">
        <f t="shared" si="27"/>
        <v>4.6330266216073071E-2</v>
      </c>
      <c r="BE44" s="71">
        <f t="shared" si="27"/>
        <v>8.5128432956658215E-2</v>
      </c>
      <c r="BF44" s="71">
        <f t="shared" si="27"/>
        <v>1.3588694419936011E-2</v>
      </c>
      <c r="BG44" s="71">
        <f t="shared" si="27"/>
        <v>4.8730358504734964E-2</v>
      </c>
      <c r="BH44" s="71">
        <f t="shared" si="27"/>
        <v>4.8730358504734964E-2</v>
      </c>
      <c r="BI44" s="71">
        <f t="shared" si="27"/>
        <v>9.0328444301081723E-2</v>
      </c>
      <c r="BJ44" s="71">
        <f t="shared" si="27"/>
        <v>9.0328444301081723E-2</v>
      </c>
      <c r="BK44" s="72">
        <f t="shared" si="27"/>
        <v>1.3702216795113633E-2</v>
      </c>
      <c r="BL44" s="72">
        <f t="shared" si="27"/>
        <v>4.8002689134592463E-2</v>
      </c>
      <c r="BM44" s="72">
        <f t="shared" si="27"/>
        <v>8.7878749966722708E-2</v>
      </c>
      <c r="BN44" s="71"/>
      <c r="BO44" s="204">
        <f t="shared" ref="BO44:BW44" si="28">((0.8)*BO40*((9.81)^(0.5))*BO41*BO42*((BO43^(2.5))))</f>
        <v>1.5967963874831584E-2</v>
      </c>
      <c r="BP44" s="204">
        <f t="shared" si="28"/>
        <v>4.7521221237006632E-2</v>
      </c>
      <c r="BQ44" s="204">
        <f t="shared" si="28"/>
        <v>9.9409687569770186E-2</v>
      </c>
      <c r="BR44" s="72">
        <f t="shared" si="28"/>
        <v>1.4278354549059862E-2</v>
      </c>
      <c r="BS44" s="72">
        <f t="shared" si="28"/>
        <v>5.4920986175742828E-2</v>
      </c>
      <c r="BT44" s="72">
        <f t="shared" si="28"/>
        <v>0.10862321440249056</v>
      </c>
      <c r="BU44" s="205"/>
      <c r="BV44" s="205"/>
      <c r="BW44" s="206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</row>
    <row r="45" spans="1:119" x14ac:dyDescent="0.25">
      <c r="A45" s="178" t="s">
        <v>41</v>
      </c>
      <c r="B45" s="99" t="s">
        <v>42</v>
      </c>
      <c r="C45" s="7"/>
      <c r="D45" s="71"/>
      <c r="E45" s="71">
        <f>(E5/100)-E50</f>
        <v>0.11000000000000001</v>
      </c>
      <c r="F45" s="71">
        <f t="shared" ref="F45:BM45" si="29">(F5/100)-F50</f>
        <v>0.15</v>
      </c>
      <c r="G45" s="71">
        <f t="shared" si="29"/>
        <v>7.0000000000000007E-2</v>
      </c>
      <c r="H45" s="71">
        <f t="shared" si="29"/>
        <v>0.13999999999999999</v>
      </c>
      <c r="I45" s="71">
        <f t="shared" si="29"/>
        <v>0.13999999999999999</v>
      </c>
      <c r="J45" s="71">
        <f t="shared" si="29"/>
        <v>0.11000000000000001</v>
      </c>
      <c r="K45" s="71">
        <f t="shared" si="29"/>
        <v>0.13999999999999999</v>
      </c>
      <c r="L45" s="71">
        <f t="shared" si="29"/>
        <v>7.0000000000000007E-2</v>
      </c>
      <c r="M45" s="71">
        <f t="shared" si="29"/>
        <v>6.5000000000000002E-2</v>
      </c>
      <c r="N45" s="71">
        <f t="shared" si="29"/>
        <v>0.10500000000000001</v>
      </c>
      <c r="O45" s="71">
        <f t="shared" si="29"/>
        <v>0.13499999999999998</v>
      </c>
      <c r="P45" s="71">
        <f t="shared" si="29"/>
        <v>7.0000000000000007E-2</v>
      </c>
      <c r="Q45" s="71">
        <f t="shared" si="29"/>
        <v>6.5000000000000002E-2</v>
      </c>
      <c r="R45" s="71">
        <f t="shared" si="29"/>
        <v>0.10500000000000001</v>
      </c>
      <c r="S45" s="71">
        <f t="shared" si="29"/>
        <v>0.13499999999999998</v>
      </c>
      <c r="T45" s="72">
        <f t="shared" si="29"/>
        <v>6.140000000000001E-2</v>
      </c>
      <c r="U45" s="72">
        <f t="shared" si="29"/>
        <v>0.10640000000000002</v>
      </c>
      <c r="V45" s="72">
        <f t="shared" si="29"/>
        <v>0.13370000000000007</v>
      </c>
      <c r="W45" s="71"/>
      <c r="X45" s="71">
        <f t="shared" si="29"/>
        <v>7.0000000000000007E-2</v>
      </c>
      <c r="Y45" s="71">
        <f t="shared" si="29"/>
        <v>0.11000000000000001</v>
      </c>
      <c r="Z45" s="71">
        <f t="shared" si="29"/>
        <v>0.13999999999999999</v>
      </c>
      <c r="AA45" s="71">
        <f t="shared" si="29"/>
        <v>6.5000000000000002E-2</v>
      </c>
      <c r="AB45" s="71">
        <f t="shared" si="29"/>
        <v>0.11000000000000001</v>
      </c>
      <c r="AC45" s="71">
        <f t="shared" si="29"/>
        <v>0.13999999999999999</v>
      </c>
      <c r="AD45" s="71">
        <f t="shared" si="29"/>
        <v>6.5000000000000002E-2</v>
      </c>
      <c r="AE45" s="71">
        <f t="shared" si="29"/>
        <v>0.10500000000000001</v>
      </c>
      <c r="AF45" s="71">
        <f t="shared" si="29"/>
        <v>0.13999999999999999</v>
      </c>
      <c r="AG45" s="71">
        <f t="shared" si="29"/>
        <v>7.0000000000000007E-2</v>
      </c>
      <c r="AH45" s="71">
        <f t="shared" si="29"/>
        <v>0.11000000000000001</v>
      </c>
      <c r="AI45" s="71">
        <f t="shared" si="29"/>
        <v>0.13999999999999999</v>
      </c>
      <c r="AJ45" s="71">
        <f t="shared" si="29"/>
        <v>7.0000000000000007E-2</v>
      </c>
      <c r="AK45" s="71">
        <f t="shared" si="29"/>
        <v>0.11000000000000001</v>
      </c>
      <c r="AL45" s="71">
        <f t="shared" si="29"/>
        <v>0.13000000000000003</v>
      </c>
      <c r="AM45" s="72">
        <f t="shared" si="29"/>
        <v>6.4000000000000001E-2</v>
      </c>
      <c r="AN45" s="72">
        <f t="shared" si="29"/>
        <v>0.11169999999999999</v>
      </c>
      <c r="AO45" s="72">
        <f t="shared" si="29"/>
        <v>0.14229999999999995</v>
      </c>
      <c r="AP45" s="71"/>
      <c r="AQ45" s="71">
        <f t="shared" si="29"/>
        <v>7.0000000000000007E-2</v>
      </c>
      <c r="AR45" s="71">
        <f t="shared" si="29"/>
        <v>0.11000000000000001</v>
      </c>
      <c r="AS45" s="71">
        <f t="shared" si="29"/>
        <v>0.13999999999999999</v>
      </c>
      <c r="AT45" s="71">
        <f t="shared" si="29"/>
        <v>7.0000000000000007E-2</v>
      </c>
      <c r="AU45" s="71">
        <f t="shared" si="29"/>
        <v>0.11000000000000001</v>
      </c>
      <c r="AV45" s="71">
        <f t="shared" si="29"/>
        <v>0.13999999999999999</v>
      </c>
      <c r="AW45" s="71">
        <f t="shared" si="29"/>
        <v>7.0000000000000007E-2</v>
      </c>
      <c r="AX45" s="71">
        <f t="shared" si="29"/>
        <v>0.11000000000000001</v>
      </c>
      <c r="AY45" s="71">
        <f t="shared" si="29"/>
        <v>0.11000000000000001</v>
      </c>
      <c r="AZ45" s="71">
        <f t="shared" si="29"/>
        <v>0.13999999999999999</v>
      </c>
      <c r="BA45" s="71">
        <f t="shared" si="29"/>
        <v>0.13999999999999999</v>
      </c>
      <c r="BB45" s="71">
        <f t="shared" si="29"/>
        <v>7.0000000000000007E-2</v>
      </c>
      <c r="BC45" s="71">
        <f t="shared" si="29"/>
        <v>0.11000000000000001</v>
      </c>
      <c r="BD45" s="71">
        <f t="shared" si="29"/>
        <v>0.11000000000000001</v>
      </c>
      <c r="BE45" s="71">
        <f t="shared" si="29"/>
        <v>0.13999999999999999</v>
      </c>
      <c r="BF45" s="71">
        <f t="shared" si="29"/>
        <v>7.0000000000000007E-2</v>
      </c>
      <c r="BG45" s="71">
        <f t="shared" si="29"/>
        <v>0.11000000000000001</v>
      </c>
      <c r="BH45" s="71">
        <f t="shared" si="29"/>
        <v>0.11000000000000001</v>
      </c>
      <c r="BI45" s="71">
        <f t="shared" si="29"/>
        <v>0.13999999999999999</v>
      </c>
      <c r="BJ45" s="71">
        <f t="shared" si="29"/>
        <v>0.13999999999999999</v>
      </c>
      <c r="BK45" s="72">
        <f t="shared" si="29"/>
        <v>7.0899999999999963E-2</v>
      </c>
      <c r="BL45" s="72">
        <f t="shared" si="29"/>
        <v>0.11019999999999999</v>
      </c>
      <c r="BM45" s="72">
        <f t="shared" si="29"/>
        <v>0.14249999999999999</v>
      </c>
      <c r="BN45" s="71"/>
      <c r="BO45" s="204">
        <f t="shared" ref="BO45:BW45" si="30">(BO5/100)-BO50</f>
        <v>6.5000000000000002E-2</v>
      </c>
      <c r="BP45" s="204">
        <f t="shared" si="30"/>
        <v>0.10500000000000001</v>
      </c>
      <c r="BQ45" s="204">
        <f t="shared" si="30"/>
        <v>0.13999999999999999</v>
      </c>
      <c r="BR45" s="72">
        <f t="shared" si="30"/>
        <v>6.3100000000000017E-2</v>
      </c>
      <c r="BS45" s="72">
        <f t="shared" si="30"/>
        <v>0.11540000000000003</v>
      </c>
      <c r="BT45" s="72">
        <f t="shared" si="30"/>
        <v>0.14499999999999999</v>
      </c>
      <c r="BU45" s="205"/>
      <c r="BV45" s="205"/>
      <c r="BW45" s="206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</row>
    <row r="46" spans="1:119" x14ac:dyDescent="0.25">
      <c r="A46" s="178"/>
      <c r="B46" s="99" t="s">
        <v>43</v>
      </c>
      <c r="C46" s="7"/>
      <c r="D46" s="71"/>
      <c r="E46" s="71">
        <f>E6/100</f>
        <v>0.09</v>
      </c>
      <c r="F46" s="71">
        <f t="shared" ref="F46:BM46" si="31">F6/100</f>
        <v>0.13500000000000001</v>
      </c>
      <c r="G46" s="71">
        <f t="shared" si="31"/>
        <v>5.5E-2</v>
      </c>
      <c r="H46" s="71">
        <f t="shared" si="31"/>
        <v>0.115</v>
      </c>
      <c r="I46" s="71">
        <f t="shared" si="31"/>
        <v>9.5000000000000001E-2</v>
      </c>
      <c r="J46" s="71">
        <f t="shared" si="31"/>
        <v>0.1</v>
      </c>
      <c r="K46" s="71">
        <f t="shared" si="31"/>
        <v>0.12</v>
      </c>
      <c r="L46" s="71">
        <f t="shared" si="31"/>
        <v>6.5000000000000002E-2</v>
      </c>
      <c r="M46" s="71">
        <f t="shared" si="31"/>
        <v>6.5000000000000002E-2</v>
      </c>
      <c r="N46" s="71">
        <f t="shared" si="31"/>
        <v>9.5000000000000001E-2</v>
      </c>
      <c r="O46" s="71">
        <f t="shared" si="31"/>
        <v>0.12</v>
      </c>
      <c r="P46" s="71">
        <f t="shared" si="31"/>
        <v>6.5000000000000002E-2</v>
      </c>
      <c r="Q46" s="71">
        <f t="shared" si="31"/>
        <v>6.5000000000000002E-2</v>
      </c>
      <c r="R46" s="71">
        <f t="shared" si="31"/>
        <v>9.5000000000000001E-2</v>
      </c>
      <c r="S46" s="71">
        <f t="shared" si="31"/>
        <v>0.115</v>
      </c>
      <c r="T46" s="72">
        <f t="shared" si="31"/>
        <v>5.570000000000002E-2</v>
      </c>
      <c r="U46" s="72">
        <f t="shared" si="31"/>
        <v>9.4E-2</v>
      </c>
      <c r="V46" s="72">
        <f t="shared" si="31"/>
        <v>0.11959999999999998</v>
      </c>
      <c r="W46" s="71"/>
      <c r="X46" s="71">
        <f t="shared" si="31"/>
        <v>0.06</v>
      </c>
      <c r="Y46" s="71">
        <f t="shared" si="31"/>
        <v>9.5000000000000001E-2</v>
      </c>
      <c r="Z46" s="71">
        <f t="shared" si="31"/>
        <v>0.11</v>
      </c>
      <c r="AA46" s="71">
        <f t="shared" si="31"/>
        <v>6.0999999999999999E-2</v>
      </c>
      <c r="AB46" s="71">
        <f t="shared" si="31"/>
        <v>0.1</v>
      </c>
      <c r="AC46" s="71">
        <f t="shared" si="31"/>
        <v>0.124</v>
      </c>
      <c r="AD46" s="71">
        <f t="shared" si="31"/>
        <v>6.4000000000000001E-2</v>
      </c>
      <c r="AE46" s="71">
        <f t="shared" si="31"/>
        <v>0.10300000000000001</v>
      </c>
      <c r="AF46" s="71">
        <f t="shared" si="31"/>
        <v>0.122</v>
      </c>
      <c r="AG46" s="71">
        <f t="shared" si="31"/>
        <v>6.0999999999999999E-2</v>
      </c>
      <c r="AH46" s="71">
        <f t="shared" si="31"/>
        <v>9.9000000000000005E-2</v>
      </c>
      <c r="AI46" s="71">
        <f t="shared" si="31"/>
        <v>0.125</v>
      </c>
      <c r="AJ46" s="71">
        <f t="shared" si="31"/>
        <v>6.2E-2</v>
      </c>
      <c r="AK46" s="71">
        <f t="shared" si="31"/>
        <v>9.6000000000000002E-2</v>
      </c>
      <c r="AL46" s="71">
        <f t="shared" si="31"/>
        <v>0.127</v>
      </c>
      <c r="AM46" s="72">
        <f t="shared" si="31"/>
        <v>5.6800000000000017E-2</v>
      </c>
      <c r="AN46" s="72">
        <f t="shared" si="31"/>
        <v>0.1004</v>
      </c>
      <c r="AO46" s="72">
        <f t="shared" si="31"/>
        <v>0.12539999999999998</v>
      </c>
      <c r="AP46" s="71"/>
      <c r="AQ46" s="71">
        <f t="shared" si="31"/>
        <v>0.06</v>
      </c>
      <c r="AR46" s="71">
        <f t="shared" si="31"/>
        <v>9.5000000000000001E-2</v>
      </c>
      <c r="AS46" s="71">
        <f t="shared" si="31"/>
        <v>0.13</v>
      </c>
      <c r="AT46" s="71">
        <f t="shared" si="31"/>
        <v>6.5000000000000002E-2</v>
      </c>
      <c r="AU46" s="71">
        <f t="shared" si="31"/>
        <v>0.1</v>
      </c>
      <c r="AV46" s="71">
        <f t="shared" si="31"/>
        <v>0.13</v>
      </c>
      <c r="AW46" s="71">
        <f t="shared" si="31"/>
        <v>6.0999999999999999E-2</v>
      </c>
      <c r="AX46" s="71">
        <f t="shared" si="31"/>
        <v>0.10300000000000001</v>
      </c>
      <c r="AY46" s="71">
        <f t="shared" si="31"/>
        <v>0.10300000000000001</v>
      </c>
      <c r="AZ46" s="71">
        <f t="shared" si="31"/>
        <v>0.125</v>
      </c>
      <c r="BA46" s="71">
        <f t="shared" si="31"/>
        <v>0.125</v>
      </c>
      <c r="BB46" s="71">
        <f t="shared" si="31"/>
        <v>0.06</v>
      </c>
      <c r="BC46" s="71">
        <f t="shared" si="31"/>
        <v>9.8000000000000004E-2</v>
      </c>
      <c r="BD46" s="71">
        <f t="shared" si="31"/>
        <v>9.8000000000000004E-2</v>
      </c>
      <c r="BE46" s="71">
        <f t="shared" si="31"/>
        <v>0.125</v>
      </c>
      <c r="BF46" s="71">
        <f t="shared" si="31"/>
        <v>0.06</v>
      </c>
      <c r="BG46" s="71">
        <f t="shared" si="31"/>
        <v>9.9999999999999978E-2</v>
      </c>
      <c r="BH46" s="71">
        <f t="shared" si="31"/>
        <v>9.9999999999999978E-2</v>
      </c>
      <c r="BI46" s="71">
        <f t="shared" si="31"/>
        <v>0.128</v>
      </c>
      <c r="BJ46" s="71">
        <f t="shared" si="31"/>
        <v>0.128</v>
      </c>
      <c r="BK46" s="72">
        <f t="shared" si="31"/>
        <v>6.019999999999999E-2</v>
      </c>
      <c r="BL46" s="72">
        <f t="shared" si="31"/>
        <v>9.9400000000000016E-2</v>
      </c>
      <c r="BM46" s="72">
        <f t="shared" si="31"/>
        <v>0.12659999999999999</v>
      </c>
      <c r="BN46" s="71"/>
      <c r="BO46" s="204">
        <f t="shared" ref="BO46:BW46" si="32">BO6/100</f>
        <v>6.4000000000000015E-2</v>
      </c>
      <c r="BP46" s="204">
        <f t="shared" si="32"/>
        <v>9.9000000000000005E-2</v>
      </c>
      <c r="BQ46" s="204">
        <f t="shared" si="32"/>
        <v>0.13299999999999998</v>
      </c>
      <c r="BR46" s="72">
        <f t="shared" si="32"/>
        <v>6.1200000000000018E-2</v>
      </c>
      <c r="BS46" s="72">
        <f t="shared" si="32"/>
        <v>0.10490000000000001</v>
      </c>
      <c r="BT46" s="72">
        <f t="shared" si="32"/>
        <v>0.13780000000000001</v>
      </c>
      <c r="BU46" s="205"/>
      <c r="BV46" s="205"/>
      <c r="BW46" s="206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</row>
    <row r="47" spans="1:119" x14ac:dyDescent="0.25">
      <c r="A47" s="178"/>
      <c r="B47" s="99" t="s">
        <v>44</v>
      </c>
      <c r="C47" s="7"/>
      <c r="D47" s="71"/>
      <c r="E47" s="71">
        <f>E39/(2*E41)</f>
        <v>0.13350000000000001</v>
      </c>
      <c r="F47" s="71">
        <f t="shared" ref="F47:BM47" si="33">F39/(2*F41)</f>
        <v>0.13350000000000001</v>
      </c>
      <c r="G47" s="71">
        <f t="shared" si="33"/>
        <v>0.13350000000000001</v>
      </c>
      <c r="H47" s="71">
        <f t="shared" si="33"/>
        <v>0.13350000000000001</v>
      </c>
      <c r="I47" s="71">
        <f t="shared" si="33"/>
        <v>0.13350000000000001</v>
      </c>
      <c r="J47" s="71">
        <f t="shared" si="33"/>
        <v>0.13350000000000001</v>
      </c>
      <c r="K47" s="71">
        <f t="shared" si="33"/>
        <v>0.13350000000000001</v>
      </c>
      <c r="L47" s="71">
        <f t="shared" si="33"/>
        <v>0.13350000000000001</v>
      </c>
      <c r="M47" s="71">
        <f t="shared" si="33"/>
        <v>0.13350000000000001</v>
      </c>
      <c r="N47" s="71">
        <f t="shared" si="33"/>
        <v>0.13350000000000001</v>
      </c>
      <c r="O47" s="71">
        <f t="shared" si="33"/>
        <v>0.13350000000000001</v>
      </c>
      <c r="P47" s="71">
        <f t="shared" si="33"/>
        <v>0.13350000000000001</v>
      </c>
      <c r="Q47" s="71">
        <f t="shared" si="33"/>
        <v>0.13350000000000001</v>
      </c>
      <c r="R47" s="71">
        <f t="shared" si="33"/>
        <v>0.13350000000000001</v>
      </c>
      <c r="S47" s="71">
        <f t="shared" si="33"/>
        <v>0.13350000000000001</v>
      </c>
      <c r="T47" s="72">
        <f t="shared" si="33"/>
        <v>0.13350000000000001</v>
      </c>
      <c r="U47" s="72">
        <f t="shared" si="33"/>
        <v>0.13350000000000001</v>
      </c>
      <c r="V47" s="72">
        <f t="shared" si="33"/>
        <v>0.13350000000000001</v>
      </c>
      <c r="W47" s="71"/>
      <c r="X47" s="71">
        <f t="shared" si="33"/>
        <v>0.13350000000000001</v>
      </c>
      <c r="Y47" s="71">
        <f t="shared" si="33"/>
        <v>0.13350000000000001</v>
      </c>
      <c r="Z47" s="71">
        <f t="shared" si="33"/>
        <v>0.13350000000000001</v>
      </c>
      <c r="AA47" s="71">
        <f t="shared" si="33"/>
        <v>0.13350000000000001</v>
      </c>
      <c r="AB47" s="71">
        <f t="shared" si="33"/>
        <v>0.13350000000000001</v>
      </c>
      <c r="AC47" s="71">
        <f t="shared" si="33"/>
        <v>0.13350000000000001</v>
      </c>
      <c r="AD47" s="71">
        <f t="shared" si="33"/>
        <v>0.13350000000000001</v>
      </c>
      <c r="AE47" s="71">
        <f t="shared" si="33"/>
        <v>0.13350000000000001</v>
      </c>
      <c r="AF47" s="71">
        <f t="shared" si="33"/>
        <v>0.13350000000000001</v>
      </c>
      <c r="AG47" s="71">
        <f t="shared" si="33"/>
        <v>0.13350000000000001</v>
      </c>
      <c r="AH47" s="71">
        <f t="shared" si="33"/>
        <v>0.13350000000000001</v>
      </c>
      <c r="AI47" s="71">
        <f t="shared" si="33"/>
        <v>0.13350000000000001</v>
      </c>
      <c r="AJ47" s="71">
        <f t="shared" si="33"/>
        <v>0.13350000000000001</v>
      </c>
      <c r="AK47" s="71">
        <f t="shared" si="33"/>
        <v>0.13350000000000001</v>
      </c>
      <c r="AL47" s="71">
        <f t="shared" si="33"/>
        <v>0.13350000000000001</v>
      </c>
      <c r="AM47" s="72">
        <f t="shared" si="33"/>
        <v>0.13350000000000001</v>
      </c>
      <c r="AN47" s="72">
        <f t="shared" si="33"/>
        <v>0.13350000000000001</v>
      </c>
      <c r="AO47" s="72">
        <f t="shared" si="33"/>
        <v>0.13350000000000001</v>
      </c>
      <c r="AP47" s="71"/>
      <c r="AQ47" s="71">
        <f t="shared" si="33"/>
        <v>0.13350000000000001</v>
      </c>
      <c r="AR47" s="71">
        <f t="shared" si="33"/>
        <v>0.13350000000000001</v>
      </c>
      <c r="AS47" s="71">
        <f t="shared" si="33"/>
        <v>0.13350000000000001</v>
      </c>
      <c r="AT47" s="71">
        <f t="shared" si="33"/>
        <v>0.13350000000000001</v>
      </c>
      <c r="AU47" s="71">
        <f t="shared" si="33"/>
        <v>0.13350000000000001</v>
      </c>
      <c r="AV47" s="71">
        <f t="shared" si="33"/>
        <v>0.13350000000000001</v>
      </c>
      <c r="AW47" s="71">
        <f t="shared" si="33"/>
        <v>0.13350000000000001</v>
      </c>
      <c r="AX47" s="71">
        <f t="shared" si="33"/>
        <v>0.13350000000000001</v>
      </c>
      <c r="AY47" s="71">
        <f t="shared" si="33"/>
        <v>0.13350000000000001</v>
      </c>
      <c r="AZ47" s="71">
        <f t="shared" si="33"/>
        <v>0.13350000000000001</v>
      </c>
      <c r="BA47" s="71">
        <f t="shared" si="33"/>
        <v>0.13350000000000001</v>
      </c>
      <c r="BB47" s="71">
        <f t="shared" si="33"/>
        <v>0.13350000000000001</v>
      </c>
      <c r="BC47" s="71">
        <f t="shared" si="33"/>
        <v>0.13350000000000001</v>
      </c>
      <c r="BD47" s="71">
        <f t="shared" si="33"/>
        <v>0.13350000000000001</v>
      </c>
      <c r="BE47" s="71">
        <f t="shared" si="33"/>
        <v>0.13350000000000001</v>
      </c>
      <c r="BF47" s="71">
        <f t="shared" si="33"/>
        <v>0.13350000000000001</v>
      </c>
      <c r="BG47" s="71">
        <f t="shared" si="33"/>
        <v>0.13350000000000001</v>
      </c>
      <c r="BH47" s="71">
        <f t="shared" si="33"/>
        <v>0.13350000000000001</v>
      </c>
      <c r="BI47" s="71">
        <f t="shared" si="33"/>
        <v>0.13350000000000001</v>
      </c>
      <c r="BJ47" s="71">
        <f t="shared" si="33"/>
        <v>0.13350000000000001</v>
      </c>
      <c r="BK47" s="72">
        <f t="shared" si="33"/>
        <v>0.13350000000000001</v>
      </c>
      <c r="BL47" s="72">
        <f t="shared" si="33"/>
        <v>0.13350000000000001</v>
      </c>
      <c r="BM47" s="72">
        <f t="shared" si="33"/>
        <v>0.13350000000000001</v>
      </c>
      <c r="BN47" s="71"/>
      <c r="BO47" s="204">
        <f t="shared" ref="BO47:BW47" si="34">BO39/(2*BO41)</f>
        <v>0.13350000000000001</v>
      </c>
      <c r="BP47" s="204">
        <f t="shared" si="34"/>
        <v>0.13350000000000001</v>
      </c>
      <c r="BQ47" s="204">
        <f t="shared" si="34"/>
        <v>0.13350000000000001</v>
      </c>
      <c r="BR47" s="72">
        <f t="shared" si="34"/>
        <v>0.13350000000000001</v>
      </c>
      <c r="BS47" s="72">
        <f t="shared" si="34"/>
        <v>0.13350000000000001</v>
      </c>
      <c r="BT47" s="72">
        <f t="shared" si="34"/>
        <v>0.13350000000000001</v>
      </c>
      <c r="BU47" s="205"/>
      <c r="BV47" s="205"/>
      <c r="BW47" s="206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</row>
    <row r="48" spans="1:119" x14ac:dyDescent="0.25">
      <c r="A48" s="178"/>
      <c r="B48" s="99" t="s">
        <v>45</v>
      </c>
      <c r="C48" s="7"/>
      <c r="D48" s="71"/>
      <c r="E48" s="71">
        <v>2.67</v>
      </c>
      <c r="F48" s="71">
        <v>2.67</v>
      </c>
      <c r="G48" s="71">
        <v>2.67</v>
      </c>
      <c r="H48" s="71">
        <v>2.67</v>
      </c>
      <c r="I48" s="71">
        <v>2.67</v>
      </c>
      <c r="J48" s="71">
        <v>2.67</v>
      </c>
      <c r="K48" s="71">
        <v>2.67</v>
      </c>
      <c r="L48" s="71">
        <v>2.67</v>
      </c>
      <c r="M48" s="71">
        <v>2.67</v>
      </c>
      <c r="N48" s="71">
        <v>2.67</v>
      </c>
      <c r="O48" s="71">
        <v>2.67</v>
      </c>
      <c r="P48" s="71">
        <v>2.67</v>
      </c>
      <c r="Q48" s="71">
        <v>2.67</v>
      </c>
      <c r="R48" s="71">
        <v>2.67</v>
      </c>
      <c r="S48" s="71">
        <v>2.67</v>
      </c>
      <c r="T48" s="72">
        <v>2.67</v>
      </c>
      <c r="U48" s="72">
        <v>2.67</v>
      </c>
      <c r="V48" s="72">
        <v>2.67</v>
      </c>
      <c r="W48" s="71"/>
      <c r="X48" s="71">
        <v>2.67</v>
      </c>
      <c r="Y48" s="71">
        <v>2.67</v>
      </c>
      <c r="Z48" s="71">
        <v>2.67</v>
      </c>
      <c r="AA48" s="71">
        <v>2.67</v>
      </c>
      <c r="AB48" s="71">
        <v>2.67</v>
      </c>
      <c r="AC48" s="71">
        <v>2.67</v>
      </c>
      <c r="AD48" s="71">
        <v>2.67</v>
      </c>
      <c r="AE48" s="71">
        <v>2.67</v>
      </c>
      <c r="AF48" s="71">
        <v>2.67</v>
      </c>
      <c r="AG48" s="71">
        <v>2.67</v>
      </c>
      <c r="AH48" s="71">
        <v>2.67</v>
      </c>
      <c r="AI48" s="71">
        <v>2.67</v>
      </c>
      <c r="AJ48" s="71">
        <v>2.67</v>
      </c>
      <c r="AK48" s="71">
        <v>2.67</v>
      </c>
      <c r="AL48" s="71">
        <v>2.67</v>
      </c>
      <c r="AM48" s="72">
        <v>2.67</v>
      </c>
      <c r="AN48" s="72">
        <v>2.67</v>
      </c>
      <c r="AO48" s="72">
        <v>2.67</v>
      </c>
      <c r="AP48" s="71"/>
      <c r="AQ48" s="71">
        <v>2.67</v>
      </c>
      <c r="AR48" s="71">
        <v>2.67</v>
      </c>
      <c r="AS48" s="71">
        <v>2.67</v>
      </c>
      <c r="AT48" s="71">
        <v>2.67</v>
      </c>
      <c r="AU48" s="71">
        <v>2.67</v>
      </c>
      <c r="AV48" s="71">
        <v>2.67</v>
      </c>
      <c r="AW48" s="71">
        <v>2.67</v>
      </c>
      <c r="AX48" s="71">
        <v>2.67</v>
      </c>
      <c r="AY48" s="71">
        <v>2.67</v>
      </c>
      <c r="AZ48" s="71">
        <v>2.67</v>
      </c>
      <c r="BA48" s="71">
        <v>2.67</v>
      </c>
      <c r="BB48" s="71">
        <v>2.67</v>
      </c>
      <c r="BC48" s="71">
        <v>2.67</v>
      </c>
      <c r="BD48" s="71">
        <v>2.67</v>
      </c>
      <c r="BE48" s="71">
        <v>2.67</v>
      </c>
      <c r="BF48" s="71">
        <v>2.67</v>
      </c>
      <c r="BG48" s="71">
        <v>2.67</v>
      </c>
      <c r="BH48" s="71">
        <v>2.67</v>
      </c>
      <c r="BI48" s="71">
        <v>2.67</v>
      </c>
      <c r="BJ48" s="71">
        <v>2.67</v>
      </c>
      <c r="BK48" s="72">
        <v>2.67</v>
      </c>
      <c r="BL48" s="72">
        <v>2.67</v>
      </c>
      <c r="BM48" s="72">
        <v>2.67</v>
      </c>
      <c r="BN48" s="71"/>
      <c r="BO48" s="204">
        <v>2.67</v>
      </c>
      <c r="BP48" s="204">
        <v>2.67</v>
      </c>
      <c r="BQ48" s="204">
        <v>2.67</v>
      </c>
      <c r="BR48" s="72">
        <v>2.67</v>
      </c>
      <c r="BS48" s="72">
        <v>2.67</v>
      </c>
      <c r="BT48" s="72">
        <v>2.67</v>
      </c>
      <c r="BU48" s="205"/>
      <c r="BV48" s="205"/>
      <c r="BW48" s="206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</row>
    <row r="49" spans="1:116" x14ac:dyDescent="0.25">
      <c r="A49" s="178"/>
      <c r="B49" s="99" t="s">
        <v>46</v>
      </c>
      <c r="C49" s="7"/>
      <c r="D49" s="71"/>
      <c r="E49" s="71">
        <v>2.1</v>
      </c>
      <c r="F49" s="71">
        <v>2.1</v>
      </c>
      <c r="G49" s="71">
        <v>2.1</v>
      </c>
      <c r="H49" s="71">
        <v>2.1</v>
      </c>
      <c r="I49" s="71">
        <v>2.1</v>
      </c>
      <c r="J49" s="71">
        <v>2.1</v>
      </c>
      <c r="K49" s="71">
        <v>2.1</v>
      </c>
      <c r="L49" s="71">
        <v>2.1</v>
      </c>
      <c r="M49" s="71">
        <v>2.1</v>
      </c>
      <c r="N49" s="71">
        <v>2.1</v>
      </c>
      <c r="O49" s="71">
        <v>2.1</v>
      </c>
      <c r="P49" s="71">
        <v>2.1</v>
      </c>
      <c r="Q49" s="71">
        <v>2.1</v>
      </c>
      <c r="R49" s="71">
        <v>2.1</v>
      </c>
      <c r="S49" s="71">
        <v>2.1</v>
      </c>
      <c r="T49" s="72">
        <v>2.1</v>
      </c>
      <c r="U49" s="72">
        <v>2.1</v>
      </c>
      <c r="V49" s="72">
        <v>2.1</v>
      </c>
      <c r="W49" s="71"/>
      <c r="X49" s="71">
        <v>2.1</v>
      </c>
      <c r="Y49" s="71">
        <v>2.1</v>
      </c>
      <c r="Z49" s="71">
        <v>2.1</v>
      </c>
      <c r="AA49" s="71">
        <v>2.1</v>
      </c>
      <c r="AB49" s="71">
        <v>2.1</v>
      </c>
      <c r="AC49" s="71">
        <v>2.1</v>
      </c>
      <c r="AD49" s="71">
        <v>2.1</v>
      </c>
      <c r="AE49" s="71">
        <v>2.1</v>
      </c>
      <c r="AF49" s="71">
        <v>2.1</v>
      </c>
      <c r="AG49" s="71">
        <v>2.1</v>
      </c>
      <c r="AH49" s="71">
        <v>2.1</v>
      </c>
      <c r="AI49" s="71">
        <v>2.1</v>
      </c>
      <c r="AJ49" s="71">
        <v>2.1</v>
      </c>
      <c r="AK49" s="71">
        <v>2.1</v>
      </c>
      <c r="AL49" s="71">
        <v>2.1</v>
      </c>
      <c r="AM49" s="72">
        <v>2.1</v>
      </c>
      <c r="AN49" s="72">
        <v>2.1</v>
      </c>
      <c r="AO49" s="72">
        <v>2.1</v>
      </c>
      <c r="AP49" s="71"/>
      <c r="AQ49" s="71">
        <v>2.1</v>
      </c>
      <c r="AR49" s="71">
        <v>2.1</v>
      </c>
      <c r="AS49" s="71">
        <v>2.1</v>
      </c>
      <c r="AT49" s="71">
        <v>2.1</v>
      </c>
      <c r="AU49" s="71">
        <v>2.1</v>
      </c>
      <c r="AV49" s="71">
        <v>2.1</v>
      </c>
      <c r="AW49" s="71">
        <v>2.1</v>
      </c>
      <c r="AX49" s="71">
        <v>2.1</v>
      </c>
      <c r="AY49" s="71">
        <v>2.1</v>
      </c>
      <c r="AZ49" s="71">
        <v>2.1</v>
      </c>
      <c r="BA49" s="71">
        <v>2.1</v>
      </c>
      <c r="BB49" s="71">
        <v>2.1</v>
      </c>
      <c r="BC49" s="71">
        <v>2.1</v>
      </c>
      <c r="BD49" s="71">
        <v>2.1</v>
      </c>
      <c r="BE49" s="71">
        <v>2.1</v>
      </c>
      <c r="BF49" s="71">
        <v>2.1</v>
      </c>
      <c r="BG49" s="71">
        <v>2.1</v>
      </c>
      <c r="BH49" s="71">
        <v>2.1</v>
      </c>
      <c r="BI49" s="71">
        <v>2.1</v>
      </c>
      <c r="BJ49" s="71">
        <v>2.1</v>
      </c>
      <c r="BK49" s="72">
        <v>2.1</v>
      </c>
      <c r="BL49" s="72">
        <v>2.1</v>
      </c>
      <c r="BM49" s="72">
        <v>2.1</v>
      </c>
      <c r="BN49" s="71"/>
      <c r="BO49" s="204">
        <v>2.1</v>
      </c>
      <c r="BP49" s="204">
        <v>2.1</v>
      </c>
      <c r="BQ49" s="204">
        <v>2.1</v>
      </c>
      <c r="BR49" s="72">
        <v>2.1</v>
      </c>
      <c r="BS49" s="72">
        <v>2.1</v>
      </c>
      <c r="BT49" s="72">
        <v>2.1</v>
      </c>
      <c r="BU49" s="205"/>
      <c r="BV49" s="205"/>
      <c r="BW49" s="206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</row>
    <row r="50" spans="1:116" x14ac:dyDescent="0.25">
      <c r="A50" s="178"/>
      <c r="B50" s="99" t="s">
        <v>47</v>
      </c>
      <c r="C50" s="7"/>
      <c r="D50" s="71"/>
      <c r="E50" s="71">
        <v>0.15</v>
      </c>
      <c r="F50" s="71">
        <v>0.15</v>
      </c>
      <c r="G50" s="71">
        <v>0.15</v>
      </c>
      <c r="H50" s="71">
        <v>0.15</v>
      </c>
      <c r="I50" s="71">
        <v>0.15</v>
      </c>
      <c r="J50" s="71">
        <v>0.15</v>
      </c>
      <c r="K50" s="71">
        <v>0.15</v>
      </c>
      <c r="L50" s="71">
        <v>0.15</v>
      </c>
      <c r="M50" s="71">
        <v>0.15</v>
      </c>
      <c r="N50" s="71">
        <v>0.15</v>
      </c>
      <c r="O50" s="71">
        <v>0.15</v>
      </c>
      <c r="P50" s="71">
        <v>0.15</v>
      </c>
      <c r="Q50" s="71">
        <v>0.15</v>
      </c>
      <c r="R50" s="71">
        <v>0.15</v>
      </c>
      <c r="S50" s="71">
        <v>0.15</v>
      </c>
      <c r="T50" s="72">
        <v>0.15</v>
      </c>
      <c r="U50" s="72">
        <v>0.15</v>
      </c>
      <c r="V50" s="72">
        <v>0.15</v>
      </c>
      <c r="W50" s="71"/>
      <c r="X50" s="71">
        <v>0.15</v>
      </c>
      <c r="Y50" s="71">
        <v>0.15</v>
      </c>
      <c r="Z50" s="71">
        <v>0.15</v>
      </c>
      <c r="AA50" s="71">
        <v>0.15</v>
      </c>
      <c r="AB50" s="71">
        <v>0.15</v>
      </c>
      <c r="AC50" s="71">
        <v>0.15</v>
      </c>
      <c r="AD50" s="71">
        <v>0.15</v>
      </c>
      <c r="AE50" s="71">
        <v>0.15</v>
      </c>
      <c r="AF50" s="71">
        <v>0.15</v>
      </c>
      <c r="AG50" s="71">
        <v>0.15</v>
      </c>
      <c r="AH50" s="71">
        <v>0.15</v>
      </c>
      <c r="AI50" s="71">
        <v>0.15</v>
      </c>
      <c r="AJ50" s="71">
        <v>0.15</v>
      </c>
      <c r="AK50" s="71">
        <v>0.15</v>
      </c>
      <c r="AL50" s="71">
        <v>0.15</v>
      </c>
      <c r="AM50" s="72">
        <v>0.15</v>
      </c>
      <c r="AN50" s="72">
        <v>0.15</v>
      </c>
      <c r="AO50" s="72">
        <v>0.15</v>
      </c>
      <c r="AP50" s="71"/>
      <c r="AQ50" s="71">
        <v>0.15</v>
      </c>
      <c r="AR50" s="71">
        <v>0.15</v>
      </c>
      <c r="AS50" s="71">
        <v>0.15</v>
      </c>
      <c r="AT50" s="71">
        <v>0.15</v>
      </c>
      <c r="AU50" s="71">
        <v>0.15</v>
      </c>
      <c r="AV50" s="71">
        <v>0.15</v>
      </c>
      <c r="AW50" s="71">
        <v>0.15</v>
      </c>
      <c r="AX50" s="71">
        <v>0.15</v>
      </c>
      <c r="AY50" s="71">
        <v>0.15</v>
      </c>
      <c r="AZ50" s="71">
        <v>0.15</v>
      </c>
      <c r="BA50" s="71">
        <v>0.15</v>
      </c>
      <c r="BB50" s="71">
        <v>0.15</v>
      </c>
      <c r="BC50" s="71">
        <v>0.15</v>
      </c>
      <c r="BD50" s="71">
        <v>0.15</v>
      </c>
      <c r="BE50" s="71">
        <v>0.15</v>
      </c>
      <c r="BF50" s="71">
        <v>0.15</v>
      </c>
      <c r="BG50" s="71">
        <v>0.15</v>
      </c>
      <c r="BH50" s="71">
        <v>0.15</v>
      </c>
      <c r="BI50" s="71">
        <v>0.15</v>
      </c>
      <c r="BJ50" s="71">
        <v>0.15</v>
      </c>
      <c r="BK50" s="72">
        <v>0.15</v>
      </c>
      <c r="BL50" s="72">
        <v>0.15</v>
      </c>
      <c r="BM50" s="72">
        <v>0.15</v>
      </c>
      <c r="BN50" s="71"/>
      <c r="BO50" s="204">
        <v>0.15</v>
      </c>
      <c r="BP50" s="204">
        <v>0.15</v>
      </c>
      <c r="BQ50" s="204">
        <v>0.15</v>
      </c>
      <c r="BR50" s="72">
        <v>0.15</v>
      </c>
      <c r="BS50" s="72">
        <v>0.15</v>
      </c>
      <c r="BT50" s="72">
        <v>0.15</v>
      </c>
      <c r="BU50" s="205"/>
      <c r="BV50" s="205"/>
      <c r="BW50" s="206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</row>
    <row r="51" spans="1:116" x14ac:dyDescent="0.25">
      <c r="A51" s="178"/>
      <c r="B51" s="99" t="s">
        <v>48</v>
      </c>
      <c r="C51" s="7"/>
      <c r="D51" s="71"/>
      <c r="E51" s="71">
        <v>45</v>
      </c>
      <c r="F51" s="71">
        <v>45</v>
      </c>
      <c r="G51" s="71">
        <v>45</v>
      </c>
      <c r="H51" s="71">
        <v>45</v>
      </c>
      <c r="I51" s="71">
        <v>45</v>
      </c>
      <c r="J51" s="71">
        <v>45</v>
      </c>
      <c r="K51" s="71">
        <v>45</v>
      </c>
      <c r="L51" s="71">
        <v>45</v>
      </c>
      <c r="M51" s="71">
        <v>45</v>
      </c>
      <c r="N51" s="71">
        <v>45</v>
      </c>
      <c r="O51" s="71">
        <v>45</v>
      </c>
      <c r="P51" s="71">
        <v>45</v>
      </c>
      <c r="Q51" s="71">
        <v>45</v>
      </c>
      <c r="R51" s="71">
        <v>45</v>
      </c>
      <c r="S51" s="71">
        <v>45</v>
      </c>
      <c r="T51" s="72">
        <v>45</v>
      </c>
      <c r="U51" s="72">
        <v>45</v>
      </c>
      <c r="V51" s="72">
        <v>45</v>
      </c>
      <c r="W51" s="71"/>
      <c r="X51" s="71">
        <v>45</v>
      </c>
      <c r="Y51" s="71">
        <v>45</v>
      </c>
      <c r="Z51" s="71">
        <v>45</v>
      </c>
      <c r="AA51" s="71">
        <v>45</v>
      </c>
      <c r="AB51" s="71">
        <v>45</v>
      </c>
      <c r="AC51" s="71">
        <v>45</v>
      </c>
      <c r="AD51" s="71">
        <v>45</v>
      </c>
      <c r="AE51" s="71">
        <v>45</v>
      </c>
      <c r="AF51" s="71">
        <v>45</v>
      </c>
      <c r="AG51" s="71">
        <v>45</v>
      </c>
      <c r="AH51" s="71">
        <v>45</v>
      </c>
      <c r="AI51" s="71">
        <v>45</v>
      </c>
      <c r="AJ51" s="71">
        <v>45</v>
      </c>
      <c r="AK51" s="71">
        <v>45</v>
      </c>
      <c r="AL51" s="71">
        <v>45</v>
      </c>
      <c r="AM51" s="72">
        <v>45</v>
      </c>
      <c r="AN51" s="72">
        <v>45</v>
      </c>
      <c r="AO51" s="72">
        <v>45</v>
      </c>
      <c r="AP51" s="71"/>
      <c r="AQ51" s="71">
        <v>45</v>
      </c>
      <c r="AR51" s="71">
        <v>45</v>
      </c>
      <c r="AS51" s="71">
        <v>45</v>
      </c>
      <c r="AT51" s="71">
        <v>45</v>
      </c>
      <c r="AU51" s="71">
        <v>45</v>
      </c>
      <c r="AV51" s="71">
        <v>45</v>
      </c>
      <c r="AW51" s="71">
        <v>45</v>
      </c>
      <c r="AX51" s="71">
        <v>45</v>
      </c>
      <c r="AY51" s="71">
        <v>45</v>
      </c>
      <c r="AZ51" s="71">
        <v>45</v>
      </c>
      <c r="BA51" s="71">
        <v>45</v>
      </c>
      <c r="BB51" s="71">
        <v>45</v>
      </c>
      <c r="BC51" s="71">
        <v>45</v>
      </c>
      <c r="BD51" s="71">
        <v>45</v>
      </c>
      <c r="BE51" s="71">
        <v>45</v>
      </c>
      <c r="BF51" s="71">
        <v>45</v>
      </c>
      <c r="BG51" s="71">
        <v>45</v>
      </c>
      <c r="BH51" s="71">
        <v>45</v>
      </c>
      <c r="BI51" s="71">
        <v>45</v>
      </c>
      <c r="BJ51" s="71">
        <v>45</v>
      </c>
      <c r="BK51" s="72">
        <v>45</v>
      </c>
      <c r="BL51" s="72">
        <v>45</v>
      </c>
      <c r="BM51" s="72">
        <v>45</v>
      </c>
      <c r="BN51" s="71"/>
      <c r="BO51" s="204">
        <v>45</v>
      </c>
      <c r="BP51" s="204">
        <v>45</v>
      </c>
      <c r="BQ51" s="204">
        <v>45</v>
      </c>
      <c r="BR51" s="72">
        <v>45</v>
      </c>
      <c r="BS51" s="72">
        <v>45</v>
      </c>
      <c r="BT51" s="72">
        <v>45</v>
      </c>
      <c r="BU51" s="205"/>
      <c r="BV51" s="205"/>
      <c r="BW51" s="206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</row>
    <row r="52" spans="1:116" x14ac:dyDescent="0.25">
      <c r="A52" s="178"/>
      <c r="B52" s="99" t="s">
        <v>49</v>
      </c>
      <c r="C52" s="7"/>
      <c r="D52" s="71"/>
      <c r="E52" s="71">
        <v>8.0000000000000004E-4</v>
      </c>
      <c r="F52" s="71">
        <v>8.0000000000000004E-4</v>
      </c>
      <c r="G52" s="71">
        <v>8.0000000000000004E-4</v>
      </c>
      <c r="H52" s="71">
        <v>8.0000000000000004E-4</v>
      </c>
      <c r="I52" s="71">
        <v>8.0000000000000004E-4</v>
      </c>
      <c r="J52" s="71">
        <v>8.0000000000000004E-4</v>
      </c>
      <c r="K52" s="71">
        <v>8.0000000000000004E-4</v>
      </c>
      <c r="L52" s="71">
        <v>8.0000000000000004E-4</v>
      </c>
      <c r="M52" s="71">
        <v>8.0000000000000004E-4</v>
      </c>
      <c r="N52" s="71">
        <v>8.0000000000000004E-4</v>
      </c>
      <c r="O52" s="71">
        <v>8.0000000000000004E-4</v>
      </c>
      <c r="P52" s="71">
        <v>8.0000000000000004E-4</v>
      </c>
      <c r="Q52" s="71">
        <v>8.0000000000000004E-4</v>
      </c>
      <c r="R52" s="71">
        <v>8.0000000000000004E-4</v>
      </c>
      <c r="S52" s="71">
        <v>8.0000000000000004E-4</v>
      </c>
      <c r="T52" s="72">
        <v>8.0000000000000004E-4</v>
      </c>
      <c r="U52" s="72">
        <v>8.0000000000000004E-4</v>
      </c>
      <c r="V52" s="72">
        <v>8.0000000000000004E-4</v>
      </c>
      <c r="W52" s="71"/>
      <c r="X52" s="71">
        <v>8.0000000000000004E-4</v>
      </c>
      <c r="Y52" s="71">
        <v>8.0000000000000004E-4</v>
      </c>
      <c r="Z52" s="71">
        <v>8.0000000000000004E-4</v>
      </c>
      <c r="AA52" s="71">
        <v>8.0000000000000004E-4</v>
      </c>
      <c r="AB52" s="71">
        <v>8.0000000000000004E-4</v>
      </c>
      <c r="AC52" s="71">
        <v>8.0000000000000004E-4</v>
      </c>
      <c r="AD52" s="71">
        <v>8.0000000000000004E-4</v>
      </c>
      <c r="AE52" s="71">
        <v>8.0000000000000004E-4</v>
      </c>
      <c r="AF52" s="71">
        <v>8.0000000000000004E-4</v>
      </c>
      <c r="AG52" s="71">
        <v>8.0000000000000004E-4</v>
      </c>
      <c r="AH52" s="71">
        <v>8.0000000000000004E-4</v>
      </c>
      <c r="AI52" s="71">
        <v>8.0000000000000004E-4</v>
      </c>
      <c r="AJ52" s="71">
        <v>8.0000000000000004E-4</v>
      </c>
      <c r="AK52" s="71">
        <v>8.0000000000000004E-4</v>
      </c>
      <c r="AL52" s="71">
        <v>8.0000000000000004E-4</v>
      </c>
      <c r="AM52" s="72">
        <v>8.0000000000000004E-4</v>
      </c>
      <c r="AN52" s="72">
        <v>8.0000000000000004E-4</v>
      </c>
      <c r="AO52" s="72">
        <v>8.0000000000000004E-4</v>
      </c>
      <c r="AP52" s="71"/>
      <c r="AQ52" s="71">
        <v>8.0000000000000004E-4</v>
      </c>
      <c r="AR52" s="71">
        <v>8.0000000000000004E-4</v>
      </c>
      <c r="AS52" s="71">
        <v>8.0000000000000004E-4</v>
      </c>
      <c r="AT52" s="71">
        <v>8.0000000000000004E-4</v>
      </c>
      <c r="AU52" s="71">
        <v>8.0000000000000004E-4</v>
      </c>
      <c r="AV52" s="71">
        <v>8.0000000000000004E-4</v>
      </c>
      <c r="AW52" s="71">
        <v>8.0000000000000004E-4</v>
      </c>
      <c r="AX52" s="71">
        <v>8.0000000000000004E-4</v>
      </c>
      <c r="AY52" s="71">
        <v>8.0000000000000004E-4</v>
      </c>
      <c r="AZ52" s="71">
        <v>8.0000000000000004E-4</v>
      </c>
      <c r="BA52" s="71">
        <v>8.0000000000000004E-4</v>
      </c>
      <c r="BB52" s="71">
        <v>8.0000000000000004E-4</v>
      </c>
      <c r="BC52" s="71">
        <v>8.0000000000000004E-4</v>
      </c>
      <c r="BD52" s="71">
        <v>8.0000000000000004E-4</v>
      </c>
      <c r="BE52" s="71">
        <v>8.0000000000000004E-4</v>
      </c>
      <c r="BF52" s="71">
        <v>8.0000000000000004E-4</v>
      </c>
      <c r="BG52" s="71">
        <v>8.0000000000000004E-4</v>
      </c>
      <c r="BH52" s="71">
        <v>8.0000000000000004E-4</v>
      </c>
      <c r="BI52" s="71">
        <v>8.0000000000000004E-4</v>
      </c>
      <c r="BJ52" s="71">
        <v>8.0000000000000004E-4</v>
      </c>
      <c r="BK52" s="72">
        <v>8.0000000000000004E-4</v>
      </c>
      <c r="BL52" s="72">
        <v>8.0000000000000004E-4</v>
      </c>
      <c r="BM52" s="72">
        <v>8.0000000000000004E-4</v>
      </c>
      <c r="BN52" s="71"/>
      <c r="BO52" s="204">
        <v>8.0000000000000004E-4</v>
      </c>
      <c r="BP52" s="204">
        <v>8.0000000000000004E-4</v>
      </c>
      <c r="BQ52" s="204">
        <v>8.0000000000000004E-4</v>
      </c>
      <c r="BR52" s="72">
        <v>8.0000000000000004E-4</v>
      </c>
      <c r="BS52" s="72">
        <v>8.0000000000000004E-4</v>
      </c>
      <c r="BT52" s="72">
        <v>8.0000000000000004E-4</v>
      </c>
      <c r="BU52" s="205"/>
      <c r="BV52" s="205"/>
      <c r="BW52" s="206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</row>
    <row r="53" spans="1:116" x14ac:dyDescent="0.25">
      <c r="A53" s="178"/>
      <c r="B53" s="99" t="s">
        <v>50</v>
      </c>
      <c r="C53" s="7"/>
      <c r="D53" s="71"/>
      <c r="E53" s="71">
        <f>E46-E52</f>
        <v>8.9200000000000002E-2</v>
      </c>
      <c r="F53" s="71">
        <f t="shared" ref="F53:BM53" si="35">F46-F52</f>
        <v>0.13420000000000001</v>
      </c>
      <c r="G53" s="71">
        <f t="shared" si="35"/>
        <v>5.4199999999999998E-2</v>
      </c>
      <c r="H53" s="71">
        <f t="shared" si="35"/>
        <v>0.11420000000000001</v>
      </c>
      <c r="I53" s="71">
        <f t="shared" si="35"/>
        <v>9.4200000000000006E-2</v>
      </c>
      <c r="J53" s="71">
        <f t="shared" si="35"/>
        <v>9.920000000000001E-2</v>
      </c>
      <c r="K53" s="71">
        <f t="shared" si="35"/>
        <v>0.1192</v>
      </c>
      <c r="L53" s="71">
        <f t="shared" si="35"/>
        <v>6.4200000000000007E-2</v>
      </c>
      <c r="M53" s="71">
        <f t="shared" si="35"/>
        <v>6.4200000000000007E-2</v>
      </c>
      <c r="N53" s="71">
        <f t="shared" si="35"/>
        <v>9.4200000000000006E-2</v>
      </c>
      <c r="O53" s="71">
        <f t="shared" si="35"/>
        <v>0.1192</v>
      </c>
      <c r="P53" s="71">
        <f t="shared" si="35"/>
        <v>6.4200000000000007E-2</v>
      </c>
      <c r="Q53" s="71">
        <f t="shared" si="35"/>
        <v>6.4200000000000007E-2</v>
      </c>
      <c r="R53" s="71">
        <f t="shared" si="35"/>
        <v>9.4200000000000006E-2</v>
      </c>
      <c r="S53" s="71">
        <f t="shared" si="35"/>
        <v>0.11420000000000001</v>
      </c>
      <c r="T53" s="72">
        <f t="shared" si="35"/>
        <v>5.4900000000000018E-2</v>
      </c>
      <c r="U53" s="72">
        <f t="shared" si="35"/>
        <v>9.3200000000000005E-2</v>
      </c>
      <c r="V53" s="72">
        <f t="shared" si="35"/>
        <v>0.11879999999999999</v>
      </c>
      <c r="W53" s="71"/>
      <c r="X53" s="71">
        <f t="shared" si="35"/>
        <v>5.9199999999999996E-2</v>
      </c>
      <c r="Y53" s="71">
        <f t="shared" si="35"/>
        <v>9.4200000000000006E-2</v>
      </c>
      <c r="Z53" s="71">
        <f t="shared" si="35"/>
        <v>0.10920000000000001</v>
      </c>
      <c r="AA53" s="71">
        <f t="shared" si="35"/>
        <v>6.0199999999999997E-2</v>
      </c>
      <c r="AB53" s="71">
        <f t="shared" si="35"/>
        <v>9.920000000000001E-2</v>
      </c>
      <c r="AC53" s="71">
        <f t="shared" si="35"/>
        <v>0.1232</v>
      </c>
      <c r="AD53" s="71">
        <f t="shared" si="35"/>
        <v>6.3200000000000006E-2</v>
      </c>
      <c r="AE53" s="71">
        <f t="shared" si="35"/>
        <v>0.10220000000000001</v>
      </c>
      <c r="AF53" s="71">
        <f t="shared" si="35"/>
        <v>0.1212</v>
      </c>
      <c r="AG53" s="71">
        <f t="shared" si="35"/>
        <v>6.0199999999999997E-2</v>
      </c>
      <c r="AH53" s="71">
        <f t="shared" si="35"/>
        <v>9.820000000000001E-2</v>
      </c>
      <c r="AI53" s="71">
        <f t="shared" si="35"/>
        <v>0.1242</v>
      </c>
      <c r="AJ53" s="71">
        <f t="shared" si="35"/>
        <v>6.1199999999999997E-2</v>
      </c>
      <c r="AK53" s="71">
        <f t="shared" si="35"/>
        <v>9.5200000000000007E-2</v>
      </c>
      <c r="AL53" s="71">
        <f t="shared" si="35"/>
        <v>0.12620000000000001</v>
      </c>
      <c r="AM53" s="72">
        <f t="shared" si="35"/>
        <v>5.6000000000000015E-2</v>
      </c>
      <c r="AN53" s="72">
        <f t="shared" si="35"/>
        <v>9.9600000000000008E-2</v>
      </c>
      <c r="AO53" s="72">
        <f t="shared" si="35"/>
        <v>0.12459999999999999</v>
      </c>
      <c r="AP53" s="71"/>
      <c r="AQ53" s="71">
        <f t="shared" si="35"/>
        <v>5.9199999999999996E-2</v>
      </c>
      <c r="AR53" s="71">
        <f t="shared" si="35"/>
        <v>9.4200000000000006E-2</v>
      </c>
      <c r="AS53" s="71">
        <f t="shared" si="35"/>
        <v>0.12920000000000001</v>
      </c>
      <c r="AT53" s="71">
        <f t="shared" si="35"/>
        <v>6.4200000000000007E-2</v>
      </c>
      <c r="AU53" s="71">
        <f t="shared" si="35"/>
        <v>9.920000000000001E-2</v>
      </c>
      <c r="AV53" s="71">
        <f t="shared" si="35"/>
        <v>0.12920000000000001</v>
      </c>
      <c r="AW53" s="71">
        <f t="shared" si="35"/>
        <v>6.0199999999999997E-2</v>
      </c>
      <c r="AX53" s="71">
        <f t="shared" si="35"/>
        <v>0.10220000000000001</v>
      </c>
      <c r="AY53" s="71">
        <f t="shared" si="35"/>
        <v>0.10220000000000001</v>
      </c>
      <c r="AZ53" s="71">
        <f t="shared" si="35"/>
        <v>0.1242</v>
      </c>
      <c r="BA53" s="71">
        <f t="shared" si="35"/>
        <v>0.1242</v>
      </c>
      <c r="BB53" s="71">
        <f t="shared" si="35"/>
        <v>5.9199999999999996E-2</v>
      </c>
      <c r="BC53" s="71">
        <f t="shared" si="35"/>
        <v>9.7200000000000009E-2</v>
      </c>
      <c r="BD53" s="71">
        <f t="shared" si="35"/>
        <v>9.7200000000000009E-2</v>
      </c>
      <c r="BE53" s="71">
        <f t="shared" si="35"/>
        <v>0.1242</v>
      </c>
      <c r="BF53" s="71">
        <f t="shared" si="35"/>
        <v>5.9199999999999996E-2</v>
      </c>
      <c r="BG53" s="71">
        <f t="shared" si="35"/>
        <v>9.9199999999999983E-2</v>
      </c>
      <c r="BH53" s="71">
        <f t="shared" si="35"/>
        <v>9.9199999999999983E-2</v>
      </c>
      <c r="BI53" s="71">
        <f t="shared" si="35"/>
        <v>0.12720000000000001</v>
      </c>
      <c r="BJ53" s="71">
        <f t="shared" si="35"/>
        <v>0.12720000000000001</v>
      </c>
      <c r="BK53" s="72">
        <f t="shared" si="35"/>
        <v>5.9399999999999988E-2</v>
      </c>
      <c r="BL53" s="72">
        <f t="shared" si="35"/>
        <v>9.8600000000000021E-2</v>
      </c>
      <c r="BM53" s="72">
        <f t="shared" si="35"/>
        <v>0.1258</v>
      </c>
      <c r="BN53" s="71"/>
      <c r="BO53" s="204">
        <f t="shared" ref="BO53:BW53" si="36">BO46-BO52</f>
        <v>6.320000000000002E-2</v>
      </c>
      <c r="BP53" s="204">
        <f t="shared" si="36"/>
        <v>9.820000000000001E-2</v>
      </c>
      <c r="BQ53" s="204">
        <f t="shared" si="36"/>
        <v>0.13219999999999998</v>
      </c>
      <c r="BR53" s="72">
        <f t="shared" si="36"/>
        <v>6.0400000000000016E-2</v>
      </c>
      <c r="BS53" s="72">
        <f t="shared" si="36"/>
        <v>0.10410000000000001</v>
      </c>
      <c r="BT53" s="72">
        <f t="shared" si="36"/>
        <v>0.13700000000000001</v>
      </c>
      <c r="BU53" s="205"/>
      <c r="BV53" s="205"/>
      <c r="BW53" s="206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</row>
    <row r="54" spans="1:116" x14ac:dyDescent="0.25">
      <c r="A54" s="178"/>
      <c r="B54" s="99" t="s">
        <v>51</v>
      </c>
      <c r="C54" s="7"/>
      <c r="D54" s="71"/>
      <c r="E54" s="71">
        <f>0.5*(E49+(E49+(2*(E5/100)*TAN(RADIANS(E51)))))*(E5/100)</f>
        <v>0.61360000000000015</v>
      </c>
      <c r="F54" s="71">
        <f t="shared" ref="F54:BM54" si="37">0.5*(F49+(F49+(2*(F5/100)*TAN(RADIANS(F51)))))*(F5/100)</f>
        <v>0.72000000000000008</v>
      </c>
      <c r="G54" s="71">
        <f t="shared" si="37"/>
        <v>0.51040000000000008</v>
      </c>
      <c r="H54" s="71">
        <f t="shared" si="37"/>
        <v>0.69309999999999983</v>
      </c>
      <c r="I54" s="71">
        <f t="shared" si="37"/>
        <v>0.69309999999999983</v>
      </c>
      <c r="J54" s="71">
        <f t="shared" si="37"/>
        <v>0.61360000000000015</v>
      </c>
      <c r="K54" s="71">
        <f t="shared" si="37"/>
        <v>0.69309999999999983</v>
      </c>
      <c r="L54" s="71">
        <f t="shared" si="37"/>
        <v>0.51040000000000008</v>
      </c>
      <c r="M54" s="71">
        <f t="shared" si="37"/>
        <v>0.49772500000000008</v>
      </c>
      <c r="N54" s="71">
        <f t="shared" si="37"/>
        <v>0.60052499999999998</v>
      </c>
      <c r="O54" s="71">
        <f t="shared" si="37"/>
        <v>0.67972499999999991</v>
      </c>
      <c r="P54" s="71">
        <f t="shared" si="37"/>
        <v>0.51040000000000008</v>
      </c>
      <c r="Q54" s="71">
        <f t="shared" si="37"/>
        <v>0.49772500000000008</v>
      </c>
      <c r="R54" s="71">
        <f t="shared" si="37"/>
        <v>0.60052499999999998</v>
      </c>
      <c r="S54" s="71">
        <f t="shared" si="37"/>
        <v>0.67972499999999991</v>
      </c>
      <c r="T54" s="72">
        <f t="shared" si="37"/>
        <v>0.48862995999999997</v>
      </c>
      <c r="U54" s="72">
        <f t="shared" si="37"/>
        <v>0.60418095999999999</v>
      </c>
      <c r="V54" s="72">
        <f t="shared" si="37"/>
        <v>0.67625569000000019</v>
      </c>
      <c r="W54" s="71"/>
      <c r="X54" s="71">
        <f t="shared" si="37"/>
        <v>0.51040000000000008</v>
      </c>
      <c r="Y54" s="71">
        <f t="shared" si="37"/>
        <v>0.61360000000000015</v>
      </c>
      <c r="Z54" s="71">
        <f t="shared" si="37"/>
        <v>0.69309999999999983</v>
      </c>
      <c r="AA54" s="71">
        <f t="shared" si="37"/>
        <v>0.49772500000000008</v>
      </c>
      <c r="AB54" s="71">
        <f t="shared" si="37"/>
        <v>0.61360000000000015</v>
      </c>
      <c r="AC54" s="71">
        <f t="shared" si="37"/>
        <v>0.69309999999999983</v>
      </c>
      <c r="AD54" s="71">
        <f t="shared" si="37"/>
        <v>0.49772500000000008</v>
      </c>
      <c r="AE54" s="71">
        <f t="shared" si="37"/>
        <v>0.60052499999999998</v>
      </c>
      <c r="AF54" s="71">
        <f t="shared" si="37"/>
        <v>0.69309999999999983</v>
      </c>
      <c r="AG54" s="71">
        <f t="shared" si="37"/>
        <v>0.51040000000000008</v>
      </c>
      <c r="AH54" s="71">
        <f t="shared" si="37"/>
        <v>0.61360000000000015</v>
      </c>
      <c r="AI54" s="71">
        <f t="shared" si="37"/>
        <v>0.69309999999999983</v>
      </c>
      <c r="AJ54" s="71">
        <f t="shared" si="37"/>
        <v>0.51040000000000008</v>
      </c>
      <c r="AK54" s="71">
        <f t="shared" si="37"/>
        <v>0.61360000000000015</v>
      </c>
      <c r="AL54" s="71">
        <f t="shared" si="37"/>
        <v>0.66639999999999999</v>
      </c>
      <c r="AM54" s="72">
        <f t="shared" si="37"/>
        <v>0.49519600000000003</v>
      </c>
      <c r="AN54" s="72">
        <f t="shared" si="37"/>
        <v>0.61805688999999997</v>
      </c>
      <c r="AO54" s="72">
        <f t="shared" si="37"/>
        <v>0.69926928999999982</v>
      </c>
      <c r="AP54" s="71"/>
      <c r="AQ54" s="71">
        <f t="shared" si="37"/>
        <v>0.51040000000000008</v>
      </c>
      <c r="AR54" s="71">
        <f t="shared" si="37"/>
        <v>0.61360000000000015</v>
      </c>
      <c r="AS54" s="71">
        <f t="shared" si="37"/>
        <v>0.69309999999999983</v>
      </c>
      <c r="AT54" s="71">
        <f t="shared" si="37"/>
        <v>0.51040000000000008</v>
      </c>
      <c r="AU54" s="71">
        <f t="shared" si="37"/>
        <v>0.61360000000000015</v>
      </c>
      <c r="AV54" s="71">
        <f t="shared" si="37"/>
        <v>0.69309999999999983</v>
      </c>
      <c r="AW54" s="71">
        <f t="shared" si="37"/>
        <v>0.51040000000000008</v>
      </c>
      <c r="AX54" s="71">
        <f t="shared" si="37"/>
        <v>0.61360000000000015</v>
      </c>
      <c r="AY54" s="71">
        <f t="shared" si="37"/>
        <v>0.61360000000000015</v>
      </c>
      <c r="AZ54" s="71">
        <f t="shared" si="37"/>
        <v>0.69309999999999983</v>
      </c>
      <c r="BA54" s="71">
        <f t="shared" si="37"/>
        <v>0.69309999999999983</v>
      </c>
      <c r="BB54" s="71">
        <f t="shared" si="37"/>
        <v>0.51040000000000008</v>
      </c>
      <c r="BC54" s="71">
        <f t="shared" si="37"/>
        <v>0.61360000000000015</v>
      </c>
      <c r="BD54" s="71">
        <f t="shared" si="37"/>
        <v>0.61360000000000015</v>
      </c>
      <c r="BE54" s="71">
        <f t="shared" si="37"/>
        <v>0.69309999999999983</v>
      </c>
      <c r="BF54" s="71">
        <f t="shared" si="37"/>
        <v>0.51040000000000008</v>
      </c>
      <c r="BG54" s="71">
        <f t="shared" si="37"/>
        <v>0.61360000000000015</v>
      </c>
      <c r="BH54" s="71">
        <f t="shared" si="37"/>
        <v>0.61360000000000015</v>
      </c>
      <c r="BI54" s="71">
        <f t="shared" si="37"/>
        <v>0.69309999999999983</v>
      </c>
      <c r="BJ54" s="71">
        <f t="shared" si="37"/>
        <v>0.69309999999999983</v>
      </c>
      <c r="BK54" s="72">
        <f t="shared" si="37"/>
        <v>0.51268680999999994</v>
      </c>
      <c r="BL54" s="72">
        <f t="shared" si="37"/>
        <v>0.61412403999999998</v>
      </c>
      <c r="BM54" s="72">
        <f t="shared" si="37"/>
        <v>0.69980624999999996</v>
      </c>
      <c r="BN54" s="71"/>
      <c r="BO54" s="204">
        <f t="shared" ref="BO54:BW54" si="38">0.5*(BO49+(BO49+(2*(BO5/100)*TAN(RADIANS(BO51)))))*(BO5/100)</f>
        <v>0.49772500000000008</v>
      </c>
      <c r="BP54" s="204">
        <f t="shared" si="38"/>
        <v>0.60052499999999998</v>
      </c>
      <c r="BQ54" s="204">
        <f t="shared" si="38"/>
        <v>0.69309999999999983</v>
      </c>
      <c r="BR54" s="72">
        <f t="shared" si="38"/>
        <v>0.49292161000000012</v>
      </c>
      <c r="BS54" s="72">
        <f t="shared" si="38"/>
        <v>0.62777716000000006</v>
      </c>
      <c r="BT54" s="72">
        <f t="shared" si="38"/>
        <v>0.70652499999999996</v>
      </c>
      <c r="BU54" s="205"/>
      <c r="BV54" s="205"/>
      <c r="BW54" s="206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</row>
    <row r="55" spans="1:116" x14ac:dyDescent="0.25">
      <c r="A55" s="178"/>
      <c r="B55" s="99" t="s">
        <v>52</v>
      </c>
      <c r="C55" s="7"/>
      <c r="D55" s="71"/>
      <c r="E55" s="71">
        <f t="shared" ref="E55:BM55" si="39">0.8*E40*SQRT(9.81)*10</f>
        <v>15.409892407151972</v>
      </c>
      <c r="F55" s="71">
        <f t="shared" si="39"/>
        <v>15.409892407151972</v>
      </c>
      <c r="G55" s="71">
        <f t="shared" si="39"/>
        <v>15.409892407151972</v>
      </c>
      <c r="H55" s="71">
        <f t="shared" si="39"/>
        <v>15.409892407151972</v>
      </c>
      <c r="I55" s="71">
        <f t="shared" si="39"/>
        <v>15.409892407151972</v>
      </c>
      <c r="J55" s="71">
        <f t="shared" si="39"/>
        <v>15.409892407151972</v>
      </c>
      <c r="K55" s="71">
        <f t="shared" si="39"/>
        <v>15.409892407151972</v>
      </c>
      <c r="L55" s="71">
        <f t="shared" si="39"/>
        <v>15.409892407151972</v>
      </c>
      <c r="M55" s="71">
        <f t="shared" si="39"/>
        <v>15.409892407151972</v>
      </c>
      <c r="N55" s="71">
        <f t="shared" si="39"/>
        <v>15.409892407151972</v>
      </c>
      <c r="O55" s="71">
        <f t="shared" si="39"/>
        <v>15.409892407151972</v>
      </c>
      <c r="P55" s="71">
        <f t="shared" si="39"/>
        <v>15.409892407151972</v>
      </c>
      <c r="Q55" s="71">
        <f t="shared" si="39"/>
        <v>15.409892407151972</v>
      </c>
      <c r="R55" s="71">
        <f t="shared" si="39"/>
        <v>15.409892407151972</v>
      </c>
      <c r="S55" s="71">
        <f t="shared" si="39"/>
        <v>15.409892407151972</v>
      </c>
      <c r="T55" s="72">
        <f t="shared" si="39"/>
        <v>15.409892407151972</v>
      </c>
      <c r="U55" s="72">
        <f t="shared" si="39"/>
        <v>15.409892407151972</v>
      </c>
      <c r="V55" s="72">
        <f t="shared" si="39"/>
        <v>15.409892407151972</v>
      </c>
      <c r="W55" s="71"/>
      <c r="X55" s="71">
        <f t="shared" si="39"/>
        <v>15.409892407151972</v>
      </c>
      <c r="Y55" s="71">
        <f t="shared" si="39"/>
        <v>15.409892407151972</v>
      </c>
      <c r="Z55" s="71">
        <f t="shared" si="39"/>
        <v>15.409892407151972</v>
      </c>
      <c r="AA55" s="71">
        <f t="shared" si="39"/>
        <v>15.409892407151972</v>
      </c>
      <c r="AB55" s="71">
        <f t="shared" si="39"/>
        <v>15.409892407151972</v>
      </c>
      <c r="AC55" s="71">
        <f t="shared" si="39"/>
        <v>15.409892407151972</v>
      </c>
      <c r="AD55" s="71">
        <f t="shared" si="39"/>
        <v>15.409892407151972</v>
      </c>
      <c r="AE55" s="71">
        <f t="shared" si="39"/>
        <v>15.409892407151972</v>
      </c>
      <c r="AF55" s="71">
        <f t="shared" si="39"/>
        <v>15.409892407151972</v>
      </c>
      <c r="AG55" s="71">
        <f t="shared" si="39"/>
        <v>15.409892407151972</v>
      </c>
      <c r="AH55" s="71">
        <f t="shared" si="39"/>
        <v>15.409892407151972</v>
      </c>
      <c r="AI55" s="71">
        <f t="shared" si="39"/>
        <v>15.409892407151972</v>
      </c>
      <c r="AJ55" s="71">
        <f t="shared" si="39"/>
        <v>15.409892407151972</v>
      </c>
      <c r="AK55" s="71">
        <f t="shared" si="39"/>
        <v>15.409892407151972</v>
      </c>
      <c r="AL55" s="71">
        <f t="shared" si="39"/>
        <v>15.409892407151972</v>
      </c>
      <c r="AM55" s="72">
        <f t="shared" si="39"/>
        <v>15.409892407151972</v>
      </c>
      <c r="AN55" s="72">
        <f t="shared" si="39"/>
        <v>15.409892407151972</v>
      </c>
      <c r="AO55" s="72">
        <f t="shared" si="39"/>
        <v>15.409892407151972</v>
      </c>
      <c r="AP55" s="71"/>
      <c r="AQ55" s="71">
        <f t="shared" si="39"/>
        <v>15.409892407151972</v>
      </c>
      <c r="AR55" s="71">
        <f t="shared" si="39"/>
        <v>15.409892407151972</v>
      </c>
      <c r="AS55" s="71">
        <f t="shared" si="39"/>
        <v>15.409892407151972</v>
      </c>
      <c r="AT55" s="71">
        <f t="shared" si="39"/>
        <v>15.409892407151972</v>
      </c>
      <c r="AU55" s="71">
        <f t="shared" si="39"/>
        <v>15.409892407151972</v>
      </c>
      <c r="AV55" s="71">
        <f t="shared" si="39"/>
        <v>15.409892407151972</v>
      </c>
      <c r="AW55" s="71">
        <f t="shared" si="39"/>
        <v>15.409892407151972</v>
      </c>
      <c r="AX55" s="71">
        <f t="shared" si="39"/>
        <v>15.409892407151972</v>
      </c>
      <c r="AY55" s="71">
        <f t="shared" si="39"/>
        <v>15.409892407151972</v>
      </c>
      <c r="AZ55" s="71">
        <f t="shared" si="39"/>
        <v>15.409892407151972</v>
      </c>
      <c r="BA55" s="71">
        <f t="shared" si="39"/>
        <v>15.409892407151972</v>
      </c>
      <c r="BB55" s="71">
        <f t="shared" si="39"/>
        <v>15.409892407151972</v>
      </c>
      <c r="BC55" s="71">
        <f t="shared" si="39"/>
        <v>15.409892407151972</v>
      </c>
      <c r="BD55" s="71">
        <f t="shared" si="39"/>
        <v>15.409892407151972</v>
      </c>
      <c r="BE55" s="71">
        <f t="shared" si="39"/>
        <v>15.409892407151972</v>
      </c>
      <c r="BF55" s="71">
        <f t="shared" si="39"/>
        <v>15.409892407151972</v>
      </c>
      <c r="BG55" s="71">
        <f t="shared" si="39"/>
        <v>15.409892407151972</v>
      </c>
      <c r="BH55" s="71">
        <f t="shared" si="39"/>
        <v>15.409892407151972</v>
      </c>
      <c r="BI55" s="71">
        <f t="shared" si="39"/>
        <v>15.409892407151972</v>
      </c>
      <c r="BJ55" s="71">
        <f t="shared" si="39"/>
        <v>15.409892407151972</v>
      </c>
      <c r="BK55" s="72">
        <f t="shared" si="39"/>
        <v>15.409892407151972</v>
      </c>
      <c r="BL55" s="72">
        <f t="shared" si="39"/>
        <v>15.409892407151972</v>
      </c>
      <c r="BM55" s="72">
        <f t="shared" si="39"/>
        <v>15.409892407151972</v>
      </c>
      <c r="BN55" s="71"/>
      <c r="BO55" s="204">
        <f t="shared" ref="BO55:BW55" si="40">0.8*BO40*SQRT(9.81)*10</f>
        <v>15.409892407151972</v>
      </c>
      <c r="BP55" s="204">
        <f t="shared" si="40"/>
        <v>15.409892407151972</v>
      </c>
      <c r="BQ55" s="204">
        <f t="shared" si="40"/>
        <v>15.409892407151972</v>
      </c>
      <c r="BR55" s="72">
        <f t="shared" si="40"/>
        <v>15.409892407151972</v>
      </c>
      <c r="BS55" s="72">
        <f t="shared" si="40"/>
        <v>15.409892407151972</v>
      </c>
      <c r="BT55" s="72">
        <f t="shared" si="40"/>
        <v>15.409892407151972</v>
      </c>
      <c r="BU55" s="205"/>
      <c r="BV55" s="205"/>
      <c r="BW55" s="206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</row>
    <row r="56" spans="1:116" x14ac:dyDescent="0.25">
      <c r="A56" s="178"/>
      <c r="B56" s="99" t="s">
        <v>53</v>
      </c>
      <c r="C56" s="7"/>
      <c r="D56" s="71"/>
      <c r="E56" s="71">
        <f t="shared" ref="E56:BM56" si="41">IF(E46&lt;E47,1,1-(1-(E47/E53))^(5/2))</f>
        <v>1</v>
      </c>
      <c r="F56" s="71">
        <f t="shared" si="41"/>
        <v>0.99999803499431827</v>
      </c>
      <c r="G56" s="71">
        <f t="shared" si="41"/>
        <v>1</v>
      </c>
      <c r="H56" s="71">
        <f t="shared" si="41"/>
        <v>1</v>
      </c>
      <c r="I56" s="71">
        <f t="shared" si="41"/>
        <v>1</v>
      </c>
      <c r="J56" s="71">
        <f t="shared" si="41"/>
        <v>1</v>
      </c>
      <c r="K56" s="71">
        <f t="shared" si="41"/>
        <v>1</v>
      </c>
      <c r="L56" s="71">
        <f t="shared" si="41"/>
        <v>1</v>
      </c>
      <c r="M56" s="71">
        <f t="shared" si="41"/>
        <v>1</v>
      </c>
      <c r="N56" s="71">
        <f t="shared" si="41"/>
        <v>1</v>
      </c>
      <c r="O56" s="71">
        <f t="shared" si="41"/>
        <v>1</v>
      </c>
      <c r="P56" s="71">
        <f t="shared" si="41"/>
        <v>1</v>
      </c>
      <c r="Q56" s="71">
        <f t="shared" si="41"/>
        <v>1</v>
      </c>
      <c r="R56" s="71">
        <f t="shared" si="41"/>
        <v>1</v>
      </c>
      <c r="S56" s="71">
        <f t="shared" si="41"/>
        <v>1</v>
      </c>
      <c r="T56" s="72">
        <f t="shared" si="41"/>
        <v>1</v>
      </c>
      <c r="U56" s="72">
        <f t="shared" si="41"/>
        <v>1</v>
      </c>
      <c r="V56" s="72">
        <f t="shared" si="41"/>
        <v>1</v>
      </c>
      <c r="W56" s="71"/>
      <c r="X56" s="71">
        <f t="shared" si="41"/>
        <v>1</v>
      </c>
      <c r="Y56" s="71">
        <f t="shared" si="41"/>
        <v>1</v>
      </c>
      <c r="Z56" s="71">
        <f t="shared" si="41"/>
        <v>1</v>
      </c>
      <c r="AA56" s="71">
        <f t="shared" si="41"/>
        <v>1</v>
      </c>
      <c r="AB56" s="71">
        <f t="shared" si="41"/>
        <v>1</v>
      </c>
      <c r="AC56" s="71">
        <f t="shared" si="41"/>
        <v>1</v>
      </c>
      <c r="AD56" s="71">
        <f t="shared" si="41"/>
        <v>1</v>
      </c>
      <c r="AE56" s="71">
        <f t="shared" si="41"/>
        <v>1</v>
      </c>
      <c r="AF56" s="71">
        <f t="shared" si="41"/>
        <v>1</v>
      </c>
      <c r="AG56" s="71">
        <f t="shared" si="41"/>
        <v>1</v>
      </c>
      <c r="AH56" s="71">
        <f t="shared" si="41"/>
        <v>1</v>
      </c>
      <c r="AI56" s="71">
        <f t="shared" si="41"/>
        <v>1</v>
      </c>
      <c r="AJ56" s="71">
        <f t="shared" si="41"/>
        <v>1</v>
      </c>
      <c r="AK56" s="71">
        <f t="shared" si="41"/>
        <v>1</v>
      </c>
      <c r="AL56" s="71">
        <f t="shared" si="41"/>
        <v>1</v>
      </c>
      <c r="AM56" s="72">
        <f t="shared" si="41"/>
        <v>1</v>
      </c>
      <c r="AN56" s="72">
        <f t="shared" si="41"/>
        <v>1</v>
      </c>
      <c r="AO56" s="72">
        <f t="shared" si="41"/>
        <v>1</v>
      </c>
      <c r="AP56" s="71"/>
      <c r="AQ56" s="71">
        <f t="shared" si="41"/>
        <v>1</v>
      </c>
      <c r="AR56" s="71">
        <f t="shared" si="41"/>
        <v>1</v>
      </c>
      <c r="AS56" s="71">
        <f t="shared" si="41"/>
        <v>1</v>
      </c>
      <c r="AT56" s="71">
        <f t="shared" si="41"/>
        <v>1</v>
      </c>
      <c r="AU56" s="71">
        <f t="shared" si="41"/>
        <v>1</v>
      </c>
      <c r="AV56" s="71">
        <f t="shared" si="41"/>
        <v>1</v>
      </c>
      <c r="AW56" s="71">
        <f t="shared" si="41"/>
        <v>1</v>
      </c>
      <c r="AX56" s="71">
        <f t="shared" si="41"/>
        <v>1</v>
      </c>
      <c r="AY56" s="71">
        <f t="shared" si="41"/>
        <v>1</v>
      </c>
      <c r="AZ56" s="71">
        <f t="shared" si="41"/>
        <v>1</v>
      </c>
      <c r="BA56" s="71">
        <f t="shared" si="41"/>
        <v>1</v>
      </c>
      <c r="BB56" s="71">
        <f t="shared" si="41"/>
        <v>1</v>
      </c>
      <c r="BC56" s="71">
        <f t="shared" si="41"/>
        <v>1</v>
      </c>
      <c r="BD56" s="71">
        <f t="shared" si="41"/>
        <v>1</v>
      </c>
      <c r="BE56" s="71">
        <f t="shared" si="41"/>
        <v>1</v>
      </c>
      <c r="BF56" s="71">
        <f t="shared" si="41"/>
        <v>1</v>
      </c>
      <c r="BG56" s="71">
        <f t="shared" si="41"/>
        <v>1</v>
      </c>
      <c r="BH56" s="71">
        <f t="shared" si="41"/>
        <v>1</v>
      </c>
      <c r="BI56" s="71">
        <f t="shared" si="41"/>
        <v>1</v>
      </c>
      <c r="BJ56" s="71">
        <f t="shared" si="41"/>
        <v>1</v>
      </c>
      <c r="BK56" s="72">
        <f t="shared" si="41"/>
        <v>1</v>
      </c>
      <c r="BL56" s="72">
        <f t="shared" si="41"/>
        <v>1</v>
      </c>
      <c r="BM56" s="72">
        <f t="shared" si="41"/>
        <v>1</v>
      </c>
      <c r="BN56" s="71"/>
      <c r="BO56" s="204">
        <f t="shared" ref="BO56:BW56" si="42">IF(BO46&lt;BO47,1,1-(1-(BO47/BO53))^(5/2))</f>
        <v>1</v>
      </c>
      <c r="BP56" s="204">
        <f t="shared" si="42"/>
        <v>1</v>
      </c>
      <c r="BQ56" s="204">
        <f t="shared" si="42"/>
        <v>1</v>
      </c>
      <c r="BR56" s="72">
        <f t="shared" si="42"/>
        <v>1</v>
      </c>
      <c r="BS56" s="72">
        <f t="shared" si="42"/>
        <v>1</v>
      </c>
      <c r="BT56" s="72">
        <f t="shared" si="42"/>
        <v>0.99989567973226712</v>
      </c>
      <c r="BU56" s="205"/>
      <c r="BV56" s="205"/>
      <c r="BW56" s="206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</row>
    <row r="57" spans="1:116" x14ac:dyDescent="0.25">
      <c r="A57" s="182" t="s">
        <v>54</v>
      </c>
      <c r="B57" s="99" t="s">
        <v>1</v>
      </c>
      <c r="C57" s="7"/>
      <c r="D57" s="71"/>
      <c r="E57" s="71">
        <f t="shared" ref="E57:BM57" si="43">E55*E56*(E53^(5/2))</f>
        <v>3.6619443692894119E-2</v>
      </c>
      <c r="F57" s="71">
        <f t="shared" si="43"/>
        <v>0.10166700798426938</v>
      </c>
      <c r="G57" s="71">
        <f t="shared" si="43"/>
        <v>1.0538961616840592E-2</v>
      </c>
      <c r="H57" s="71">
        <f t="shared" si="43"/>
        <v>6.7914868829093478E-2</v>
      </c>
      <c r="I57" s="71">
        <f t="shared" si="43"/>
        <v>4.1968830120599647E-2</v>
      </c>
      <c r="J57" s="71">
        <f t="shared" si="43"/>
        <v>4.7761591172987908E-2</v>
      </c>
      <c r="K57" s="71">
        <f t="shared" si="43"/>
        <v>7.5594508026740878E-2</v>
      </c>
      <c r="L57" s="71">
        <f t="shared" si="43"/>
        <v>1.6093006126977654E-2</v>
      </c>
      <c r="M57" s="71">
        <f t="shared" si="43"/>
        <v>1.6093006126977654E-2</v>
      </c>
      <c r="N57" s="71">
        <f t="shared" si="43"/>
        <v>4.1968830120599647E-2</v>
      </c>
      <c r="O57" s="71">
        <f t="shared" si="43"/>
        <v>7.5594508026740878E-2</v>
      </c>
      <c r="P57" s="71">
        <f t="shared" si="43"/>
        <v>1.6093006126977654E-2</v>
      </c>
      <c r="Q57" s="71">
        <f t="shared" si="43"/>
        <v>1.6093006126977654E-2</v>
      </c>
      <c r="R57" s="71">
        <f t="shared" si="43"/>
        <v>4.1968830120599647E-2</v>
      </c>
      <c r="S57" s="71">
        <f t="shared" si="43"/>
        <v>6.7914868829093478E-2</v>
      </c>
      <c r="T57" s="72">
        <f t="shared" si="43"/>
        <v>1.0882544897631585E-2</v>
      </c>
      <c r="U57" s="72">
        <f t="shared" si="43"/>
        <v>4.0863859967418627E-2</v>
      </c>
      <c r="V57" s="72">
        <f t="shared" si="43"/>
        <v>7.4961921115301922E-2</v>
      </c>
      <c r="W57" s="71"/>
      <c r="X57" s="71">
        <f t="shared" si="43"/>
        <v>1.3140257421534903E-2</v>
      </c>
      <c r="Y57" s="71">
        <f t="shared" si="43"/>
        <v>4.1968830120599647E-2</v>
      </c>
      <c r="Z57" s="71">
        <f t="shared" si="43"/>
        <v>6.0723417053988524E-2</v>
      </c>
      <c r="AA57" s="71">
        <f t="shared" si="43"/>
        <v>1.3702216795113633E-2</v>
      </c>
      <c r="AB57" s="71">
        <f t="shared" si="43"/>
        <v>4.7761591172987908E-2</v>
      </c>
      <c r="AC57" s="71">
        <f t="shared" si="43"/>
        <v>8.2096827726304222E-2</v>
      </c>
      <c r="AD57" s="71">
        <f t="shared" si="43"/>
        <v>1.5473633356802203E-2</v>
      </c>
      <c r="AE57" s="71">
        <f t="shared" si="43"/>
        <v>5.1454912730109548E-2</v>
      </c>
      <c r="AF57" s="71">
        <f t="shared" si="43"/>
        <v>7.8805432347495374E-2</v>
      </c>
      <c r="AG57" s="71">
        <f t="shared" si="43"/>
        <v>1.3702216795113633E-2</v>
      </c>
      <c r="AH57" s="71">
        <f t="shared" si="43"/>
        <v>4.6567007052823031E-2</v>
      </c>
      <c r="AI57" s="71">
        <f t="shared" si="43"/>
        <v>8.3772908913691851E-2</v>
      </c>
      <c r="AJ57" s="71">
        <f t="shared" si="43"/>
        <v>1.4278354549059848E-2</v>
      </c>
      <c r="AK57" s="71">
        <f t="shared" si="43"/>
        <v>4.30915362585002E-2</v>
      </c>
      <c r="AL57" s="71">
        <f t="shared" si="43"/>
        <v>8.7186249048979508E-2</v>
      </c>
      <c r="AM57" s="72">
        <f t="shared" si="43"/>
        <v>1.1435882223500581E-2</v>
      </c>
      <c r="AN57" s="72">
        <f t="shared" si="43"/>
        <v>4.8244515855347718E-2</v>
      </c>
      <c r="AO57" s="72">
        <f t="shared" si="43"/>
        <v>8.4449039086853583E-2</v>
      </c>
      <c r="AP57" s="71"/>
      <c r="AQ57" s="71">
        <f t="shared" si="43"/>
        <v>1.3140257421534903E-2</v>
      </c>
      <c r="AR57" s="71">
        <f t="shared" si="43"/>
        <v>4.1968830120599647E-2</v>
      </c>
      <c r="AS57" s="71">
        <f t="shared" si="43"/>
        <v>9.2460426114987657E-2</v>
      </c>
      <c r="AT57" s="71">
        <f t="shared" si="43"/>
        <v>1.6093006126977654E-2</v>
      </c>
      <c r="AU57" s="71">
        <f t="shared" si="43"/>
        <v>4.7761591172987908E-2</v>
      </c>
      <c r="AV57" s="71">
        <f t="shared" si="43"/>
        <v>9.2460426114987657E-2</v>
      </c>
      <c r="AW57" s="71">
        <f t="shared" si="43"/>
        <v>1.3702216795113633E-2</v>
      </c>
      <c r="AX57" s="71">
        <f t="shared" si="43"/>
        <v>5.1454912730109548E-2</v>
      </c>
      <c r="AY57" s="71">
        <f t="shared" si="43"/>
        <v>5.1454912730109548E-2</v>
      </c>
      <c r="AZ57" s="71">
        <f t="shared" si="43"/>
        <v>8.3772908913691851E-2</v>
      </c>
      <c r="BA57" s="71">
        <f t="shared" si="43"/>
        <v>8.3772908913691851E-2</v>
      </c>
      <c r="BB57" s="71">
        <f t="shared" si="43"/>
        <v>1.3140257421534903E-2</v>
      </c>
      <c r="BC57" s="71">
        <f t="shared" si="43"/>
        <v>4.5390531566185846E-2</v>
      </c>
      <c r="BD57" s="71">
        <f t="shared" si="43"/>
        <v>4.5390531566185846E-2</v>
      </c>
      <c r="BE57" s="71">
        <f t="shared" si="43"/>
        <v>8.3772908913691851E-2</v>
      </c>
      <c r="BF57" s="71">
        <f t="shared" si="43"/>
        <v>1.3140257421534903E-2</v>
      </c>
      <c r="BG57" s="71">
        <f t="shared" si="43"/>
        <v>4.7761591172987908E-2</v>
      </c>
      <c r="BH57" s="71">
        <f t="shared" si="43"/>
        <v>4.7761591172987908E-2</v>
      </c>
      <c r="BI57" s="71">
        <f t="shared" si="43"/>
        <v>8.8923671314823899E-2</v>
      </c>
      <c r="BJ57" s="71">
        <f t="shared" si="43"/>
        <v>8.8923671314823899E-2</v>
      </c>
      <c r="BK57" s="72">
        <f t="shared" si="43"/>
        <v>1.3251520687850257E-2</v>
      </c>
      <c r="BL57" s="72">
        <f t="shared" si="43"/>
        <v>4.7042662504102481E-2</v>
      </c>
      <c r="BM57" s="72">
        <f t="shared" si="43"/>
        <v>8.6497032715768737E-2</v>
      </c>
      <c r="BN57" s="71"/>
      <c r="BO57" s="204">
        <f t="shared" ref="BO57:BW57" si="44">BO55*BO56*(BO53^(5/2))</f>
        <v>1.5473633356802203E-2</v>
      </c>
      <c r="BP57" s="204">
        <f t="shared" si="44"/>
        <v>4.6567007052823031E-2</v>
      </c>
      <c r="BQ57" s="204">
        <f t="shared" si="44"/>
        <v>9.7921542115015386E-2</v>
      </c>
      <c r="BR57" s="72">
        <f t="shared" si="44"/>
        <v>1.3816306308635968E-2</v>
      </c>
      <c r="BS57" s="72">
        <f t="shared" si="44"/>
        <v>5.3879856481640315E-2</v>
      </c>
      <c r="BT57" s="72">
        <f t="shared" si="44"/>
        <v>0.10704237003105081</v>
      </c>
      <c r="BU57" s="205"/>
      <c r="BV57" s="205"/>
      <c r="BW57" s="206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</row>
    <row r="58" spans="1:116" x14ac:dyDescent="0.25">
      <c r="A58" s="182"/>
      <c r="B58" s="99" t="s">
        <v>55</v>
      </c>
      <c r="C58" s="7"/>
      <c r="D58" s="71"/>
      <c r="E58" s="71">
        <v>1.2</v>
      </c>
      <c r="F58" s="71">
        <v>1.2</v>
      </c>
      <c r="G58" s="71">
        <v>1.2</v>
      </c>
      <c r="H58" s="71">
        <v>1.2</v>
      </c>
      <c r="I58" s="71">
        <v>1.2</v>
      </c>
      <c r="J58" s="71">
        <v>1.2</v>
      </c>
      <c r="K58" s="71">
        <v>1.2</v>
      </c>
      <c r="L58" s="71">
        <v>1.2</v>
      </c>
      <c r="M58" s="71">
        <v>1.2</v>
      </c>
      <c r="N58" s="71">
        <v>1.2</v>
      </c>
      <c r="O58" s="71">
        <v>1.2</v>
      </c>
      <c r="P58" s="71">
        <v>1.2</v>
      </c>
      <c r="Q58" s="71">
        <v>1.2</v>
      </c>
      <c r="R58" s="71">
        <v>1.2</v>
      </c>
      <c r="S58" s="71">
        <v>1.2</v>
      </c>
      <c r="T58" s="72">
        <v>1.2</v>
      </c>
      <c r="U58" s="72">
        <v>1.2</v>
      </c>
      <c r="V58" s="72">
        <v>1.2</v>
      </c>
      <c r="W58" s="71"/>
      <c r="X58" s="71">
        <v>1.2</v>
      </c>
      <c r="Y58" s="71">
        <v>1.2</v>
      </c>
      <c r="Z58" s="71">
        <v>1.2</v>
      </c>
      <c r="AA58" s="71">
        <v>1.2</v>
      </c>
      <c r="AB58" s="71">
        <v>1.2</v>
      </c>
      <c r="AC58" s="71">
        <v>1.2</v>
      </c>
      <c r="AD58" s="71">
        <v>1.2</v>
      </c>
      <c r="AE58" s="71">
        <v>1.2</v>
      </c>
      <c r="AF58" s="71">
        <v>1.2</v>
      </c>
      <c r="AG58" s="71">
        <v>1.2</v>
      </c>
      <c r="AH58" s="71">
        <v>1.2</v>
      </c>
      <c r="AI58" s="71">
        <v>1.2</v>
      </c>
      <c r="AJ58" s="71">
        <v>1.2</v>
      </c>
      <c r="AK58" s="71">
        <v>1.2</v>
      </c>
      <c r="AL58" s="71">
        <v>1.2</v>
      </c>
      <c r="AM58" s="72">
        <v>1.2</v>
      </c>
      <c r="AN58" s="72">
        <v>1.2</v>
      </c>
      <c r="AO58" s="72">
        <v>1.2</v>
      </c>
      <c r="AP58" s="71"/>
      <c r="AQ58" s="71">
        <v>1.2</v>
      </c>
      <c r="AR58" s="71">
        <v>1.2</v>
      </c>
      <c r="AS58" s="71">
        <v>1.2</v>
      </c>
      <c r="AT58" s="71">
        <v>1.2</v>
      </c>
      <c r="AU58" s="71">
        <v>1.2</v>
      </c>
      <c r="AV58" s="71">
        <v>1.2</v>
      </c>
      <c r="AW58" s="71">
        <v>1.2</v>
      </c>
      <c r="AX58" s="71">
        <v>1.2</v>
      </c>
      <c r="AY58" s="71">
        <v>1.2</v>
      </c>
      <c r="AZ58" s="71">
        <v>1.2</v>
      </c>
      <c r="BA58" s="71">
        <v>1.2</v>
      </c>
      <c r="BB58" s="71">
        <v>1.2</v>
      </c>
      <c r="BC58" s="71">
        <v>1.2</v>
      </c>
      <c r="BD58" s="71">
        <v>1.2</v>
      </c>
      <c r="BE58" s="71">
        <v>1.2</v>
      </c>
      <c r="BF58" s="71">
        <v>1.2</v>
      </c>
      <c r="BG58" s="71">
        <v>1.2</v>
      </c>
      <c r="BH58" s="71">
        <v>1.2</v>
      </c>
      <c r="BI58" s="71">
        <v>1.2</v>
      </c>
      <c r="BJ58" s="71">
        <v>1.2</v>
      </c>
      <c r="BK58" s="72">
        <v>1.2</v>
      </c>
      <c r="BL58" s="72">
        <v>1.2</v>
      </c>
      <c r="BM58" s="72">
        <v>1.2</v>
      </c>
      <c r="BN58" s="71"/>
      <c r="BO58" s="204">
        <v>1.2</v>
      </c>
      <c r="BP58" s="204">
        <v>1.2</v>
      </c>
      <c r="BQ58" s="204">
        <v>1.2</v>
      </c>
      <c r="BR58" s="72">
        <v>1.2</v>
      </c>
      <c r="BS58" s="72">
        <v>1.2</v>
      </c>
      <c r="BT58" s="72">
        <v>1.2</v>
      </c>
      <c r="BU58" s="205"/>
      <c r="BV58" s="205"/>
      <c r="BW58" s="206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</row>
    <row r="59" spans="1:116" x14ac:dyDescent="0.25">
      <c r="A59" s="182" t="s">
        <v>56</v>
      </c>
      <c r="B59" s="99" t="s">
        <v>57</v>
      </c>
      <c r="C59" s="7"/>
      <c r="D59" s="71"/>
      <c r="E59" s="71">
        <f t="shared" ref="E59:BM59" si="45">(E58*(E57^2))/(2*9.81*(E54^2))</f>
        <v>2.1783869464531456E-4</v>
      </c>
      <c r="F59" s="71">
        <f t="shared" si="45"/>
        <v>1.2194874505032528E-3</v>
      </c>
      <c r="G59" s="71">
        <f t="shared" si="45"/>
        <v>2.6076935763563922E-5</v>
      </c>
      <c r="H59" s="71">
        <f t="shared" si="45"/>
        <v>5.8724614940436478E-4</v>
      </c>
      <c r="I59" s="71">
        <f t="shared" si="45"/>
        <v>2.2425605200277436E-4</v>
      </c>
      <c r="J59" s="71">
        <f t="shared" si="45"/>
        <v>3.7056902497410737E-4</v>
      </c>
      <c r="K59" s="71">
        <f t="shared" si="45"/>
        <v>7.2756355319129147E-4</v>
      </c>
      <c r="L59" s="71">
        <f t="shared" si="45"/>
        <v>6.0804436051183621E-5</v>
      </c>
      <c r="M59" s="71">
        <f t="shared" si="45"/>
        <v>6.3940744059816474E-5</v>
      </c>
      <c r="N59" s="71">
        <f t="shared" si="45"/>
        <v>2.9872652445207039E-4</v>
      </c>
      <c r="O59" s="71">
        <f t="shared" si="45"/>
        <v>7.564779021787323E-4</v>
      </c>
      <c r="P59" s="71">
        <f t="shared" si="45"/>
        <v>6.0804436051183621E-5</v>
      </c>
      <c r="Q59" s="71">
        <f t="shared" si="45"/>
        <v>6.3940744059816474E-5</v>
      </c>
      <c r="R59" s="71">
        <f t="shared" si="45"/>
        <v>2.9872652445207039E-4</v>
      </c>
      <c r="S59" s="71">
        <f t="shared" si="45"/>
        <v>6.1058409703922145E-4</v>
      </c>
      <c r="T59" s="72">
        <f t="shared" si="45"/>
        <v>3.033772388533662E-5</v>
      </c>
      <c r="U59" s="72">
        <f t="shared" si="45"/>
        <v>2.7978662393871739E-4</v>
      </c>
      <c r="V59" s="72">
        <f t="shared" si="45"/>
        <v>7.5152216609241122E-4</v>
      </c>
      <c r="W59" s="71"/>
      <c r="X59" s="71">
        <f t="shared" si="45"/>
        <v>4.0538591771280413E-5</v>
      </c>
      <c r="Y59" s="71">
        <f t="shared" si="45"/>
        <v>2.8613123410020517E-4</v>
      </c>
      <c r="Z59" s="71">
        <f t="shared" si="45"/>
        <v>4.6946460024498154E-4</v>
      </c>
      <c r="AA59" s="71">
        <f t="shared" si="45"/>
        <v>4.6353763610133006E-5</v>
      </c>
      <c r="AB59" s="71">
        <f t="shared" si="45"/>
        <v>3.7056902497410737E-4</v>
      </c>
      <c r="AC59" s="71">
        <f t="shared" si="45"/>
        <v>8.5811046295985191E-4</v>
      </c>
      <c r="AD59" s="71">
        <f t="shared" si="45"/>
        <v>5.9113671900533951E-5</v>
      </c>
      <c r="AE59" s="71">
        <f t="shared" si="45"/>
        <v>4.4902833913078397E-4</v>
      </c>
      <c r="AF59" s="71">
        <f t="shared" si="45"/>
        <v>7.9068364810691821E-4</v>
      </c>
      <c r="AG59" s="71">
        <f t="shared" si="45"/>
        <v>4.4080100984237816E-5</v>
      </c>
      <c r="AH59" s="71">
        <f t="shared" si="45"/>
        <v>3.5226394380250778E-4</v>
      </c>
      <c r="AI59" s="71">
        <f t="shared" si="45"/>
        <v>8.9350633789481908E-4</v>
      </c>
      <c r="AJ59" s="71">
        <f t="shared" si="45"/>
        <v>4.7864908740306157E-5</v>
      </c>
      <c r="AK59" s="71">
        <f t="shared" si="45"/>
        <v>3.0164455896300343E-4</v>
      </c>
      <c r="AL59" s="71">
        <f t="shared" si="45"/>
        <v>1.0469073615809693E-3</v>
      </c>
      <c r="AM59" s="72">
        <f t="shared" si="45"/>
        <v>3.2618751563736205E-5</v>
      </c>
      <c r="AN59" s="72">
        <f t="shared" si="45"/>
        <v>3.7266726281902688E-4</v>
      </c>
      <c r="AO59" s="72">
        <f t="shared" si="45"/>
        <v>8.9203676957215451E-4</v>
      </c>
      <c r="AP59" s="71"/>
      <c r="AQ59" s="71">
        <f t="shared" si="45"/>
        <v>4.0538591771280413E-5</v>
      </c>
      <c r="AR59" s="71">
        <f t="shared" si="45"/>
        <v>2.8613123410020517E-4</v>
      </c>
      <c r="AS59" s="71">
        <f t="shared" si="45"/>
        <v>1.0884343180606029E-3</v>
      </c>
      <c r="AT59" s="71">
        <f t="shared" si="45"/>
        <v>6.0804436051183621E-5</v>
      </c>
      <c r="AU59" s="71">
        <f t="shared" si="45"/>
        <v>3.7056902497410737E-4</v>
      </c>
      <c r="AV59" s="71">
        <f t="shared" si="45"/>
        <v>1.0884343180606029E-3</v>
      </c>
      <c r="AW59" s="71">
        <f t="shared" si="45"/>
        <v>4.4080100984237816E-5</v>
      </c>
      <c r="AX59" s="71">
        <f t="shared" si="45"/>
        <v>4.300958311523187E-4</v>
      </c>
      <c r="AY59" s="71">
        <f t="shared" si="45"/>
        <v>4.300958311523187E-4</v>
      </c>
      <c r="AZ59" s="71">
        <f t="shared" si="45"/>
        <v>8.9350633789481908E-4</v>
      </c>
      <c r="BA59" s="71">
        <f t="shared" si="45"/>
        <v>8.9350633789481908E-4</v>
      </c>
      <c r="BB59" s="71">
        <f t="shared" si="45"/>
        <v>4.0538591771280413E-5</v>
      </c>
      <c r="BC59" s="71">
        <f t="shared" si="45"/>
        <v>3.3468949301782263E-4</v>
      </c>
      <c r="BD59" s="71">
        <f t="shared" si="45"/>
        <v>3.3468949301782263E-4</v>
      </c>
      <c r="BE59" s="71">
        <f t="shared" si="45"/>
        <v>8.9350633789481908E-4</v>
      </c>
      <c r="BF59" s="71">
        <f t="shared" si="45"/>
        <v>4.0538591771280413E-5</v>
      </c>
      <c r="BG59" s="71">
        <f t="shared" si="45"/>
        <v>3.7056902497410737E-4</v>
      </c>
      <c r="BH59" s="71">
        <f t="shared" si="45"/>
        <v>3.7056902497410737E-4</v>
      </c>
      <c r="BI59" s="71">
        <f t="shared" si="45"/>
        <v>1.0067582908327847E-3</v>
      </c>
      <c r="BJ59" s="71">
        <f t="shared" si="45"/>
        <v>1.0067582908327847E-3</v>
      </c>
      <c r="BK59" s="72">
        <f t="shared" si="45"/>
        <v>4.0861037730015381E-5</v>
      </c>
      <c r="BL59" s="72">
        <f t="shared" si="45"/>
        <v>3.5888378295805717E-4</v>
      </c>
      <c r="BM59" s="72">
        <f t="shared" si="45"/>
        <v>9.3439181981631522E-4</v>
      </c>
      <c r="BN59" s="71"/>
      <c r="BO59" s="204">
        <f t="shared" ref="BO59:BW59" si="46">(BO58*(BO57^2))/(2*9.81*(BO54^2))</f>
        <v>5.9113671900533951E-5</v>
      </c>
      <c r="BP59" s="204">
        <f t="shared" si="46"/>
        <v>3.6777034829077796E-4</v>
      </c>
      <c r="BQ59" s="204">
        <f t="shared" si="46"/>
        <v>1.2208067839680245E-3</v>
      </c>
      <c r="BR59" s="72">
        <f t="shared" si="46"/>
        <v>4.8051885370920382E-5</v>
      </c>
      <c r="BS59" s="72">
        <f t="shared" si="46"/>
        <v>4.5053037997398303E-4</v>
      </c>
      <c r="BT59" s="72">
        <f t="shared" si="46"/>
        <v>1.4039078683181477E-3</v>
      </c>
      <c r="BU59" s="205"/>
      <c r="BV59" s="205"/>
      <c r="BW59" s="206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</row>
    <row r="60" spans="1:116" x14ac:dyDescent="0.25">
      <c r="A60" s="182"/>
      <c r="B60" s="99" t="s">
        <v>58</v>
      </c>
      <c r="C60" s="7"/>
      <c r="D60" s="71"/>
      <c r="E60" s="71">
        <f t="shared" ref="E60:BM60" si="47">IF(E46&lt;E47,1,1-(1-(E47/(E53+E59)))^(5/2))</f>
        <v>1</v>
      </c>
      <c r="F60" s="71">
        <f t="shared" si="47"/>
        <v>0.99997608004939897</v>
      </c>
      <c r="G60" s="71">
        <f t="shared" si="47"/>
        <v>1</v>
      </c>
      <c r="H60" s="71">
        <f t="shared" si="47"/>
        <v>1</v>
      </c>
      <c r="I60" s="71">
        <f t="shared" si="47"/>
        <v>1</v>
      </c>
      <c r="J60" s="71">
        <f t="shared" si="47"/>
        <v>1</v>
      </c>
      <c r="K60" s="71">
        <f t="shared" si="47"/>
        <v>1</v>
      </c>
      <c r="L60" s="71">
        <f t="shared" si="47"/>
        <v>1</v>
      </c>
      <c r="M60" s="71">
        <f t="shared" si="47"/>
        <v>1</v>
      </c>
      <c r="N60" s="71">
        <f t="shared" si="47"/>
        <v>1</v>
      </c>
      <c r="O60" s="71">
        <f t="shared" si="47"/>
        <v>1</v>
      </c>
      <c r="P60" s="71">
        <f t="shared" si="47"/>
        <v>1</v>
      </c>
      <c r="Q60" s="71">
        <f t="shared" si="47"/>
        <v>1</v>
      </c>
      <c r="R60" s="71">
        <f t="shared" si="47"/>
        <v>1</v>
      </c>
      <c r="S60" s="71">
        <f t="shared" si="47"/>
        <v>1</v>
      </c>
      <c r="T60" s="72">
        <f t="shared" si="47"/>
        <v>1</v>
      </c>
      <c r="U60" s="72">
        <f t="shared" si="47"/>
        <v>1</v>
      </c>
      <c r="V60" s="72">
        <f t="shared" si="47"/>
        <v>1</v>
      </c>
      <c r="W60" s="71"/>
      <c r="X60" s="71">
        <f t="shared" si="47"/>
        <v>1</v>
      </c>
      <c r="Y60" s="71">
        <f t="shared" si="47"/>
        <v>1</v>
      </c>
      <c r="Z60" s="71">
        <f t="shared" si="47"/>
        <v>1</v>
      </c>
      <c r="AA60" s="71">
        <f t="shared" si="47"/>
        <v>1</v>
      </c>
      <c r="AB60" s="71">
        <f t="shared" si="47"/>
        <v>1</v>
      </c>
      <c r="AC60" s="71">
        <f t="shared" si="47"/>
        <v>1</v>
      </c>
      <c r="AD60" s="71">
        <f t="shared" si="47"/>
        <v>1</v>
      </c>
      <c r="AE60" s="71">
        <f t="shared" si="47"/>
        <v>1</v>
      </c>
      <c r="AF60" s="71">
        <f t="shared" si="47"/>
        <v>1</v>
      </c>
      <c r="AG60" s="71">
        <f t="shared" si="47"/>
        <v>1</v>
      </c>
      <c r="AH60" s="71">
        <f t="shared" si="47"/>
        <v>1</v>
      </c>
      <c r="AI60" s="71">
        <f t="shared" si="47"/>
        <v>1</v>
      </c>
      <c r="AJ60" s="71">
        <f t="shared" si="47"/>
        <v>1</v>
      </c>
      <c r="AK60" s="71">
        <f t="shared" si="47"/>
        <v>1</v>
      </c>
      <c r="AL60" s="71">
        <f t="shared" si="47"/>
        <v>1</v>
      </c>
      <c r="AM60" s="72">
        <f t="shared" si="47"/>
        <v>1</v>
      </c>
      <c r="AN60" s="72">
        <f t="shared" si="47"/>
        <v>1</v>
      </c>
      <c r="AO60" s="72">
        <f t="shared" si="47"/>
        <v>1</v>
      </c>
      <c r="AP60" s="71"/>
      <c r="AQ60" s="71">
        <f t="shared" si="47"/>
        <v>1</v>
      </c>
      <c r="AR60" s="71">
        <f t="shared" si="47"/>
        <v>1</v>
      </c>
      <c r="AS60" s="71">
        <f t="shared" si="47"/>
        <v>1</v>
      </c>
      <c r="AT60" s="71">
        <f t="shared" si="47"/>
        <v>1</v>
      </c>
      <c r="AU60" s="71">
        <f t="shared" si="47"/>
        <v>1</v>
      </c>
      <c r="AV60" s="71">
        <f t="shared" si="47"/>
        <v>1</v>
      </c>
      <c r="AW60" s="71">
        <f t="shared" si="47"/>
        <v>1</v>
      </c>
      <c r="AX60" s="71">
        <f t="shared" si="47"/>
        <v>1</v>
      </c>
      <c r="AY60" s="71">
        <f t="shared" si="47"/>
        <v>1</v>
      </c>
      <c r="AZ60" s="71">
        <f t="shared" si="47"/>
        <v>1</v>
      </c>
      <c r="BA60" s="71">
        <f t="shared" si="47"/>
        <v>1</v>
      </c>
      <c r="BB60" s="71">
        <f t="shared" si="47"/>
        <v>1</v>
      </c>
      <c r="BC60" s="71">
        <f t="shared" si="47"/>
        <v>1</v>
      </c>
      <c r="BD60" s="71">
        <f t="shared" si="47"/>
        <v>1</v>
      </c>
      <c r="BE60" s="71">
        <f t="shared" si="47"/>
        <v>1</v>
      </c>
      <c r="BF60" s="71">
        <f t="shared" si="47"/>
        <v>1</v>
      </c>
      <c r="BG60" s="71">
        <f t="shared" si="47"/>
        <v>1</v>
      </c>
      <c r="BH60" s="71">
        <f t="shared" si="47"/>
        <v>1</v>
      </c>
      <c r="BI60" s="71">
        <f t="shared" si="47"/>
        <v>1</v>
      </c>
      <c r="BJ60" s="71">
        <f t="shared" si="47"/>
        <v>1</v>
      </c>
      <c r="BK60" s="72">
        <f t="shared" si="47"/>
        <v>1</v>
      </c>
      <c r="BL60" s="72">
        <f t="shared" si="47"/>
        <v>1</v>
      </c>
      <c r="BM60" s="72">
        <f t="shared" si="47"/>
        <v>1</v>
      </c>
      <c r="BN60" s="71"/>
      <c r="BO60" s="204">
        <f t="shared" ref="BO60:BW60" si="48">IF(BO46&lt;BO47,1,1-(1-(BO47/(BO53+BO59)))^(5/2))</f>
        <v>1</v>
      </c>
      <c r="BP60" s="204">
        <f t="shared" si="48"/>
        <v>1</v>
      </c>
      <c r="BQ60" s="204">
        <f t="shared" si="48"/>
        <v>1</v>
      </c>
      <c r="BR60" s="72">
        <f t="shared" si="48"/>
        <v>1</v>
      </c>
      <c r="BS60" s="72">
        <f t="shared" si="48"/>
        <v>1</v>
      </c>
      <c r="BT60" s="72">
        <f t="shared" si="48"/>
        <v>0.99976368849067465</v>
      </c>
      <c r="BU60" s="205"/>
      <c r="BV60" s="205"/>
      <c r="BW60" s="206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</row>
    <row r="61" spans="1:116" x14ac:dyDescent="0.25">
      <c r="A61" s="182"/>
      <c r="B61" s="99" t="s">
        <v>1</v>
      </c>
      <c r="C61" s="7"/>
      <c r="D61" s="71"/>
      <c r="E61" s="71">
        <f t="shared" ref="E61:BM61" si="49">E55*E60*((E53+E59)^(5/2))</f>
        <v>3.6843427681106544E-2</v>
      </c>
      <c r="F61" s="71">
        <f t="shared" si="49"/>
        <v>0.10399013267232862</v>
      </c>
      <c r="G61" s="71">
        <f t="shared" si="49"/>
        <v>1.0551642567087786E-2</v>
      </c>
      <c r="H61" s="71">
        <f t="shared" si="49"/>
        <v>6.8791328823583242E-2</v>
      </c>
      <c r="I61" s="71">
        <f t="shared" si="49"/>
        <v>4.2219057703258289E-2</v>
      </c>
      <c r="J61" s="71">
        <f t="shared" si="49"/>
        <v>4.8208884116291727E-2</v>
      </c>
      <c r="K61" s="71">
        <f t="shared" si="49"/>
        <v>7.6753313446547941E-2</v>
      </c>
      <c r="L61" s="71">
        <f t="shared" si="49"/>
        <v>1.613113779949573E-2</v>
      </c>
      <c r="M61" s="71">
        <f t="shared" si="49"/>
        <v>1.6133106109300899E-2</v>
      </c>
      <c r="N61" s="71">
        <f t="shared" si="49"/>
        <v>4.2302350209309572E-2</v>
      </c>
      <c r="O61" s="71">
        <f t="shared" si="49"/>
        <v>7.679958457343862E-2</v>
      </c>
      <c r="P61" s="71">
        <f t="shared" si="49"/>
        <v>1.613113779949573E-2</v>
      </c>
      <c r="Q61" s="71">
        <f t="shared" si="49"/>
        <v>1.6133106109300899E-2</v>
      </c>
      <c r="R61" s="71">
        <f t="shared" si="49"/>
        <v>4.2302350209309572E-2</v>
      </c>
      <c r="S61" s="71">
        <f t="shared" si="49"/>
        <v>6.8826299896166662E-2</v>
      </c>
      <c r="T61" s="72">
        <f t="shared" si="49"/>
        <v>1.0897585356928077E-2</v>
      </c>
      <c r="U61" s="72">
        <f t="shared" si="49"/>
        <v>4.1171234325776643E-2</v>
      </c>
      <c r="V61" s="72">
        <f t="shared" si="49"/>
        <v>7.6153063971899346E-2</v>
      </c>
      <c r="W61" s="71"/>
      <c r="X61" s="71">
        <f t="shared" si="49"/>
        <v>1.3162764226447677E-2</v>
      </c>
      <c r="Y61" s="71">
        <f t="shared" si="49"/>
        <v>4.2288255915598143E-2</v>
      </c>
      <c r="Z61" s="71">
        <f t="shared" si="49"/>
        <v>6.1378167020344099E-2</v>
      </c>
      <c r="AA61" s="71">
        <f t="shared" si="49"/>
        <v>1.3728608662313973E-2</v>
      </c>
      <c r="AB61" s="71">
        <f t="shared" si="49"/>
        <v>4.8208884116291727E-2</v>
      </c>
      <c r="AC61" s="71">
        <f t="shared" si="49"/>
        <v>8.3533852621400437E-2</v>
      </c>
      <c r="AD61" s="71">
        <f t="shared" si="49"/>
        <v>1.5509841626434557E-2</v>
      </c>
      <c r="AE61" s="71">
        <f t="shared" si="49"/>
        <v>5.2021960303200825E-2</v>
      </c>
      <c r="AF61" s="71">
        <f t="shared" si="49"/>
        <v>8.0097003550179971E-2</v>
      </c>
      <c r="AG61" s="71">
        <f t="shared" si="49"/>
        <v>1.3727313424553845E-2</v>
      </c>
      <c r="AH61" s="71">
        <f t="shared" si="49"/>
        <v>4.6985745266541888E-2</v>
      </c>
      <c r="AI61" s="71">
        <f t="shared" si="49"/>
        <v>8.5287723245915686E-2</v>
      </c>
      <c r="AJ61" s="71">
        <f t="shared" si="49"/>
        <v>1.4306288906787189E-2</v>
      </c>
      <c r="AK61" s="71">
        <f t="shared" si="49"/>
        <v>4.3433690486439192E-2</v>
      </c>
      <c r="AL61" s="71">
        <f t="shared" si="49"/>
        <v>8.9005674626989537E-2</v>
      </c>
      <c r="AM61" s="72">
        <f t="shared" si="49"/>
        <v>1.1452542365272466E-2</v>
      </c>
      <c r="AN61" s="72">
        <f t="shared" si="49"/>
        <v>4.8697066978393704E-2</v>
      </c>
      <c r="AO61" s="72">
        <f t="shared" si="49"/>
        <v>8.5968634114484799E-2</v>
      </c>
      <c r="AP61" s="71"/>
      <c r="AQ61" s="71">
        <f t="shared" si="49"/>
        <v>1.3162764226447677E-2</v>
      </c>
      <c r="AR61" s="71">
        <f t="shared" si="49"/>
        <v>4.2288255915598143E-2</v>
      </c>
      <c r="AS61" s="71">
        <f t="shared" si="49"/>
        <v>9.4420059419219785E-2</v>
      </c>
      <c r="AT61" s="71">
        <f t="shared" si="49"/>
        <v>1.613113779949573E-2</v>
      </c>
      <c r="AU61" s="71">
        <f t="shared" si="49"/>
        <v>4.8208884116291727E-2</v>
      </c>
      <c r="AV61" s="71">
        <f t="shared" si="49"/>
        <v>9.4420059419219785E-2</v>
      </c>
      <c r="AW61" s="71">
        <f t="shared" si="49"/>
        <v>1.3727313424553845E-2</v>
      </c>
      <c r="AX61" s="71">
        <f t="shared" si="49"/>
        <v>5.1997976395191353E-2</v>
      </c>
      <c r="AY61" s="71">
        <f t="shared" si="49"/>
        <v>5.1997976395191353E-2</v>
      </c>
      <c r="AZ61" s="71">
        <f t="shared" si="49"/>
        <v>8.5287723245915686E-2</v>
      </c>
      <c r="BA61" s="71">
        <f t="shared" si="49"/>
        <v>8.5287723245915686E-2</v>
      </c>
      <c r="BB61" s="71">
        <f t="shared" si="49"/>
        <v>1.3162764226447677E-2</v>
      </c>
      <c r="BC61" s="71">
        <f t="shared" si="49"/>
        <v>4.578227510687622E-2</v>
      </c>
      <c r="BD61" s="71">
        <f t="shared" si="49"/>
        <v>4.578227510687622E-2</v>
      </c>
      <c r="BE61" s="71">
        <f t="shared" si="49"/>
        <v>8.5287723245915686E-2</v>
      </c>
      <c r="BF61" s="71">
        <f t="shared" si="49"/>
        <v>1.3162764226447677E-2</v>
      </c>
      <c r="BG61" s="71">
        <f t="shared" si="49"/>
        <v>4.8208884116291685E-2</v>
      </c>
      <c r="BH61" s="71">
        <f t="shared" si="49"/>
        <v>4.8208884116291685E-2</v>
      </c>
      <c r="BI61" s="71">
        <f t="shared" si="49"/>
        <v>9.0693654975493643E-2</v>
      </c>
      <c r="BJ61" s="71">
        <f t="shared" si="49"/>
        <v>9.0693654975493643E-2</v>
      </c>
      <c r="BK61" s="72">
        <f t="shared" si="49"/>
        <v>1.3274321625378839E-2</v>
      </c>
      <c r="BL61" s="72">
        <f t="shared" si="49"/>
        <v>4.7471895876466753E-2</v>
      </c>
      <c r="BM61" s="72">
        <f t="shared" si="49"/>
        <v>8.8112154184581987E-2</v>
      </c>
      <c r="BN61" s="71"/>
      <c r="BO61" s="204">
        <f t="shared" ref="BO61:BW61" si="50">BO55*BO60*((BO53+BO59)^(5/2))</f>
        <v>1.5509841626434583E-2</v>
      </c>
      <c r="BP61" s="204">
        <f t="shared" si="50"/>
        <v>4.7004229518489038E-2</v>
      </c>
      <c r="BQ61" s="204">
        <f t="shared" si="50"/>
        <v>0.10019787535163649</v>
      </c>
      <c r="BR61" s="72">
        <f t="shared" si="50"/>
        <v>1.3843801993609964E-2</v>
      </c>
      <c r="BS61" s="72">
        <f t="shared" si="50"/>
        <v>5.446471146630727E-2</v>
      </c>
      <c r="BT61" s="72">
        <f t="shared" si="50"/>
        <v>0.10979127974242153</v>
      </c>
      <c r="BU61" s="205"/>
      <c r="BV61" s="205"/>
      <c r="BW61" s="206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</row>
    <row r="62" spans="1:116" x14ac:dyDescent="0.25">
      <c r="A62" s="182" t="s">
        <v>59</v>
      </c>
      <c r="B62" s="99" t="s">
        <v>57</v>
      </c>
      <c r="C62" s="7"/>
      <c r="D62" s="71"/>
      <c r="E62" s="71">
        <f t="shared" ref="E62:BM62" si="51">(E58*(E61^2))/(2*9.81*(E54^2))</f>
        <v>2.2051167898076338E-4</v>
      </c>
      <c r="F62" s="71">
        <f t="shared" si="51"/>
        <v>1.2758555722156748E-3</v>
      </c>
      <c r="G62" s="71">
        <f t="shared" si="51"/>
        <v>2.6139727389860579E-5</v>
      </c>
      <c r="H62" s="71">
        <f t="shared" si="51"/>
        <v>6.0250109794819618E-4</v>
      </c>
      <c r="I62" s="71">
        <f t="shared" si="51"/>
        <v>2.2693815369047006E-4</v>
      </c>
      <c r="J62" s="71">
        <f t="shared" si="51"/>
        <v>3.7754237127931125E-4</v>
      </c>
      <c r="K62" s="71">
        <f t="shared" si="51"/>
        <v>7.500404944913733E-4</v>
      </c>
      <c r="L62" s="71">
        <f t="shared" si="51"/>
        <v>6.109292431814354E-5</v>
      </c>
      <c r="M62" s="71">
        <f t="shared" si="51"/>
        <v>6.4259791620816922E-5</v>
      </c>
      <c r="N62" s="71">
        <f t="shared" si="51"/>
        <v>3.0349326082484735E-4</v>
      </c>
      <c r="O62" s="71">
        <f t="shared" si="51"/>
        <v>7.8078866144697177E-4</v>
      </c>
      <c r="P62" s="71">
        <f t="shared" si="51"/>
        <v>6.109292431814354E-5</v>
      </c>
      <c r="Q62" s="71">
        <f t="shared" si="51"/>
        <v>6.4259791620816922E-5</v>
      </c>
      <c r="R62" s="71">
        <f t="shared" si="51"/>
        <v>3.0349326082484735E-4</v>
      </c>
      <c r="S62" s="71">
        <f t="shared" si="51"/>
        <v>6.2708238469989059E-4</v>
      </c>
      <c r="T62" s="72">
        <f t="shared" si="51"/>
        <v>3.0421639664340765E-5</v>
      </c>
      <c r="U62" s="72">
        <f t="shared" si="51"/>
        <v>2.8401151475490453E-4</v>
      </c>
      <c r="V62" s="72">
        <f t="shared" si="51"/>
        <v>7.7559525177766275E-4</v>
      </c>
      <c r="W62" s="71"/>
      <c r="X62" s="71">
        <f t="shared" si="51"/>
        <v>4.0677580761752149E-5</v>
      </c>
      <c r="Y62" s="71">
        <f t="shared" si="51"/>
        <v>2.9050331269847807E-4</v>
      </c>
      <c r="Z62" s="71">
        <f t="shared" si="51"/>
        <v>4.7964318104104406E-4</v>
      </c>
      <c r="AA62" s="71">
        <f t="shared" si="51"/>
        <v>4.6532499730295632E-5</v>
      </c>
      <c r="AB62" s="71">
        <f t="shared" si="51"/>
        <v>3.7754237127931125E-4</v>
      </c>
      <c r="AC62" s="71">
        <f t="shared" si="51"/>
        <v>8.8841415354732776E-4</v>
      </c>
      <c r="AD62" s="71">
        <f t="shared" si="51"/>
        <v>5.9390647319543839E-5</v>
      </c>
      <c r="AE62" s="71">
        <f t="shared" si="51"/>
        <v>4.5897970861730826E-4</v>
      </c>
      <c r="AF62" s="71">
        <f t="shared" si="51"/>
        <v>8.1681364471590241E-4</v>
      </c>
      <c r="AG62" s="71">
        <f t="shared" si="51"/>
        <v>4.4241720826805721E-5</v>
      </c>
      <c r="AH62" s="71">
        <f t="shared" si="51"/>
        <v>3.5862765857812577E-4</v>
      </c>
      <c r="AI62" s="71">
        <f t="shared" si="51"/>
        <v>9.2611194862959141E-4</v>
      </c>
      <c r="AJ62" s="71">
        <f t="shared" si="51"/>
        <v>4.8052379000220795E-5</v>
      </c>
      <c r="AK62" s="71">
        <f t="shared" si="51"/>
        <v>3.0645379616615995E-4</v>
      </c>
      <c r="AL62" s="71">
        <f t="shared" si="51"/>
        <v>1.0910575497924877E-3</v>
      </c>
      <c r="AM62" s="72">
        <f t="shared" si="51"/>
        <v>3.2713860775206304E-5</v>
      </c>
      <c r="AN62" s="72">
        <f t="shared" si="51"/>
        <v>3.7969156347341526E-4</v>
      </c>
      <c r="AO62" s="72">
        <f t="shared" si="51"/>
        <v>9.2442862511209168E-4</v>
      </c>
      <c r="AP62" s="71"/>
      <c r="AQ62" s="71">
        <f t="shared" si="51"/>
        <v>4.0677580761752149E-5</v>
      </c>
      <c r="AR62" s="71">
        <f t="shared" si="51"/>
        <v>2.9050331269847807E-4</v>
      </c>
      <c r="AS62" s="71">
        <f t="shared" si="51"/>
        <v>1.1350604309480106E-3</v>
      </c>
      <c r="AT62" s="71">
        <f t="shared" si="51"/>
        <v>6.109292431814354E-5</v>
      </c>
      <c r="AU62" s="71">
        <f t="shared" si="51"/>
        <v>3.7754237127931125E-4</v>
      </c>
      <c r="AV62" s="71">
        <f t="shared" si="51"/>
        <v>1.1350604309480106E-3</v>
      </c>
      <c r="AW62" s="71">
        <f t="shared" si="51"/>
        <v>4.4241720826805721E-5</v>
      </c>
      <c r="AX62" s="71">
        <f t="shared" si="51"/>
        <v>4.3922234487446272E-4</v>
      </c>
      <c r="AY62" s="71">
        <f t="shared" si="51"/>
        <v>4.3922234487446272E-4</v>
      </c>
      <c r="AZ62" s="71">
        <f t="shared" si="51"/>
        <v>9.2611194862959141E-4</v>
      </c>
      <c r="BA62" s="71">
        <f t="shared" si="51"/>
        <v>9.2611194862959141E-4</v>
      </c>
      <c r="BB62" s="71">
        <f t="shared" si="51"/>
        <v>4.0677580761752149E-5</v>
      </c>
      <c r="BC62" s="71">
        <f t="shared" si="51"/>
        <v>3.4049150618118947E-4</v>
      </c>
      <c r="BD62" s="71">
        <f t="shared" si="51"/>
        <v>3.4049150618118947E-4</v>
      </c>
      <c r="BE62" s="71">
        <f t="shared" si="51"/>
        <v>9.2611194862959141E-4</v>
      </c>
      <c r="BF62" s="71">
        <f t="shared" si="51"/>
        <v>4.0677580761752149E-5</v>
      </c>
      <c r="BG62" s="71">
        <f t="shared" si="51"/>
        <v>3.775423712793106E-4</v>
      </c>
      <c r="BH62" s="71">
        <f t="shared" si="51"/>
        <v>3.775423712793106E-4</v>
      </c>
      <c r="BI62" s="71">
        <f t="shared" si="51"/>
        <v>1.0472352547783164E-3</v>
      </c>
      <c r="BJ62" s="71">
        <f t="shared" si="51"/>
        <v>1.0472352547783164E-3</v>
      </c>
      <c r="BK62" s="72">
        <f t="shared" si="51"/>
        <v>4.1001771992794319E-5</v>
      </c>
      <c r="BL62" s="72">
        <f t="shared" si="51"/>
        <v>3.6546281855760895E-4</v>
      </c>
      <c r="BM62" s="72">
        <f t="shared" si="51"/>
        <v>9.6961259329526818E-4</v>
      </c>
      <c r="BN62" s="71"/>
      <c r="BO62" s="204">
        <f t="shared" ref="BO62:BW62" si="52">(BO58*(BO61^2))/(2*9.81*(BO54^2))</f>
        <v>5.9390647319544029E-5</v>
      </c>
      <c r="BP62" s="204">
        <f t="shared" si="52"/>
        <v>3.7470883717902962E-4</v>
      </c>
      <c r="BQ62" s="204">
        <f t="shared" si="52"/>
        <v>1.2782254802224042E-3</v>
      </c>
      <c r="BR62" s="72">
        <f t="shared" si="52"/>
        <v>4.8243330775429676E-5</v>
      </c>
      <c r="BS62" s="72">
        <f t="shared" si="52"/>
        <v>4.6036429743409368E-4</v>
      </c>
      <c r="BT62" s="72">
        <f t="shared" si="52"/>
        <v>1.4769400595218804E-3</v>
      </c>
      <c r="BU62" s="205"/>
      <c r="BV62" s="205"/>
      <c r="BW62" s="206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</row>
    <row r="63" spans="1:116" x14ac:dyDescent="0.25">
      <c r="A63" s="182"/>
      <c r="B63" s="99" t="s">
        <v>58</v>
      </c>
      <c r="C63" s="7"/>
      <c r="D63" s="71"/>
      <c r="E63" s="71">
        <f t="shared" ref="E63:BM63" si="53">IF(E46&lt;E47,1,1-(1-(E47/(E53+E62)))^(5/2))</f>
        <v>1</v>
      </c>
      <c r="F63" s="71">
        <f t="shared" si="53"/>
        <v>0.99997431182600449</v>
      </c>
      <c r="G63" s="71">
        <f t="shared" si="53"/>
        <v>1</v>
      </c>
      <c r="H63" s="71">
        <f t="shared" si="53"/>
        <v>1</v>
      </c>
      <c r="I63" s="71">
        <f t="shared" si="53"/>
        <v>1</v>
      </c>
      <c r="J63" s="71">
        <f t="shared" si="53"/>
        <v>1</v>
      </c>
      <c r="K63" s="71">
        <f t="shared" si="53"/>
        <v>1</v>
      </c>
      <c r="L63" s="71">
        <f t="shared" si="53"/>
        <v>1</v>
      </c>
      <c r="M63" s="71">
        <f t="shared" si="53"/>
        <v>1</v>
      </c>
      <c r="N63" s="71">
        <f t="shared" si="53"/>
        <v>1</v>
      </c>
      <c r="O63" s="71">
        <f t="shared" si="53"/>
        <v>1</v>
      </c>
      <c r="P63" s="71">
        <f t="shared" si="53"/>
        <v>1</v>
      </c>
      <c r="Q63" s="71">
        <f t="shared" si="53"/>
        <v>1</v>
      </c>
      <c r="R63" s="71">
        <f t="shared" si="53"/>
        <v>1</v>
      </c>
      <c r="S63" s="71">
        <f t="shared" si="53"/>
        <v>1</v>
      </c>
      <c r="T63" s="72">
        <f t="shared" si="53"/>
        <v>1</v>
      </c>
      <c r="U63" s="72">
        <f t="shared" si="53"/>
        <v>1</v>
      </c>
      <c r="V63" s="72">
        <f t="shared" si="53"/>
        <v>1</v>
      </c>
      <c r="W63" s="71"/>
      <c r="X63" s="71">
        <f t="shared" si="53"/>
        <v>1</v>
      </c>
      <c r="Y63" s="71">
        <f t="shared" si="53"/>
        <v>1</v>
      </c>
      <c r="Z63" s="71">
        <f t="shared" si="53"/>
        <v>1</v>
      </c>
      <c r="AA63" s="71">
        <f t="shared" si="53"/>
        <v>1</v>
      </c>
      <c r="AB63" s="71">
        <f t="shared" si="53"/>
        <v>1</v>
      </c>
      <c r="AC63" s="71">
        <f t="shared" si="53"/>
        <v>1</v>
      </c>
      <c r="AD63" s="71">
        <f t="shared" si="53"/>
        <v>1</v>
      </c>
      <c r="AE63" s="71">
        <f t="shared" si="53"/>
        <v>1</v>
      </c>
      <c r="AF63" s="71">
        <f t="shared" si="53"/>
        <v>1</v>
      </c>
      <c r="AG63" s="71">
        <f t="shared" si="53"/>
        <v>1</v>
      </c>
      <c r="AH63" s="71">
        <f t="shared" si="53"/>
        <v>1</v>
      </c>
      <c r="AI63" s="71">
        <f t="shared" si="53"/>
        <v>1</v>
      </c>
      <c r="AJ63" s="71">
        <f t="shared" si="53"/>
        <v>1</v>
      </c>
      <c r="AK63" s="71">
        <f t="shared" si="53"/>
        <v>1</v>
      </c>
      <c r="AL63" s="71">
        <f t="shared" si="53"/>
        <v>1</v>
      </c>
      <c r="AM63" s="72">
        <f t="shared" si="53"/>
        <v>1</v>
      </c>
      <c r="AN63" s="72">
        <f t="shared" si="53"/>
        <v>1</v>
      </c>
      <c r="AO63" s="72">
        <f t="shared" si="53"/>
        <v>1</v>
      </c>
      <c r="AP63" s="71"/>
      <c r="AQ63" s="71">
        <f t="shared" si="53"/>
        <v>1</v>
      </c>
      <c r="AR63" s="71">
        <f t="shared" si="53"/>
        <v>1</v>
      </c>
      <c r="AS63" s="71">
        <f t="shared" si="53"/>
        <v>1</v>
      </c>
      <c r="AT63" s="71">
        <f t="shared" si="53"/>
        <v>1</v>
      </c>
      <c r="AU63" s="71">
        <f t="shared" si="53"/>
        <v>1</v>
      </c>
      <c r="AV63" s="71">
        <f t="shared" si="53"/>
        <v>1</v>
      </c>
      <c r="AW63" s="71">
        <f t="shared" si="53"/>
        <v>1</v>
      </c>
      <c r="AX63" s="71">
        <f t="shared" si="53"/>
        <v>1</v>
      </c>
      <c r="AY63" s="71">
        <f t="shared" si="53"/>
        <v>1</v>
      </c>
      <c r="AZ63" s="71">
        <f t="shared" si="53"/>
        <v>1</v>
      </c>
      <c r="BA63" s="71">
        <f t="shared" si="53"/>
        <v>1</v>
      </c>
      <c r="BB63" s="71">
        <f t="shared" si="53"/>
        <v>1</v>
      </c>
      <c r="BC63" s="71">
        <f t="shared" si="53"/>
        <v>1</v>
      </c>
      <c r="BD63" s="71">
        <f t="shared" si="53"/>
        <v>1</v>
      </c>
      <c r="BE63" s="71">
        <f t="shared" si="53"/>
        <v>1</v>
      </c>
      <c r="BF63" s="71">
        <f t="shared" si="53"/>
        <v>1</v>
      </c>
      <c r="BG63" s="71">
        <f t="shared" si="53"/>
        <v>1</v>
      </c>
      <c r="BH63" s="71">
        <f t="shared" si="53"/>
        <v>1</v>
      </c>
      <c r="BI63" s="71">
        <f t="shared" si="53"/>
        <v>1</v>
      </c>
      <c r="BJ63" s="71">
        <f t="shared" si="53"/>
        <v>1</v>
      </c>
      <c r="BK63" s="72">
        <f t="shared" si="53"/>
        <v>1</v>
      </c>
      <c r="BL63" s="72">
        <f t="shared" si="53"/>
        <v>1</v>
      </c>
      <c r="BM63" s="72">
        <f t="shared" si="53"/>
        <v>1</v>
      </c>
      <c r="BN63" s="71"/>
      <c r="BO63" s="204">
        <f t="shared" ref="BO63:BW63" si="54">IF(BO46&lt;BO47,1,1-(1-(BO47/(BO53+BO62)))^(5/2))</f>
        <v>1</v>
      </c>
      <c r="BP63" s="204">
        <f t="shared" si="54"/>
        <v>1</v>
      </c>
      <c r="BQ63" s="204">
        <f t="shared" si="54"/>
        <v>1</v>
      </c>
      <c r="BR63" s="72">
        <f t="shared" si="54"/>
        <v>1</v>
      </c>
      <c r="BS63" s="72">
        <f t="shared" si="54"/>
        <v>1</v>
      </c>
      <c r="BT63" s="72">
        <f t="shared" si="54"/>
        <v>0.99975511488952196</v>
      </c>
      <c r="BU63" s="205"/>
      <c r="BV63" s="205"/>
      <c r="BW63" s="206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</row>
    <row r="64" spans="1:116" x14ac:dyDescent="0.25">
      <c r="A64" s="182"/>
      <c r="B64" s="99" t="s">
        <v>1</v>
      </c>
      <c r="C64" s="7"/>
      <c r="D64" s="71"/>
      <c r="E64" s="71">
        <f t="shared" ref="E64:BM64" si="55">E55*E63*((E53+E62)^(5/2))</f>
        <v>3.6846181161688765E-2</v>
      </c>
      <c r="F64" s="71">
        <f t="shared" si="55"/>
        <v>0.10409819665525884</v>
      </c>
      <c r="G64" s="71">
        <f t="shared" si="55"/>
        <v>1.0551673113063527E-2</v>
      </c>
      <c r="H64" s="71">
        <f t="shared" si="55"/>
        <v>6.8814186606500197E-2</v>
      </c>
      <c r="I64" s="71">
        <f t="shared" si="55"/>
        <v>4.2222055826383526E-2</v>
      </c>
      <c r="J64" s="71">
        <f t="shared" si="55"/>
        <v>4.8217325237633092E-2</v>
      </c>
      <c r="K64" s="71">
        <f t="shared" si="55"/>
        <v>7.6789281454621522E-2</v>
      </c>
      <c r="L64" s="71">
        <f t="shared" si="55"/>
        <v>1.6131318845301848E-2</v>
      </c>
      <c r="M64" s="71">
        <f t="shared" si="55"/>
        <v>1.6133306347850759E-2</v>
      </c>
      <c r="N64" s="71">
        <f t="shared" si="55"/>
        <v>4.2307684984375551E-2</v>
      </c>
      <c r="O64" s="71">
        <f t="shared" si="55"/>
        <v>7.6838501604897566E-2</v>
      </c>
      <c r="P64" s="71">
        <f t="shared" si="55"/>
        <v>1.6131318845301848E-2</v>
      </c>
      <c r="Q64" s="71">
        <f t="shared" si="55"/>
        <v>1.6133306347850759E-2</v>
      </c>
      <c r="R64" s="71">
        <f t="shared" si="55"/>
        <v>4.2307684984375551E-2</v>
      </c>
      <c r="S64" s="71">
        <f t="shared" si="55"/>
        <v>6.885102841937879E-2</v>
      </c>
      <c r="T64" s="72">
        <f t="shared" si="55"/>
        <v>1.0897626976934891E-2</v>
      </c>
      <c r="U64" s="72">
        <f t="shared" si="55"/>
        <v>4.1175886397424151E-2</v>
      </c>
      <c r="V64" s="72">
        <f t="shared" si="55"/>
        <v>7.619140551846118E-2</v>
      </c>
      <c r="W64" s="71"/>
      <c r="X64" s="71">
        <f t="shared" si="55"/>
        <v>1.3162841432132096E-2</v>
      </c>
      <c r="Y64" s="71">
        <f t="shared" si="55"/>
        <v>4.2293148009089676E-2</v>
      </c>
      <c r="Z64" s="71">
        <f t="shared" si="55"/>
        <v>6.1392409501661208E-2</v>
      </c>
      <c r="AA64" s="71">
        <f t="shared" si="55"/>
        <v>1.3728710486057396E-2</v>
      </c>
      <c r="AB64" s="71">
        <f t="shared" si="55"/>
        <v>4.8217325237633092E-2</v>
      </c>
      <c r="AC64" s="71">
        <f t="shared" si="55"/>
        <v>8.358487402961344E-2</v>
      </c>
      <c r="AD64" s="71">
        <f t="shared" si="55"/>
        <v>1.5510011398770148E-2</v>
      </c>
      <c r="AE64" s="71">
        <f t="shared" si="55"/>
        <v>5.203456946760731E-2</v>
      </c>
      <c r="AF64" s="71">
        <f t="shared" si="55"/>
        <v>8.0139901716770059E-2</v>
      </c>
      <c r="AG64" s="71">
        <f t="shared" si="55"/>
        <v>1.3727405492135218E-2</v>
      </c>
      <c r="AH64" s="71">
        <f t="shared" si="55"/>
        <v>4.6993330540335686E-2</v>
      </c>
      <c r="AI64" s="71">
        <f t="shared" si="55"/>
        <v>8.5343309703448458E-2</v>
      </c>
      <c r="AJ64" s="71">
        <f t="shared" si="55"/>
        <v>1.4306398380393345E-2</v>
      </c>
      <c r="AK64" s="71">
        <f t="shared" si="55"/>
        <v>4.3439158738067876E-2</v>
      </c>
      <c r="AL64" s="71">
        <f t="shared" si="55"/>
        <v>8.9082899292135462E-2</v>
      </c>
      <c r="AM64" s="72">
        <f t="shared" si="55"/>
        <v>1.1452590963913965E-2</v>
      </c>
      <c r="AN64" s="72">
        <f t="shared" si="55"/>
        <v>4.8705621338164973E-2</v>
      </c>
      <c r="AO64" s="72">
        <f t="shared" si="55"/>
        <v>8.6024120158789005E-2</v>
      </c>
      <c r="AP64" s="71"/>
      <c r="AQ64" s="71">
        <f t="shared" si="55"/>
        <v>1.3162841432132096E-2</v>
      </c>
      <c r="AR64" s="71">
        <f t="shared" si="55"/>
        <v>4.2293148009089676E-2</v>
      </c>
      <c r="AS64" s="71">
        <f t="shared" si="55"/>
        <v>9.4504556981561696E-2</v>
      </c>
      <c r="AT64" s="71">
        <f t="shared" si="55"/>
        <v>1.6131318845301848E-2</v>
      </c>
      <c r="AU64" s="71">
        <f t="shared" si="55"/>
        <v>4.8217325237633092E-2</v>
      </c>
      <c r="AV64" s="71">
        <f t="shared" si="55"/>
        <v>9.4504556981561696E-2</v>
      </c>
      <c r="AW64" s="71">
        <f t="shared" si="55"/>
        <v>1.3727405492135218E-2</v>
      </c>
      <c r="AX64" s="71">
        <f t="shared" si="55"/>
        <v>5.2009537134085244E-2</v>
      </c>
      <c r="AY64" s="71">
        <f t="shared" si="55"/>
        <v>5.2009537134085244E-2</v>
      </c>
      <c r="AZ64" s="71">
        <f t="shared" si="55"/>
        <v>8.5343309703448458E-2</v>
      </c>
      <c r="BA64" s="71">
        <f t="shared" si="55"/>
        <v>8.5343309703448458E-2</v>
      </c>
      <c r="BB64" s="71">
        <f t="shared" si="55"/>
        <v>1.3162841432132096E-2</v>
      </c>
      <c r="BC64" s="71">
        <f t="shared" si="55"/>
        <v>4.578908399752251E-2</v>
      </c>
      <c r="BD64" s="71">
        <f t="shared" si="55"/>
        <v>4.578908399752251E-2</v>
      </c>
      <c r="BE64" s="71">
        <f t="shared" si="55"/>
        <v>8.5343309703448458E-2</v>
      </c>
      <c r="BF64" s="71">
        <f t="shared" si="55"/>
        <v>1.3162841432132096E-2</v>
      </c>
      <c r="BG64" s="71">
        <f t="shared" si="55"/>
        <v>4.8217325237633051E-2</v>
      </c>
      <c r="BH64" s="71">
        <f t="shared" si="55"/>
        <v>4.8217325237633051E-2</v>
      </c>
      <c r="BI64" s="71">
        <f t="shared" si="55"/>
        <v>9.0765255590469857E-2</v>
      </c>
      <c r="BJ64" s="71">
        <f t="shared" si="55"/>
        <v>9.0765255590469857E-2</v>
      </c>
      <c r="BK64" s="72">
        <f t="shared" si="55"/>
        <v>1.327440019738943E-2</v>
      </c>
      <c r="BL64" s="72">
        <f t="shared" si="55"/>
        <v>4.7479786397610815E-2</v>
      </c>
      <c r="BM64" s="72">
        <f t="shared" si="55"/>
        <v>8.8173385099369408E-2</v>
      </c>
      <c r="BN64" s="71"/>
      <c r="BO64" s="204">
        <f t="shared" ref="BO64:BW64" si="56">BO55*BO63*((BO53+BO62)^(5/2))</f>
        <v>1.551001139877016E-2</v>
      </c>
      <c r="BP64" s="204">
        <f t="shared" si="56"/>
        <v>4.7012501886365382E-2</v>
      </c>
      <c r="BQ64" s="204">
        <f t="shared" si="56"/>
        <v>0.1003057125136847</v>
      </c>
      <c r="BR64" s="72">
        <f t="shared" si="56"/>
        <v>1.3843911605850785E-2</v>
      </c>
      <c r="BS64" s="72">
        <f t="shared" si="56"/>
        <v>5.4477519609395959E-2</v>
      </c>
      <c r="BT64" s="72">
        <f t="shared" si="56"/>
        <v>0.10993522939872165</v>
      </c>
      <c r="BU64" s="205"/>
      <c r="BV64" s="205"/>
      <c r="BW64" s="206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</row>
    <row r="65" spans="1:119" x14ac:dyDescent="0.25">
      <c r="A65" s="182" t="s">
        <v>60</v>
      </c>
      <c r="B65" s="99" t="s">
        <v>57</v>
      </c>
      <c r="C65" s="7"/>
      <c r="D65" s="71"/>
      <c r="E65" s="71">
        <f t="shared" ref="E65:BM65" si="57">(E58*(E64^2))/(2*9.81*(E54^2))</f>
        <v>2.2054463993759796E-4</v>
      </c>
      <c r="F65" s="71">
        <f t="shared" si="57"/>
        <v>1.2785086253252703E-3</v>
      </c>
      <c r="G65" s="71">
        <f t="shared" si="57"/>
        <v>2.613987873400048E-5</v>
      </c>
      <c r="H65" s="71">
        <f t="shared" si="57"/>
        <v>6.0290155909854923E-4</v>
      </c>
      <c r="I65" s="71">
        <f t="shared" si="57"/>
        <v>2.269703861808182E-4</v>
      </c>
      <c r="J65" s="71">
        <f t="shared" si="57"/>
        <v>3.7767459420995662E-4</v>
      </c>
      <c r="K65" s="71">
        <f t="shared" si="57"/>
        <v>7.5074362462129621E-4</v>
      </c>
      <c r="L65" s="71">
        <f t="shared" si="57"/>
        <v>6.1094295663418439E-5</v>
      </c>
      <c r="M65" s="71">
        <f t="shared" si="57"/>
        <v>6.4261386771465942E-5</v>
      </c>
      <c r="N65" s="71">
        <f t="shared" si="57"/>
        <v>3.0356981309030641E-4</v>
      </c>
      <c r="O65" s="71">
        <f t="shared" si="57"/>
        <v>7.8158016770021367E-4</v>
      </c>
      <c r="P65" s="71">
        <f t="shared" si="57"/>
        <v>6.1094295663418439E-5</v>
      </c>
      <c r="Q65" s="71">
        <f t="shared" si="57"/>
        <v>6.4261386771465942E-5</v>
      </c>
      <c r="R65" s="71">
        <f t="shared" si="57"/>
        <v>3.0356981309030641E-4</v>
      </c>
      <c r="S65" s="71">
        <f t="shared" si="57"/>
        <v>6.2753307308626273E-4</v>
      </c>
      <c r="T65" s="72">
        <f t="shared" si="57"/>
        <v>3.0421872037151164E-5</v>
      </c>
      <c r="U65" s="72">
        <f t="shared" si="57"/>
        <v>2.8407570115022182E-4</v>
      </c>
      <c r="V65" s="72">
        <f t="shared" si="57"/>
        <v>7.7637644181866158E-4</v>
      </c>
      <c r="W65" s="71"/>
      <c r="X65" s="71">
        <f t="shared" si="57"/>
        <v>4.0678057948704604E-5</v>
      </c>
      <c r="Y65" s="71">
        <f t="shared" si="57"/>
        <v>2.9057053001629575E-4</v>
      </c>
      <c r="Z65" s="71">
        <f t="shared" si="57"/>
        <v>4.7986580422975164E-4</v>
      </c>
      <c r="AA65" s="71">
        <f t="shared" si="57"/>
        <v>4.6533189986825036E-5</v>
      </c>
      <c r="AB65" s="71">
        <f t="shared" si="57"/>
        <v>3.7767459420995662E-4</v>
      </c>
      <c r="AC65" s="71">
        <f t="shared" si="57"/>
        <v>8.8949974897221831E-4</v>
      </c>
      <c r="AD65" s="71">
        <f t="shared" si="57"/>
        <v>5.9391947519034548E-5</v>
      </c>
      <c r="AE65" s="71">
        <f t="shared" si="57"/>
        <v>4.5920223202646171E-4</v>
      </c>
      <c r="AF65" s="71">
        <f t="shared" si="57"/>
        <v>8.1768881331197713E-4</v>
      </c>
      <c r="AG65" s="71">
        <f t="shared" si="57"/>
        <v>4.4242314277507353E-5</v>
      </c>
      <c r="AH65" s="71">
        <f t="shared" si="57"/>
        <v>3.5874346002146137E-4</v>
      </c>
      <c r="AI65" s="71">
        <f t="shared" si="57"/>
        <v>9.2731953294325172E-4</v>
      </c>
      <c r="AJ65" s="71">
        <f t="shared" si="57"/>
        <v>4.8053114409295028E-5</v>
      </c>
      <c r="AK65" s="71">
        <f t="shared" si="57"/>
        <v>3.0653096538386942E-4</v>
      </c>
      <c r="AL65" s="71">
        <f t="shared" si="57"/>
        <v>1.0929516561259496E-3</v>
      </c>
      <c r="AM65" s="72">
        <f t="shared" si="57"/>
        <v>3.2714138417063346E-5</v>
      </c>
      <c r="AN65" s="72">
        <f t="shared" si="57"/>
        <v>3.7982497206324756E-4</v>
      </c>
      <c r="AO65" s="72">
        <f t="shared" si="57"/>
        <v>9.256223032705407E-4</v>
      </c>
      <c r="AP65" s="71"/>
      <c r="AQ65" s="71">
        <f t="shared" si="57"/>
        <v>4.0678057948704604E-5</v>
      </c>
      <c r="AR65" s="71">
        <f t="shared" si="57"/>
        <v>2.9057053001629575E-4</v>
      </c>
      <c r="AS65" s="71">
        <f t="shared" si="57"/>
        <v>1.1370928964115499E-3</v>
      </c>
      <c r="AT65" s="71">
        <f t="shared" si="57"/>
        <v>6.1094295663418439E-5</v>
      </c>
      <c r="AU65" s="71">
        <f t="shared" si="57"/>
        <v>3.7767459420995662E-4</v>
      </c>
      <c r="AV65" s="71">
        <f t="shared" si="57"/>
        <v>1.1370928964115499E-3</v>
      </c>
      <c r="AW65" s="71">
        <f t="shared" si="57"/>
        <v>4.4242314277507353E-5</v>
      </c>
      <c r="AX65" s="71">
        <f t="shared" si="57"/>
        <v>4.3941767168005462E-4</v>
      </c>
      <c r="AY65" s="71">
        <f t="shared" si="57"/>
        <v>4.3941767168005462E-4</v>
      </c>
      <c r="AZ65" s="71">
        <f t="shared" si="57"/>
        <v>9.2731953294325172E-4</v>
      </c>
      <c r="BA65" s="71">
        <f t="shared" si="57"/>
        <v>9.2731953294325172E-4</v>
      </c>
      <c r="BB65" s="71">
        <f t="shared" si="57"/>
        <v>4.0678057948704604E-5</v>
      </c>
      <c r="BC65" s="71">
        <f t="shared" si="57"/>
        <v>3.4059279174744551E-4</v>
      </c>
      <c r="BD65" s="71">
        <f t="shared" si="57"/>
        <v>3.4059279174744551E-4</v>
      </c>
      <c r="BE65" s="71">
        <f t="shared" si="57"/>
        <v>9.2731953294325172E-4</v>
      </c>
      <c r="BF65" s="71">
        <f t="shared" si="57"/>
        <v>4.0678057948704604E-5</v>
      </c>
      <c r="BG65" s="71">
        <f t="shared" si="57"/>
        <v>3.7767459420995597E-4</v>
      </c>
      <c r="BH65" s="71">
        <f t="shared" si="57"/>
        <v>3.7767459420995597E-4</v>
      </c>
      <c r="BI65" s="71">
        <f t="shared" si="57"/>
        <v>1.0488894451815148E-3</v>
      </c>
      <c r="BJ65" s="71">
        <f t="shared" si="57"/>
        <v>1.0488894451815148E-3</v>
      </c>
      <c r="BK65" s="72">
        <f t="shared" si="57"/>
        <v>4.1002257381244076E-5</v>
      </c>
      <c r="BL65" s="72">
        <f t="shared" si="57"/>
        <v>3.6558431915074025E-4</v>
      </c>
      <c r="BM65" s="72">
        <f t="shared" si="57"/>
        <v>9.7096066826687076E-4</v>
      </c>
      <c r="BN65" s="71"/>
      <c r="BO65" s="204">
        <f t="shared" ref="BO65:BW65" si="58">(BO58*(BO64^2))/(2*9.81*(BO54^2))</f>
        <v>5.9391947519034636E-5</v>
      </c>
      <c r="BP65" s="204">
        <f t="shared" si="58"/>
        <v>3.7484074029256584E-4</v>
      </c>
      <c r="BQ65" s="204">
        <f>(BQ58*(BQ64^2))/(2*9.81*(BQ54^2))</f>
        <v>1.2809783206887671E-3</v>
      </c>
      <c r="BR65" s="72">
        <f t="shared" si="58"/>
        <v>4.8244094739047215E-5</v>
      </c>
      <c r="BS65" s="72">
        <f t="shared" si="58"/>
        <v>4.6058084517474224E-4</v>
      </c>
      <c r="BT65" s="72">
        <f t="shared" si="58"/>
        <v>1.480815492796656E-3</v>
      </c>
      <c r="BU65" s="205"/>
      <c r="BV65" s="205"/>
      <c r="BW65" s="206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</row>
    <row r="66" spans="1:119" x14ac:dyDescent="0.25">
      <c r="A66" s="182"/>
      <c r="B66" s="99" t="s">
        <v>58</v>
      </c>
      <c r="C66" s="7"/>
      <c r="D66" s="71"/>
      <c r="E66" s="71">
        <f t="shared" ref="E66:BM66" si="59">IF(E46&lt;E47,1,1-(1-(E47/(E53+E65)))^(5/2))</f>
        <v>1</v>
      </c>
      <c r="F66" s="71">
        <f t="shared" si="59"/>
        <v>0.99997422676985848</v>
      </c>
      <c r="G66" s="71">
        <f t="shared" si="59"/>
        <v>1</v>
      </c>
      <c r="H66" s="71">
        <f t="shared" si="59"/>
        <v>1</v>
      </c>
      <c r="I66" s="71">
        <f t="shared" si="59"/>
        <v>1</v>
      </c>
      <c r="J66" s="71">
        <f t="shared" si="59"/>
        <v>1</v>
      </c>
      <c r="K66" s="71">
        <f t="shared" si="59"/>
        <v>1</v>
      </c>
      <c r="L66" s="71">
        <f t="shared" si="59"/>
        <v>1</v>
      </c>
      <c r="M66" s="71">
        <f t="shared" si="59"/>
        <v>1</v>
      </c>
      <c r="N66" s="71">
        <f t="shared" si="59"/>
        <v>1</v>
      </c>
      <c r="O66" s="71">
        <f t="shared" si="59"/>
        <v>1</v>
      </c>
      <c r="P66" s="71">
        <f t="shared" si="59"/>
        <v>1</v>
      </c>
      <c r="Q66" s="71">
        <f t="shared" si="59"/>
        <v>1</v>
      </c>
      <c r="R66" s="71">
        <f t="shared" si="59"/>
        <v>1</v>
      </c>
      <c r="S66" s="71">
        <f t="shared" si="59"/>
        <v>1</v>
      </c>
      <c r="T66" s="72">
        <f t="shared" si="59"/>
        <v>1</v>
      </c>
      <c r="U66" s="72">
        <f t="shared" si="59"/>
        <v>1</v>
      </c>
      <c r="V66" s="72">
        <f t="shared" si="59"/>
        <v>1</v>
      </c>
      <c r="W66" s="71"/>
      <c r="X66" s="71">
        <f t="shared" si="59"/>
        <v>1</v>
      </c>
      <c r="Y66" s="71">
        <f t="shared" si="59"/>
        <v>1</v>
      </c>
      <c r="Z66" s="71">
        <f t="shared" si="59"/>
        <v>1</v>
      </c>
      <c r="AA66" s="71">
        <f t="shared" si="59"/>
        <v>1</v>
      </c>
      <c r="AB66" s="71">
        <f t="shared" si="59"/>
        <v>1</v>
      </c>
      <c r="AC66" s="71">
        <f t="shared" si="59"/>
        <v>1</v>
      </c>
      <c r="AD66" s="71">
        <f t="shared" si="59"/>
        <v>1</v>
      </c>
      <c r="AE66" s="71">
        <f t="shared" si="59"/>
        <v>1</v>
      </c>
      <c r="AF66" s="71">
        <f t="shared" si="59"/>
        <v>1</v>
      </c>
      <c r="AG66" s="71">
        <f t="shared" si="59"/>
        <v>1</v>
      </c>
      <c r="AH66" s="71">
        <f t="shared" si="59"/>
        <v>1</v>
      </c>
      <c r="AI66" s="71">
        <f t="shared" si="59"/>
        <v>1</v>
      </c>
      <c r="AJ66" s="71">
        <f t="shared" si="59"/>
        <v>1</v>
      </c>
      <c r="AK66" s="71">
        <f t="shared" si="59"/>
        <v>1</v>
      </c>
      <c r="AL66" s="71">
        <f t="shared" si="59"/>
        <v>1</v>
      </c>
      <c r="AM66" s="72">
        <f t="shared" si="59"/>
        <v>1</v>
      </c>
      <c r="AN66" s="72">
        <f t="shared" si="59"/>
        <v>1</v>
      </c>
      <c r="AO66" s="72">
        <f t="shared" si="59"/>
        <v>1</v>
      </c>
      <c r="AP66" s="71"/>
      <c r="AQ66" s="71">
        <f t="shared" si="59"/>
        <v>1</v>
      </c>
      <c r="AR66" s="71">
        <f t="shared" si="59"/>
        <v>1</v>
      </c>
      <c r="AS66" s="71">
        <f t="shared" si="59"/>
        <v>1</v>
      </c>
      <c r="AT66" s="71">
        <f t="shared" si="59"/>
        <v>1</v>
      </c>
      <c r="AU66" s="71">
        <f t="shared" si="59"/>
        <v>1</v>
      </c>
      <c r="AV66" s="71">
        <f t="shared" si="59"/>
        <v>1</v>
      </c>
      <c r="AW66" s="71">
        <f t="shared" si="59"/>
        <v>1</v>
      </c>
      <c r="AX66" s="71">
        <f t="shared" si="59"/>
        <v>1</v>
      </c>
      <c r="AY66" s="71">
        <f t="shared" si="59"/>
        <v>1</v>
      </c>
      <c r="AZ66" s="71">
        <f t="shared" si="59"/>
        <v>1</v>
      </c>
      <c r="BA66" s="71">
        <f t="shared" si="59"/>
        <v>1</v>
      </c>
      <c r="BB66" s="71">
        <f t="shared" si="59"/>
        <v>1</v>
      </c>
      <c r="BC66" s="71">
        <f t="shared" si="59"/>
        <v>1</v>
      </c>
      <c r="BD66" s="71">
        <f t="shared" si="59"/>
        <v>1</v>
      </c>
      <c r="BE66" s="71">
        <f t="shared" si="59"/>
        <v>1</v>
      </c>
      <c r="BF66" s="71">
        <f t="shared" si="59"/>
        <v>1</v>
      </c>
      <c r="BG66" s="71">
        <f t="shared" si="59"/>
        <v>1</v>
      </c>
      <c r="BH66" s="71">
        <f t="shared" si="59"/>
        <v>1</v>
      </c>
      <c r="BI66" s="71">
        <f t="shared" si="59"/>
        <v>1</v>
      </c>
      <c r="BJ66" s="71">
        <f t="shared" si="59"/>
        <v>1</v>
      </c>
      <c r="BK66" s="72">
        <f t="shared" si="59"/>
        <v>1</v>
      </c>
      <c r="BL66" s="72">
        <f t="shared" si="59"/>
        <v>1</v>
      </c>
      <c r="BM66" s="72">
        <f t="shared" si="59"/>
        <v>1</v>
      </c>
      <c r="BN66" s="71"/>
      <c r="BO66" s="204">
        <f t="shared" ref="BO66:BW66" si="60">IF(BO46&lt;BO47,1,1-(1-(BO47/(BO53+BO65)))^(5/2))</f>
        <v>1</v>
      </c>
      <c r="BP66" s="204">
        <f t="shared" si="60"/>
        <v>1</v>
      </c>
      <c r="BQ66" s="204">
        <f t="shared" si="60"/>
        <v>1</v>
      </c>
      <c r="BR66" s="72">
        <f t="shared" si="60"/>
        <v>1</v>
      </c>
      <c r="BS66" s="72">
        <f t="shared" si="60"/>
        <v>1</v>
      </c>
      <c r="BT66" s="72">
        <f t="shared" si="60"/>
        <v>0.99975465506051253</v>
      </c>
      <c r="BU66" s="205"/>
      <c r="BV66" s="205"/>
      <c r="BW66" s="206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</row>
    <row r="67" spans="1:119" s="103" customFormat="1" x14ac:dyDescent="0.25">
      <c r="A67" s="182"/>
      <c r="B67" s="100" t="s">
        <v>7</v>
      </c>
      <c r="C67" s="101"/>
      <c r="D67" s="102"/>
      <c r="E67" s="102">
        <f t="shared" ref="E67:BM67" si="61">E55*E66*((E53+E65)^(5/2))</f>
        <v>3.6846215116027058E-2</v>
      </c>
      <c r="F67" s="102">
        <f t="shared" si="61"/>
        <v>0.1041032843192571</v>
      </c>
      <c r="G67" s="102">
        <f t="shared" si="61"/>
        <v>1.0551673186687333E-2</v>
      </c>
      <c r="H67" s="102">
        <f t="shared" si="61"/>
        <v>6.8814786712773121E-2</v>
      </c>
      <c r="I67" s="102">
        <f t="shared" si="61"/>
        <v>4.2222091857477564E-2</v>
      </c>
      <c r="J67" s="102">
        <f t="shared" si="61"/>
        <v>4.8217485299888292E-2</v>
      </c>
      <c r="K67" s="102">
        <f t="shared" si="61"/>
        <v>7.6790406779269169E-2</v>
      </c>
      <c r="L67" s="102">
        <f t="shared" si="61"/>
        <v>1.6131319705916244E-2</v>
      </c>
      <c r="M67" s="102">
        <f t="shared" si="61"/>
        <v>1.613330734899256E-2</v>
      </c>
      <c r="N67" s="102">
        <f t="shared" si="61"/>
        <v>4.2307770662454412E-2</v>
      </c>
      <c r="O67" s="102">
        <f t="shared" si="61"/>
        <v>7.6839768858932553E-2</v>
      </c>
      <c r="P67" s="102">
        <f t="shared" si="61"/>
        <v>1.6131319705916244E-2</v>
      </c>
      <c r="Q67" s="102">
        <f t="shared" si="61"/>
        <v>1.613330734899256E-2</v>
      </c>
      <c r="R67" s="102">
        <f t="shared" si="61"/>
        <v>4.2307770662454412E-2</v>
      </c>
      <c r="S67" s="102">
        <f t="shared" si="61"/>
        <v>6.8851704010223697E-2</v>
      </c>
      <c r="T67" s="72">
        <f t="shared" si="61"/>
        <v>1.089762709218579E-2</v>
      </c>
      <c r="U67" s="72">
        <f t="shared" si="61"/>
        <v>4.1175957076170146E-2</v>
      </c>
      <c r="V67" s="72">
        <f t="shared" si="61"/>
        <v>7.6192649924953865E-2</v>
      </c>
      <c r="W67" s="102"/>
      <c r="X67" s="102">
        <f t="shared" si="61"/>
        <v>1.3162841697200637E-2</v>
      </c>
      <c r="Y67" s="102">
        <f t="shared" si="61"/>
        <v>4.2293223223883424E-2</v>
      </c>
      <c r="Z67" s="102">
        <f t="shared" si="61"/>
        <v>6.139272103154899E-2</v>
      </c>
      <c r="AA67" s="102">
        <f t="shared" si="61"/>
        <v>1.3728710879288831E-2</v>
      </c>
      <c r="AB67" s="102">
        <f t="shared" si="61"/>
        <v>4.8217485299888292E-2</v>
      </c>
      <c r="AC67" s="102">
        <f t="shared" si="61"/>
        <v>8.358670216064476E-2</v>
      </c>
      <c r="AD67" s="102">
        <f t="shared" si="61"/>
        <v>1.5510012195731235E-2</v>
      </c>
      <c r="AE67" s="102">
        <f t="shared" si="61"/>
        <v>5.2034851443150232E-2</v>
      </c>
      <c r="AF67" s="102">
        <f t="shared" si="61"/>
        <v>8.0141338738039233E-2</v>
      </c>
      <c r="AG67" s="102">
        <f t="shared" si="61"/>
        <v>1.3727405830198158E-2</v>
      </c>
      <c r="AH67" s="102">
        <f t="shared" si="61"/>
        <v>4.6993468577472261E-2</v>
      </c>
      <c r="AI67" s="102">
        <f t="shared" si="61"/>
        <v>8.5345368825769735E-2</v>
      </c>
      <c r="AJ67" s="102">
        <f t="shared" si="61"/>
        <v>1.4306398809837834E-2</v>
      </c>
      <c r="AK67" s="102">
        <f t="shared" si="61"/>
        <v>4.343924648522518E-2</v>
      </c>
      <c r="AL67" s="102">
        <f t="shared" si="61"/>
        <v>8.9086213239911394E-2</v>
      </c>
      <c r="AM67" s="72">
        <f t="shared" si="61"/>
        <v>1.1452591105782813E-2</v>
      </c>
      <c r="AN67" s="72">
        <f t="shared" si="61"/>
        <v>4.8705783815030566E-2</v>
      </c>
      <c r="AO67" s="72">
        <f t="shared" si="61"/>
        <v>8.60261652954772E-2</v>
      </c>
      <c r="AP67" s="102"/>
      <c r="AQ67" s="102">
        <f t="shared" si="61"/>
        <v>1.3162841697200637E-2</v>
      </c>
      <c r="AR67" s="102">
        <f t="shared" si="61"/>
        <v>4.2293223223883424E-2</v>
      </c>
      <c r="AS67" s="102">
        <f t="shared" si="61"/>
        <v>9.4508241322023193E-2</v>
      </c>
      <c r="AT67" s="102">
        <f t="shared" si="61"/>
        <v>1.6131319705916244E-2</v>
      </c>
      <c r="AU67" s="102">
        <f t="shared" si="61"/>
        <v>4.8217485299888292E-2</v>
      </c>
      <c r="AV67" s="102">
        <f t="shared" si="61"/>
        <v>9.4508241322023193E-2</v>
      </c>
      <c r="AW67" s="102">
        <f t="shared" si="61"/>
        <v>1.3727405830198158E-2</v>
      </c>
      <c r="AX67" s="102">
        <f t="shared" si="61"/>
        <v>5.2009784575341507E-2</v>
      </c>
      <c r="AY67" s="102">
        <f t="shared" si="61"/>
        <v>5.2009784575341507E-2</v>
      </c>
      <c r="AZ67" s="102">
        <f t="shared" si="61"/>
        <v>8.5345368825769735E-2</v>
      </c>
      <c r="BA67" s="102">
        <f t="shared" si="61"/>
        <v>8.5345368825769735E-2</v>
      </c>
      <c r="BB67" s="102">
        <f t="shared" si="61"/>
        <v>1.3162841697200637E-2</v>
      </c>
      <c r="BC67" s="102">
        <f t="shared" si="61"/>
        <v>4.5789202865513613E-2</v>
      </c>
      <c r="BD67" s="102">
        <f t="shared" si="61"/>
        <v>4.5789202865513613E-2</v>
      </c>
      <c r="BE67" s="102">
        <f t="shared" si="61"/>
        <v>8.5345368825769735E-2</v>
      </c>
      <c r="BF67" s="102">
        <f t="shared" si="61"/>
        <v>1.3162841697200637E-2</v>
      </c>
      <c r="BG67" s="102">
        <f t="shared" si="61"/>
        <v>4.8217485299888292E-2</v>
      </c>
      <c r="BH67" s="102">
        <f t="shared" si="61"/>
        <v>4.8217485299888292E-2</v>
      </c>
      <c r="BI67" s="102">
        <f t="shared" si="61"/>
        <v>9.0768182446298473E-2</v>
      </c>
      <c r="BJ67" s="102">
        <f t="shared" si="61"/>
        <v>9.0768182446298473E-2</v>
      </c>
      <c r="BK67" s="72">
        <f t="shared" si="61"/>
        <v>1.3274400468382531E-2</v>
      </c>
      <c r="BL67" s="72">
        <f t="shared" si="61"/>
        <v>4.7479932125912234E-2</v>
      </c>
      <c r="BM67" s="72">
        <f t="shared" si="61"/>
        <v>8.8175729219525545E-2</v>
      </c>
      <c r="BN67" s="102"/>
      <c r="BO67" s="102">
        <f t="shared" ref="BO67:BW67" si="62">BO55*BO66*((BO53+BO65)^(5/2))</f>
        <v>1.5510012195731266E-2</v>
      </c>
      <c r="BP67" s="102">
        <f t="shared" si="62"/>
        <v>4.7012659155447667E-2</v>
      </c>
      <c r="BQ67" s="102">
        <f>BQ55*BQ66*((BQ53+BQ65)^(5/2))</f>
        <v>0.10031088432905987</v>
      </c>
      <c r="BR67" s="72">
        <f t="shared" si="62"/>
        <v>1.3843912043259894E-2</v>
      </c>
      <c r="BS67" s="72">
        <f t="shared" si="62"/>
        <v>5.4477801671394092E-2</v>
      </c>
      <c r="BT67" s="72">
        <f t="shared" si="62"/>
        <v>0.10994287064615545</v>
      </c>
      <c r="BU67" s="205"/>
      <c r="BV67" s="205"/>
      <c r="BW67" s="206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6"/>
      <c r="DN67" s="6"/>
      <c r="DO67" s="6"/>
    </row>
    <row r="68" spans="1:119" s="6" customFormat="1" x14ac:dyDescent="0.25">
      <c r="A68" s="99" t="s">
        <v>61</v>
      </c>
      <c r="B68" s="1"/>
      <c r="C68" s="7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44"/>
      <c r="U68" s="44"/>
      <c r="V68" s="44"/>
      <c r="W68" s="7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3"/>
      <c r="AM68" s="44"/>
      <c r="AN68" s="44"/>
      <c r="AO68" s="44"/>
      <c r="AP68" s="7"/>
      <c r="AQ68" s="104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92"/>
      <c r="BJ68" s="92"/>
      <c r="BK68" s="17"/>
      <c r="BL68" s="17"/>
      <c r="BM68" s="17"/>
      <c r="BN68" s="7"/>
      <c r="BO68" s="106"/>
      <c r="BP68" s="106"/>
      <c r="BQ68" s="217"/>
      <c r="BR68" s="197"/>
      <c r="BS68" s="197"/>
      <c r="BT68" s="218"/>
      <c r="BU68" s="198"/>
      <c r="BV68" s="198"/>
      <c r="BW68" s="107"/>
    </row>
    <row r="69" spans="1:119" s="6" customFormat="1" x14ac:dyDescent="0.25">
      <c r="A69" s="184"/>
      <c r="B69" s="183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17"/>
      <c r="U69" s="17"/>
      <c r="V69" s="17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48"/>
      <c r="AM69" s="17"/>
      <c r="AN69" s="17"/>
      <c r="AO69" s="17"/>
      <c r="AQ69" s="105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17"/>
      <c r="BL69" s="17"/>
      <c r="BM69" s="17"/>
      <c r="BO69" s="106"/>
      <c r="BP69" s="106"/>
      <c r="BQ69" s="217"/>
      <c r="BR69" s="197"/>
      <c r="BS69" s="197"/>
      <c r="BT69" s="218"/>
      <c r="BU69" s="198"/>
      <c r="BV69" s="198"/>
      <c r="BW69" s="107"/>
    </row>
    <row r="70" spans="1:119" s="6" customFormat="1" x14ac:dyDescent="0.25">
      <c r="A70" s="184"/>
      <c r="B70" s="183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17"/>
      <c r="U70" s="17"/>
      <c r="V70" s="17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48"/>
      <c r="AM70" s="17"/>
      <c r="AN70" s="17"/>
      <c r="AO70" s="17"/>
      <c r="AQ70" s="105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17"/>
      <c r="BL70" s="17"/>
      <c r="BM70" s="17"/>
      <c r="BO70" s="106"/>
      <c r="BP70" s="106"/>
      <c r="BQ70" s="217"/>
      <c r="BR70" s="197"/>
      <c r="BS70" s="197"/>
      <c r="BT70" s="218"/>
      <c r="BU70" s="198"/>
      <c r="BV70" s="198"/>
      <c r="BW70" s="107"/>
    </row>
    <row r="71" spans="1:119" s="6" customFormat="1" x14ac:dyDescent="0.25">
      <c r="A71" s="184"/>
      <c r="B71" s="183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17"/>
      <c r="U71" s="17"/>
      <c r="V71" s="17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48"/>
      <c r="AM71" s="17"/>
      <c r="AN71" s="17"/>
      <c r="AO71" s="17"/>
      <c r="AQ71" s="105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17"/>
      <c r="BL71" s="17"/>
      <c r="BM71" s="17"/>
      <c r="BO71" s="106"/>
      <c r="BP71" s="106"/>
      <c r="BQ71" s="217"/>
      <c r="BR71" s="197"/>
      <c r="BS71" s="197"/>
      <c r="BT71" s="218"/>
      <c r="BU71" s="198"/>
      <c r="BV71" s="198"/>
      <c r="BW71" s="107"/>
    </row>
    <row r="72" spans="1:119" s="6" customFormat="1" x14ac:dyDescent="0.25">
      <c r="A72" s="184"/>
      <c r="B72" s="183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17"/>
      <c r="U72" s="17"/>
      <c r="V72" s="17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48"/>
      <c r="AM72" s="17"/>
      <c r="AN72" s="17"/>
      <c r="AO72" s="17"/>
      <c r="AQ72" s="105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17"/>
      <c r="BL72" s="17"/>
      <c r="BM72" s="17"/>
      <c r="BO72" s="106"/>
      <c r="BP72" s="106"/>
      <c r="BQ72" s="217"/>
      <c r="BR72" s="197"/>
      <c r="BS72" s="197"/>
      <c r="BT72" s="218"/>
      <c r="BU72" s="198"/>
      <c r="BV72" s="198"/>
      <c r="BW72" s="107"/>
    </row>
    <row r="73" spans="1:119" s="6" customFormat="1" x14ac:dyDescent="0.25">
      <c r="A73" s="184"/>
      <c r="B73" s="183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17"/>
      <c r="U73" s="17"/>
      <c r="V73" s="17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48"/>
      <c r="AM73" s="17"/>
      <c r="AN73" s="17"/>
      <c r="AO73" s="17"/>
      <c r="AQ73" s="105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17"/>
      <c r="BL73" s="17"/>
      <c r="BM73" s="17"/>
      <c r="BO73" s="106"/>
      <c r="BP73" s="106"/>
      <c r="BQ73" s="217"/>
      <c r="BR73" s="197"/>
      <c r="BS73" s="197"/>
      <c r="BT73" s="218"/>
      <c r="BU73" s="198"/>
      <c r="BV73" s="198"/>
      <c r="BW73" s="107"/>
    </row>
    <row r="74" spans="1:119" s="6" customFormat="1" x14ac:dyDescent="0.25">
      <c r="A74" s="184"/>
      <c r="B74" s="183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17"/>
      <c r="U74" s="17"/>
      <c r="V74" s="17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48"/>
      <c r="AM74" s="17"/>
      <c r="AN74" s="17"/>
      <c r="AO74" s="17"/>
      <c r="AQ74" s="105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17"/>
      <c r="BL74" s="17"/>
      <c r="BM74" s="17"/>
      <c r="BO74" s="106"/>
      <c r="BP74" s="106"/>
      <c r="BQ74" s="217"/>
      <c r="BR74" s="197"/>
      <c r="BS74" s="197"/>
      <c r="BT74" s="218"/>
      <c r="BU74" s="198"/>
      <c r="BV74" s="198"/>
      <c r="BW74" s="107"/>
    </row>
    <row r="75" spans="1:119" s="6" customFormat="1" x14ac:dyDescent="0.25">
      <c r="A75" s="184"/>
      <c r="B75" s="183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17"/>
      <c r="U75" s="17"/>
      <c r="V75" s="17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48"/>
      <c r="AM75" s="17"/>
      <c r="AN75" s="17"/>
      <c r="AO75" s="17"/>
      <c r="AQ75" s="105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17"/>
      <c r="BL75" s="17"/>
      <c r="BM75" s="17"/>
      <c r="BO75" s="106"/>
      <c r="BP75" s="106"/>
      <c r="BQ75" s="217"/>
      <c r="BR75" s="197"/>
      <c r="BS75" s="197"/>
      <c r="BT75" s="218"/>
      <c r="BU75" s="198"/>
      <c r="BV75" s="198"/>
      <c r="BW75" s="107"/>
    </row>
    <row r="76" spans="1:119" s="6" customFormat="1" x14ac:dyDescent="0.25">
      <c r="A76" s="184"/>
      <c r="B76" s="183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17"/>
      <c r="U76" s="17"/>
      <c r="V76" s="17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48"/>
      <c r="AM76" s="17"/>
      <c r="AN76" s="17"/>
      <c r="AO76" s="17"/>
      <c r="AQ76" s="105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17"/>
      <c r="BL76" s="17"/>
      <c r="BM76" s="17"/>
      <c r="BO76" s="106"/>
      <c r="BP76" s="106"/>
      <c r="BQ76" s="217"/>
      <c r="BR76" s="197"/>
      <c r="BS76" s="197"/>
      <c r="BT76" s="218"/>
      <c r="BU76" s="198"/>
      <c r="BV76" s="198"/>
      <c r="BW76" s="107"/>
    </row>
    <row r="77" spans="1:119" s="6" customFormat="1" x14ac:dyDescent="0.25">
      <c r="A77" s="184"/>
      <c r="B77" s="183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17"/>
      <c r="U77" s="17"/>
      <c r="V77" s="17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48"/>
      <c r="AM77" s="17"/>
      <c r="AN77" s="17"/>
      <c r="AO77" s="17"/>
      <c r="AQ77" s="105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17"/>
      <c r="BL77" s="17"/>
      <c r="BM77" s="17"/>
      <c r="BO77" s="106"/>
      <c r="BP77" s="106"/>
      <c r="BQ77" s="217"/>
      <c r="BR77" s="197"/>
      <c r="BS77" s="197"/>
      <c r="BT77" s="218"/>
      <c r="BU77" s="198"/>
      <c r="BV77" s="198"/>
      <c r="BW77" s="107"/>
    </row>
    <row r="78" spans="1:119" s="6" customFormat="1" x14ac:dyDescent="0.25">
      <c r="A78" s="184"/>
      <c r="B78" s="183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17"/>
      <c r="U78" s="17"/>
      <c r="V78" s="17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48"/>
      <c r="AM78" s="17"/>
      <c r="AN78" s="17"/>
      <c r="AO78" s="17"/>
      <c r="AQ78" s="105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17"/>
      <c r="BL78" s="17"/>
      <c r="BM78" s="17"/>
      <c r="BO78" s="106"/>
      <c r="BP78" s="106"/>
      <c r="BQ78" s="217"/>
      <c r="BR78" s="197"/>
      <c r="BS78" s="197"/>
      <c r="BT78" s="218"/>
      <c r="BU78" s="198"/>
      <c r="BV78" s="198"/>
      <c r="BW78" s="107"/>
    </row>
    <row r="79" spans="1:119" s="6" customFormat="1" x14ac:dyDescent="0.25">
      <c r="A79" s="184"/>
      <c r="B79" s="183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17"/>
      <c r="U79" s="17"/>
      <c r="V79" s="17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48"/>
      <c r="AM79" s="17"/>
      <c r="AN79" s="17"/>
      <c r="AO79" s="17"/>
      <c r="AQ79" s="105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17"/>
      <c r="BL79" s="17"/>
      <c r="BM79" s="17"/>
      <c r="BO79" s="106"/>
      <c r="BP79" s="106"/>
      <c r="BQ79" s="217"/>
      <c r="BR79" s="197"/>
      <c r="BS79" s="197"/>
      <c r="BT79" s="218"/>
      <c r="BU79" s="198"/>
      <c r="BV79" s="198"/>
      <c r="BW79" s="107"/>
    </row>
    <row r="80" spans="1:119" s="6" customFormat="1" x14ac:dyDescent="0.25">
      <c r="A80" s="184"/>
      <c r="B80" s="183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17"/>
      <c r="U80" s="17"/>
      <c r="V80" s="17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48"/>
      <c r="AM80" s="17"/>
      <c r="AN80" s="17"/>
      <c r="AO80" s="17"/>
      <c r="AQ80" s="105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17"/>
      <c r="BL80" s="17"/>
      <c r="BM80" s="17"/>
      <c r="BO80" s="106"/>
      <c r="BP80" s="106"/>
      <c r="BQ80" s="217"/>
      <c r="BR80" s="197"/>
      <c r="BS80" s="197"/>
      <c r="BT80" s="218"/>
      <c r="BU80" s="198"/>
      <c r="BV80" s="198"/>
      <c r="BW80" s="107"/>
    </row>
    <row r="81" spans="1:75" s="6" customFormat="1" x14ac:dyDescent="0.25">
      <c r="A81" s="184"/>
      <c r="B81" s="183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17"/>
      <c r="U81" s="17"/>
      <c r="V81" s="17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48"/>
      <c r="AM81" s="17"/>
      <c r="AN81" s="17"/>
      <c r="AO81" s="17"/>
      <c r="AQ81" s="105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17"/>
      <c r="BL81" s="17"/>
      <c r="BM81" s="17"/>
      <c r="BO81" s="106"/>
      <c r="BP81" s="106"/>
      <c r="BQ81" s="217"/>
      <c r="BR81" s="197"/>
      <c r="BS81" s="197"/>
      <c r="BT81" s="218"/>
      <c r="BU81" s="198"/>
      <c r="BV81" s="198"/>
      <c r="BW81" s="107"/>
    </row>
    <row r="82" spans="1:75" s="6" customFormat="1" x14ac:dyDescent="0.25">
      <c r="A82" s="184"/>
      <c r="B82" s="183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17"/>
      <c r="U82" s="17"/>
      <c r="V82" s="17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48"/>
      <c r="AM82" s="17"/>
      <c r="AN82" s="17"/>
      <c r="AO82" s="17"/>
      <c r="AQ82" s="105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17"/>
      <c r="BL82" s="17"/>
      <c r="BM82" s="17"/>
      <c r="BO82" s="106"/>
      <c r="BP82" s="106"/>
      <c r="BQ82" s="217"/>
      <c r="BR82" s="197"/>
      <c r="BS82" s="197"/>
      <c r="BT82" s="218"/>
      <c r="BU82" s="198"/>
      <c r="BV82" s="198"/>
      <c r="BW82" s="107"/>
    </row>
    <row r="83" spans="1:75" s="6" customFormat="1" x14ac:dyDescent="0.25">
      <c r="A83" s="184"/>
      <c r="B83" s="183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17"/>
      <c r="U83" s="17"/>
      <c r="V83" s="17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48"/>
      <c r="AM83" s="17"/>
      <c r="AN83" s="17"/>
      <c r="AO83" s="17"/>
      <c r="AQ83" s="105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17"/>
      <c r="BL83" s="17"/>
      <c r="BM83" s="17"/>
      <c r="BO83" s="106"/>
      <c r="BP83" s="106"/>
      <c r="BQ83" s="217"/>
      <c r="BR83" s="197"/>
      <c r="BS83" s="197"/>
      <c r="BT83" s="218"/>
      <c r="BU83" s="198"/>
      <c r="BV83" s="198"/>
      <c r="BW83" s="107"/>
    </row>
    <row r="84" spans="1:75" s="6" customFormat="1" ht="16.5" customHeight="1" x14ac:dyDescent="0.25">
      <c r="A84" s="184"/>
      <c r="B84" s="183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17"/>
      <c r="U84" s="17"/>
      <c r="V84" s="17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48"/>
      <c r="AM84" s="17"/>
      <c r="AN84" s="17"/>
      <c r="AO84" s="17"/>
      <c r="AQ84" s="105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17"/>
      <c r="BL84" s="17"/>
      <c r="BM84" s="17"/>
      <c r="BO84" s="106"/>
      <c r="BP84" s="106"/>
      <c r="BQ84" s="217"/>
      <c r="BR84" s="197"/>
      <c r="BS84" s="197"/>
      <c r="BT84" s="218"/>
      <c r="BU84" s="198"/>
      <c r="BV84" s="198"/>
      <c r="BW84" s="107"/>
    </row>
    <row r="85" spans="1:75" s="6" customFormat="1" x14ac:dyDescent="0.25">
      <c r="A85" s="184"/>
      <c r="B85" s="183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17"/>
      <c r="U85" s="17"/>
      <c r="V85" s="17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48"/>
      <c r="AM85" s="17"/>
      <c r="AN85" s="17"/>
      <c r="AO85" s="17"/>
      <c r="AQ85" s="105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17"/>
      <c r="BL85" s="17"/>
      <c r="BM85" s="17"/>
      <c r="BO85" s="106"/>
      <c r="BP85" s="106"/>
      <c r="BQ85" s="217"/>
      <c r="BR85" s="197"/>
      <c r="BS85" s="197"/>
      <c r="BT85" s="218"/>
      <c r="BU85" s="198"/>
      <c r="BV85" s="198"/>
      <c r="BW85" s="107"/>
    </row>
    <row r="86" spans="1:75" s="6" customFormat="1" x14ac:dyDescent="0.25">
      <c r="A86" s="184"/>
      <c r="B86" s="183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17"/>
      <c r="U86" s="17"/>
      <c r="V86" s="17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48"/>
      <c r="AM86" s="17"/>
      <c r="AN86" s="17"/>
      <c r="AO86" s="17"/>
      <c r="AQ86" s="105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17"/>
      <c r="BL86" s="17"/>
      <c r="BM86" s="17"/>
      <c r="BO86" s="106"/>
      <c r="BP86" s="106"/>
      <c r="BQ86" s="217"/>
      <c r="BR86" s="197"/>
      <c r="BS86" s="197"/>
      <c r="BT86" s="218"/>
      <c r="BU86" s="198"/>
      <c r="BV86" s="198"/>
      <c r="BW86" s="107"/>
    </row>
  </sheetData>
  <mergeCells count="25">
    <mergeCell ref="B69:B71"/>
    <mergeCell ref="B72:B74"/>
    <mergeCell ref="B75:B77"/>
    <mergeCell ref="A78:A86"/>
    <mergeCell ref="B78:B80"/>
    <mergeCell ref="B81:B83"/>
    <mergeCell ref="B84:B86"/>
    <mergeCell ref="A69:A77"/>
    <mergeCell ref="A45:A56"/>
    <mergeCell ref="A57:A58"/>
    <mergeCell ref="A59:A61"/>
    <mergeCell ref="A62:A64"/>
    <mergeCell ref="A65:A67"/>
    <mergeCell ref="A39:A44"/>
    <mergeCell ref="E1:V1"/>
    <mergeCell ref="X1:AO1"/>
    <mergeCell ref="A25:A27"/>
    <mergeCell ref="A37:A38"/>
    <mergeCell ref="BO1:BW1"/>
    <mergeCell ref="AQ1:BJ1"/>
    <mergeCell ref="A13:A18"/>
    <mergeCell ref="B13:B17"/>
    <mergeCell ref="A19:A22"/>
    <mergeCell ref="A5:A12"/>
    <mergeCell ref="B6:B10"/>
  </mergeCells>
  <conditionalFormatting sqref="C19:BN24 BX19:XFD24">
    <cfRule type="cellIs" dxfId="4" priority="4" operator="greaterThan">
      <formula>1</formula>
    </cfRule>
  </conditionalFormatting>
  <conditionalFormatting sqref="D13:BM18">
    <cfRule type="cellIs" dxfId="3" priority="3" operator="lessThan">
      <formula>0.75</formula>
    </cfRule>
  </conditionalFormatting>
  <conditionalFormatting sqref="D1">
    <cfRule type="cellIs" dxfId="2" priority="2" operator="equal">
      <formula>1</formula>
    </cfRule>
  </conditionalFormatting>
  <conditionalFormatting sqref="BO19:BW24">
    <cfRule type="cellIs" dxfId="0" priority="1" operator="greaterThan">
      <formula>1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C4FB-45C1-4FCA-843C-869251880A83}">
  <dimension ref="A1:R27"/>
  <sheetViews>
    <sheetView zoomScale="80" zoomScaleNormal="80" workbookViewId="0">
      <selection activeCell="A27" sqref="A27"/>
    </sheetView>
  </sheetViews>
  <sheetFormatPr defaultRowHeight="15" x14ac:dyDescent="0.25"/>
  <cols>
    <col min="1" max="1" width="11.5703125" bestFit="1" customWidth="1"/>
    <col min="2" max="2" width="14.5703125" bestFit="1" customWidth="1"/>
    <col min="3" max="3" width="13.5703125" bestFit="1" customWidth="1"/>
    <col min="4" max="4" width="41.28515625" bestFit="1" customWidth="1"/>
    <col min="5" max="5" width="9.140625" style="150"/>
    <col min="6" max="6" width="10.5703125" style="150" bestFit="1" customWidth="1"/>
    <col min="7" max="7" width="10.42578125" style="150" bestFit="1" customWidth="1"/>
    <col min="8" max="8" width="11.28515625" style="150" bestFit="1" customWidth="1"/>
    <col min="9" max="9" width="10.28515625" style="150" bestFit="1" customWidth="1"/>
    <col min="10" max="10" width="11.140625" style="150" bestFit="1" customWidth="1"/>
    <col min="11" max="11" width="11.140625" style="150" customWidth="1"/>
    <col min="12" max="12" width="11.140625" style="151" customWidth="1"/>
    <col min="13" max="13" width="11.28515625" style="150" bestFit="1" customWidth="1"/>
    <col min="14" max="18" width="9.140625" style="150"/>
  </cols>
  <sheetData>
    <row r="1" spans="1:18" x14ac:dyDescent="0.25">
      <c r="A1" s="152"/>
      <c r="B1" s="152"/>
      <c r="C1" s="152"/>
      <c r="D1" s="152"/>
      <c r="E1" s="185" t="s">
        <v>73</v>
      </c>
      <c r="F1" s="185"/>
      <c r="G1" s="185"/>
      <c r="H1" s="185"/>
      <c r="I1" s="185"/>
      <c r="J1" s="185"/>
      <c r="K1" s="185"/>
      <c r="L1" s="185" t="s">
        <v>74</v>
      </c>
      <c r="M1" s="185"/>
      <c r="N1" s="185"/>
      <c r="O1" s="185"/>
      <c r="P1" s="185"/>
      <c r="Q1" s="185"/>
      <c r="R1" s="185"/>
    </row>
    <row r="2" spans="1:18" x14ac:dyDescent="0.25">
      <c r="A2" s="152" t="s">
        <v>80</v>
      </c>
      <c r="B2" s="152" t="s">
        <v>79</v>
      </c>
      <c r="C2" s="152" t="s">
        <v>75</v>
      </c>
      <c r="D2" s="153" t="s">
        <v>78</v>
      </c>
      <c r="E2" s="154">
        <v>-510</v>
      </c>
      <c r="F2" s="155">
        <v>0</v>
      </c>
      <c r="G2" s="155">
        <v>170</v>
      </c>
      <c r="H2" s="155">
        <v>370</v>
      </c>
      <c r="I2" s="155">
        <v>570</v>
      </c>
      <c r="J2" s="155">
        <v>700</v>
      </c>
      <c r="K2" s="155">
        <v>820</v>
      </c>
      <c r="L2" s="154">
        <v>-510</v>
      </c>
      <c r="M2" s="155">
        <v>0</v>
      </c>
      <c r="N2" s="155">
        <v>170</v>
      </c>
      <c r="O2" s="155">
        <v>370</v>
      </c>
      <c r="P2" s="155">
        <v>570</v>
      </c>
      <c r="Q2" s="155">
        <v>700</v>
      </c>
      <c r="R2" s="155">
        <v>820</v>
      </c>
    </row>
    <row r="3" spans="1:18" x14ac:dyDescent="0.25">
      <c r="A3" s="152" t="s">
        <v>82</v>
      </c>
      <c r="B3" s="152" t="s">
        <v>76</v>
      </c>
      <c r="C3" s="152">
        <v>0.01</v>
      </c>
      <c r="D3" s="152"/>
      <c r="E3" s="156">
        <v>215.6</v>
      </c>
      <c r="F3" s="157">
        <v>200.9</v>
      </c>
      <c r="G3" s="157">
        <v>163.30000000000001</v>
      </c>
      <c r="H3" s="157">
        <v>133.19999999999999</v>
      </c>
      <c r="I3" s="157">
        <v>95.1</v>
      </c>
      <c r="J3" s="157">
        <v>78.8</v>
      </c>
      <c r="K3" s="157">
        <v>62.5</v>
      </c>
      <c r="L3" s="157">
        <v>209.5</v>
      </c>
      <c r="M3" s="157">
        <v>193.3</v>
      </c>
      <c r="N3" s="157">
        <v>157.4</v>
      </c>
      <c r="O3" s="157">
        <v>127.30000000000001</v>
      </c>
      <c r="P3" s="157">
        <v>95.1</v>
      </c>
      <c r="Q3" s="157">
        <v>76.099999999999994</v>
      </c>
      <c r="R3" s="157">
        <v>60.2</v>
      </c>
    </row>
    <row r="4" spans="1:18" x14ac:dyDescent="0.25">
      <c r="A4" s="152" t="s">
        <v>82</v>
      </c>
      <c r="B4" s="152" t="s">
        <v>77</v>
      </c>
      <c r="C4" s="152">
        <v>0.01</v>
      </c>
      <c r="D4" s="152"/>
      <c r="E4" s="156">
        <v>4.2</v>
      </c>
      <c r="F4" s="157">
        <v>145.19999999999999</v>
      </c>
      <c r="G4" s="157">
        <v>124.2</v>
      </c>
      <c r="H4" s="157">
        <v>97.3</v>
      </c>
      <c r="I4" s="157">
        <v>66.2</v>
      </c>
      <c r="J4" s="157">
        <v>51.6</v>
      </c>
      <c r="K4" s="157">
        <v>35.4</v>
      </c>
      <c r="L4" s="157">
        <v>1.8999999999999986</v>
      </c>
      <c r="M4" s="157">
        <v>146.6</v>
      </c>
      <c r="N4" s="157">
        <v>124</v>
      </c>
      <c r="O4" s="157">
        <v>96.2</v>
      </c>
      <c r="P4" s="157">
        <v>68.400000000000006</v>
      </c>
      <c r="Q4" s="157">
        <v>49.099999999999994</v>
      </c>
      <c r="R4" s="157">
        <v>35.200000000000003</v>
      </c>
    </row>
    <row r="5" spans="1:18" x14ac:dyDescent="0.25">
      <c r="A5" s="152" t="s">
        <v>82</v>
      </c>
      <c r="B5" s="152" t="s">
        <v>76</v>
      </c>
      <c r="C5" s="152">
        <v>0.04</v>
      </c>
      <c r="D5" s="152"/>
      <c r="E5" s="156">
        <v>262.3</v>
      </c>
      <c r="F5" s="157">
        <v>241.2</v>
      </c>
      <c r="G5" s="157">
        <v>201.4</v>
      </c>
      <c r="H5" s="157">
        <v>159.69999999999999</v>
      </c>
      <c r="I5" s="157">
        <v>123.1</v>
      </c>
      <c r="J5" s="157">
        <v>108.7</v>
      </c>
      <c r="K5" s="157">
        <v>88.7</v>
      </c>
      <c r="L5" s="157">
        <v>261.39999999999998</v>
      </c>
      <c r="M5" s="157">
        <v>237.1</v>
      </c>
      <c r="N5" s="157">
        <v>201.1</v>
      </c>
      <c r="O5" s="157">
        <v>156.9</v>
      </c>
      <c r="P5" s="157">
        <v>127</v>
      </c>
      <c r="Q5" s="157">
        <v>101.7</v>
      </c>
      <c r="R5" s="157">
        <v>86.4</v>
      </c>
    </row>
    <row r="6" spans="1:18" x14ac:dyDescent="0.25">
      <c r="A6" s="152" t="s">
        <v>82</v>
      </c>
      <c r="B6" s="152" t="s">
        <v>77</v>
      </c>
      <c r="C6" s="152">
        <v>0.04</v>
      </c>
      <c r="D6" s="152"/>
      <c r="E6" s="156">
        <v>5.9</v>
      </c>
      <c r="F6" s="157">
        <v>147.19999999999999</v>
      </c>
      <c r="G6" s="157">
        <v>122.6</v>
      </c>
      <c r="H6" s="157">
        <v>94.8</v>
      </c>
      <c r="I6" s="157">
        <v>67.8</v>
      </c>
      <c r="J6" s="157">
        <v>54.5</v>
      </c>
      <c r="K6" s="157">
        <v>35.200000000000003</v>
      </c>
      <c r="L6" s="157">
        <v>2.6000000000000014</v>
      </c>
      <c r="M6" s="157">
        <v>146.69999999999999</v>
      </c>
      <c r="N6" s="157">
        <v>125</v>
      </c>
      <c r="O6" s="157">
        <v>95.2</v>
      </c>
      <c r="P6" s="157">
        <v>68.099999999999994</v>
      </c>
      <c r="Q6" s="157">
        <v>49.3</v>
      </c>
      <c r="R6" s="157">
        <v>36.1</v>
      </c>
    </row>
    <row r="7" spans="1:18" x14ac:dyDescent="0.25">
      <c r="A7" s="152" t="s">
        <v>82</v>
      </c>
      <c r="B7" s="152" t="s">
        <v>76</v>
      </c>
      <c r="C7" s="152">
        <v>0.1</v>
      </c>
      <c r="D7" s="152"/>
      <c r="E7" s="156">
        <v>288.10000000000002</v>
      </c>
      <c r="F7" s="157">
        <v>264.5</v>
      </c>
      <c r="G7" s="157">
        <v>225.1</v>
      </c>
      <c r="H7" s="157">
        <v>185.2</v>
      </c>
      <c r="I7" s="157">
        <v>141.69999999999999</v>
      </c>
      <c r="J7" s="157">
        <v>122.5</v>
      </c>
      <c r="K7" s="157">
        <v>120.1</v>
      </c>
      <c r="L7" s="157">
        <v>289.39999999999998</v>
      </c>
      <c r="M7" s="157">
        <v>259.39999999999998</v>
      </c>
      <c r="N7" s="157">
        <v>223.1</v>
      </c>
      <c r="O7" s="157">
        <v>172.5</v>
      </c>
      <c r="P7" s="157">
        <v>142.5</v>
      </c>
      <c r="Q7" s="157">
        <v>120.30000000000001</v>
      </c>
      <c r="R7" s="157">
        <v>101.7</v>
      </c>
    </row>
    <row r="8" spans="1:18" x14ac:dyDescent="0.25">
      <c r="A8" s="152" t="s">
        <v>82</v>
      </c>
      <c r="B8" s="152" t="s">
        <v>77</v>
      </c>
      <c r="C8" s="152">
        <v>0.1</v>
      </c>
      <c r="D8" s="152"/>
      <c r="E8" s="156">
        <v>4.4000000000000004</v>
      </c>
      <c r="F8" s="157">
        <v>144.9</v>
      </c>
      <c r="G8" s="157">
        <v>120.9</v>
      </c>
      <c r="H8" s="157">
        <v>95.7</v>
      </c>
      <c r="I8" s="157">
        <v>68</v>
      </c>
      <c r="J8" s="157">
        <v>50.2</v>
      </c>
      <c r="K8" s="157">
        <v>36.299999999999997</v>
      </c>
      <c r="L8" s="157">
        <v>2.3000000000000007</v>
      </c>
      <c r="M8" s="157">
        <v>145.30000000000001</v>
      </c>
      <c r="N8" s="157">
        <v>123.1</v>
      </c>
      <c r="O8" s="157">
        <v>93.7</v>
      </c>
      <c r="P8" s="157">
        <v>69.599999999999994</v>
      </c>
      <c r="Q8" s="157">
        <v>50.599999999999994</v>
      </c>
      <c r="R8" s="157">
        <v>36</v>
      </c>
    </row>
    <row r="9" spans="1:18" x14ac:dyDescent="0.25">
      <c r="A9" s="152" t="s">
        <v>83</v>
      </c>
      <c r="B9" s="152" t="s">
        <v>76</v>
      </c>
      <c r="C9" s="152">
        <v>0.01</v>
      </c>
      <c r="D9" s="152"/>
      <c r="E9" s="156">
        <v>218.2</v>
      </c>
      <c r="F9" s="157">
        <v>203</v>
      </c>
      <c r="G9" s="157">
        <v>171.5</v>
      </c>
      <c r="H9" s="157">
        <v>146.69999999999999</v>
      </c>
      <c r="I9" s="157">
        <v>109.7</v>
      </c>
      <c r="J9" s="157">
        <v>102.7</v>
      </c>
      <c r="K9" s="157">
        <v>81.3</v>
      </c>
      <c r="L9" s="157">
        <v>209.7</v>
      </c>
      <c r="M9" s="157">
        <v>194.3</v>
      </c>
      <c r="N9" s="157">
        <v>177.2</v>
      </c>
      <c r="O9" s="157">
        <v>145.80000000000001</v>
      </c>
      <c r="P9" s="157">
        <v>111.1</v>
      </c>
      <c r="Q9" s="157">
        <v>93.4</v>
      </c>
      <c r="R9" s="157">
        <v>76.5</v>
      </c>
    </row>
    <row r="10" spans="1:18" x14ac:dyDescent="0.25">
      <c r="A10" s="152" t="s">
        <v>83</v>
      </c>
      <c r="B10" s="152" t="s">
        <v>77</v>
      </c>
      <c r="C10" s="152">
        <v>0.01</v>
      </c>
      <c r="D10" s="152"/>
      <c r="E10" s="156">
        <v>4.2</v>
      </c>
      <c r="F10" s="157">
        <v>146.19999999999999</v>
      </c>
      <c r="G10" s="157">
        <v>130.30000000000001</v>
      </c>
      <c r="H10" s="157">
        <v>101.6</v>
      </c>
      <c r="I10" s="157">
        <v>74.5</v>
      </c>
      <c r="J10" s="157">
        <v>60</v>
      </c>
      <c r="K10" s="157">
        <v>48.8</v>
      </c>
      <c r="L10" s="157">
        <v>4.8000000000000007</v>
      </c>
      <c r="M10" s="157">
        <v>146.6</v>
      </c>
      <c r="N10" s="157">
        <v>135.6</v>
      </c>
      <c r="O10" s="157">
        <v>108</v>
      </c>
      <c r="P10" s="157">
        <v>79</v>
      </c>
      <c r="Q10" s="157">
        <v>60.7</v>
      </c>
      <c r="R10" s="157">
        <v>47.7</v>
      </c>
    </row>
    <row r="11" spans="1:18" x14ac:dyDescent="0.25">
      <c r="A11" s="152" t="s">
        <v>83</v>
      </c>
      <c r="B11" s="152" t="s">
        <v>76</v>
      </c>
      <c r="C11" s="152">
        <v>0.04</v>
      </c>
      <c r="D11" s="152"/>
      <c r="E11" s="156">
        <v>265.8</v>
      </c>
      <c r="F11" s="157">
        <v>244.5</v>
      </c>
      <c r="G11" s="157">
        <v>212.5</v>
      </c>
      <c r="H11" s="157">
        <v>187.8</v>
      </c>
      <c r="I11" s="157">
        <v>152.4</v>
      </c>
      <c r="J11" s="157">
        <v>133.5</v>
      </c>
      <c r="K11" s="157">
        <v>118.8</v>
      </c>
      <c r="L11" s="157">
        <v>263.10000000000002</v>
      </c>
      <c r="M11" s="157">
        <v>244.89999999999998</v>
      </c>
      <c r="N11" s="157">
        <v>214.4</v>
      </c>
      <c r="O11" s="157">
        <v>179.3</v>
      </c>
      <c r="P11" s="157">
        <v>151.4</v>
      </c>
      <c r="Q11" s="157">
        <v>132.69999999999999</v>
      </c>
      <c r="R11" s="157">
        <v>112.6</v>
      </c>
    </row>
    <row r="12" spans="1:18" x14ac:dyDescent="0.25">
      <c r="A12" s="152" t="s">
        <v>83</v>
      </c>
      <c r="B12" s="152" t="s">
        <v>77</v>
      </c>
      <c r="C12" s="152">
        <v>0.04</v>
      </c>
      <c r="D12" s="152"/>
      <c r="E12" s="156">
        <v>4.0999999999999996</v>
      </c>
      <c r="F12" s="157">
        <v>144.1</v>
      </c>
      <c r="G12" s="157">
        <v>132.9</v>
      </c>
      <c r="H12" s="157">
        <v>107.2</v>
      </c>
      <c r="I12" s="157">
        <v>78.599999999999994</v>
      </c>
      <c r="J12" s="157">
        <v>62.1</v>
      </c>
      <c r="K12" s="157">
        <v>49.9</v>
      </c>
      <c r="L12" s="157">
        <v>3.6999999999999993</v>
      </c>
      <c r="M12" s="157">
        <v>147.5</v>
      </c>
      <c r="N12" s="157">
        <v>135.5</v>
      </c>
      <c r="O12" s="157">
        <v>107</v>
      </c>
      <c r="P12" s="157">
        <v>79.400000000000006</v>
      </c>
      <c r="Q12" s="157">
        <v>61.400000000000006</v>
      </c>
      <c r="R12" s="157">
        <v>46.599999999999994</v>
      </c>
    </row>
    <row r="13" spans="1:18" x14ac:dyDescent="0.25">
      <c r="A13" s="152" t="s">
        <v>83</v>
      </c>
      <c r="B13" s="152" t="s">
        <v>76</v>
      </c>
      <c r="C13" s="152">
        <v>0.1</v>
      </c>
      <c r="D13" s="152"/>
      <c r="E13" s="156">
        <v>296.39999999999998</v>
      </c>
      <c r="F13" s="157">
        <v>270.39999999999998</v>
      </c>
      <c r="G13" s="157">
        <v>240.9</v>
      </c>
      <c r="H13" s="157">
        <v>210.1</v>
      </c>
      <c r="I13" s="157">
        <v>176.4</v>
      </c>
      <c r="J13" s="157">
        <v>153.1</v>
      </c>
      <c r="K13" s="157">
        <v>144.69999999999999</v>
      </c>
      <c r="L13" s="157">
        <v>293.89999999999998</v>
      </c>
      <c r="M13" s="157">
        <v>270.10000000000002</v>
      </c>
      <c r="N13" s="157">
        <v>238.5</v>
      </c>
      <c r="O13" s="157">
        <v>206.1</v>
      </c>
      <c r="P13" s="157">
        <v>177.2</v>
      </c>
      <c r="Q13" s="157">
        <v>152.30000000000001</v>
      </c>
      <c r="R13" s="157">
        <v>134.9</v>
      </c>
    </row>
    <row r="14" spans="1:18" x14ac:dyDescent="0.25">
      <c r="A14" s="152" t="s">
        <v>83</v>
      </c>
      <c r="B14" s="152" t="s">
        <v>77</v>
      </c>
      <c r="C14" s="152">
        <v>0.1</v>
      </c>
      <c r="D14" s="152"/>
      <c r="E14" s="156">
        <v>4.0999999999999996</v>
      </c>
      <c r="F14" s="157">
        <v>145</v>
      </c>
      <c r="G14" s="157">
        <v>131.6</v>
      </c>
      <c r="H14" s="157">
        <v>105.9</v>
      </c>
      <c r="I14" s="157">
        <v>78.900000000000006</v>
      </c>
      <c r="J14" s="157">
        <v>63.2</v>
      </c>
      <c r="K14" s="157">
        <v>49</v>
      </c>
      <c r="L14" s="157">
        <v>3.1999999999999993</v>
      </c>
      <c r="M14" s="157">
        <v>148</v>
      </c>
      <c r="N14" s="157">
        <v>136.80000000000001</v>
      </c>
      <c r="O14" s="157">
        <v>107.2</v>
      </c>
      <c r="P14" s="157">
        <v>78.7</v>
      </c>
      <c r="Q14" s="157">
        <v>60.900000000000006</v>
      </c>
      <c r="R14" s="157">
        <v>47</v>
      </c>
    </row>
    <row r="15" spans="1:18" x14ac:dyDescent="0.25">
      <c r="A15" s="152" t="s">
        <v>84</v>
      </c>
      <c r="B15" s="152" t="s">
        <v>76</v>
      </c>
      <c r="C15" s="152">
        <v>0.01</v>
      </c>
      <c r="D15" s="152"/>
      <c r="E15" s="158">
        <v>228.2</v>
      </c>
      <c r="F15" s="158">
        <v>201.5</v>
      </c>
      <c r="G15" s="158">
        <v>189.6</v>
      </c>
      <c r="H15" s="158">
        <v>147.6</v>
      </c>
      <c r="I15" s="158">
        <v>126.2</v>
      </c>
      <c r="J15" s="158">
        <v>110.4</v>
      </c>
      <c r="K15" s="158">
        <v>105.4</v>
      </c>
      <c r="L15" s="157">
        <v>212.2</v>
      </c>
      <c r="M15" s="157">
        <v>201.2</v>
      </c>
      <c r="N15" s="157">
        <v>178.4</v>
      </c>
      <c r="O15" s="157">
        <v>160.19999999999999</v>
      </c>
      <c r="P15" s="157">
        <v>133.80000000000001</v>
      </c>
      <c r="Q15" s="157">
        <v>108.5</v>
      </c>
      <c r="R15" s="157">
        <v>85.4</v>
      </c>
    </row>
    <row r="16" spans="1:18" x14ac:dyDescent="0.25">
      <c r="A16" s="152" t="s">
        <v>84</v>
      </c>
      <c r="B16" s="152" t="s">
        <v>77</v>
      </c>
      <c r="C16" s="152">
        <v>0.01</v>
      </c>
      <c r="D16" s="152"/>
      <c r="E16" s="158">
        <v>7.3</v>
      </c>
      <c r="F16" s="158">
        <v>147.30000000000001</v>
      </c>
      <c r="G16" s="158">
        <v>133.9</v>
      </c>
      <c r="H16" s="158">
        <v>99.7</v>
      </c>
      <c r="I16" s="158">
        <v>82.1</v>
      </c>
      <c r="J16" s="158">
        <v>64.3</v>
      </c>
      <c r="K16" s="158">
        <v>51.1</v>
      </c>
      <c r="L16" s="157">
        <v>2</v>
      </c>
      <c r="M16" s="157">
        <v>144.80000000000001</v>
      </c>
      <c r="N16" s="157">
        <v>122.30000000000001</v>
      </c>
      <c r="O16" s="157">
        <v>106.2</v>
      </c>
      <c r="P16" s="157">
        <v>79.7</v>
      </c>
      <c r="Q16" s="157">
        <v>61.099999999999994</v>
      </c>
      <c r="R16" s="157">
        <v>47.2</v>
      </c>
    </row>
    <row r="17" spans="1:18" x14ac:dyDescent="0.25">
      <c r="A17" s="152" t="s">
        <v>84</v>
      </c>
      <c r="B17" s="152" t="s">
        <v>76</v>
      </c>
      <c r="C17" s="152">
        <v>0.04</v>
      </c>
      <c r="D17" s="152"/>
      <c r="E17" s="158">
        <v>265.3</v>
      </c>
      <c r="F17" s="158">
        <v>241.9</v>
      </c>
      <c r="G17" s="158">
        <v>219.4</v>
      </c>
      <c r="H17" s="158">
        <v>210.4</v>
      </c>
      <c r="I17" s="158">
        <v>171.6</v>
      </c>
      <c r="J17" s="158">
        <v>155.6</v>
      </c>
      <c r="K17" s="158">
        <v>146.19999999999999</v>
      </c>
      <c r="L17" s="157">
        <v>261.60000000000002</v>
      </c>
      <c r="M17" s="157">
        <v>242.7</v>
      </c>
      <c r="N17" s="157">
        <v>216.3</v>
      </c>
      <c r="O17" s="157">
        <v>215.5</v>
      </c>
      <c r="P17" s="157">
        <v>178.2</v>
      </c>
      <c r="Q17" s="157">
        <v>148.69999999999999</v>
      </c>
      <c r="R17" s="157">
        <v>136.19999999999999</v>
      </c>
    </row>
    <row r="18" spans="1:18" x14ac:dyDescent="0.25">
      <c r="A18" s="152" t="s">
        <v>84</v>
      </c>
      <c r="B18" s="152" t="s">
        <v>77</v>
      </c>
      <c r="C18" s="152">
        <v>0.04</v>
      </c>
      <c r="D18" s="152"/>
      <c r="E18" s="158">
        <v>5.0999999999999996</v>
      </c>
      <c r="F18" s="158">
        <v>142.5</v>
      </c>
      <c r="G18" s="158">
        <v>135.30000000000001</v>
      </c>
      <c r="H18" s="158">
        <v>105.7</v>
      </c>
      <c r="I18" s="158">
        <v>81.599999999999994</v>
      </c>
      <c r="J18" s="158">
        <v>62.8</v>
      </c>
      <c r="K18" s="158">
        <v>49</v>
      </c>
      <c r="L18" s="157">
        <v>2.1000000000000014</v>
      </c>
      <c r="M18" s="157">
        <v>145.30000000000001</v>
      </c>
      <c r="N18" s="157">
        <v>124.19999999999999</v>
      </c>
      <c r="O18" s="157">
        <v>107</v>
      </c>
      <c r="P18" s="157">
        <v>77.599999999999994</v>
      </c>
      <c r="Q18" s="157">
        <v>60.8</v>
      </c>
      <c r="R18" s="157">
        <v>47.3</v>
      </c>
    </row>
    <row r="19" spans="1:18" x14ac:dyDescent="0.25">
      <c r="A19" s="152" t="s">
        <v>84</v>
      </c>
      <c r="B19" s="152" t="s">
        <v>76</v>
      </c>
      <c r="C19" s="152">
        <v>0.1</v>
      </c>
      <c r="D19" s="152"/>
      <c r="E19" s="158">
        <v>296.7</v>
      </c>
      <c r="F19" s="158">
        <v>268.7</v>
      </c>
      <c r="G19" s="158">
        <v>243.2</v>
      </c>
      <c r="H19" s="158">
        <v>235.7</v>
      </c>
      <c r="I19" s="158">
        <v>194.1</v>
      </c>
      <c r="J19" s="158">
        <v>171.7</v>
      </c>
      <c r="K19" s="158">
        <v>163.80000000000001</v>
      </c>
      <c r="L19" s="157">
        <v>293.5</v>
      </c>
      <c r="M19" s="157">
        <v>268.2</v>
      </c>
      <c r="N19" s="157">
        <v>243.10000000000002</v>
      </c>
      <c r="O19" s="157">
        <v>234.8</v>
      </c>
      <c r="P19" s="157">
        <v>205.7</v>
      </c>
      <c r="Q19" s="157">
        <v>176.3</v>
      </c>
      <c r="R19" s="157">
        <v>154</v>
      </c>
    </row>
    <row r="20" spans="1:18" x14ac:dyDescent="0.25">
      <c r="A20" s="152" t="s">
        <v>84</v>
      </c>
      <c r="B20" s="152" t="s">
        <v>77</v>
      </c>
      <c r="C20" s="152">
        <v>0.1</v>
      </c>
      <c r="D20" s="152"/>
      <c r="E20" s="158">
        <v>4.2</v>
      </c>
      <c r="F20" s="158">
        <v>142.1</v>
      </c>
      <c r="G20" s="158">
        <v>133.19999999999999</v>
      </c>
      <c r="H20" s="158">
        <v>103.2</v>
      </c>
      <c r="I20" s="158">
        <v>76.599999999999994</v>
      </c>
      <c r="J20" s="158">
        <v>58.2</v>
      </c>
      <c r="K20" s="158">
        <v>48.1</v>
      </c>
      <c r="L20" s="157">
        <v>2.1000000000000014</v>
      </c>
      <c r="M20" s="157">
        <v>144.4</v>
      </c>
      <c r="N20" s="157">
        <v>122.5</v>
      </c>
      <c r="O20" s="157">
        <v>106.2</v>
      </c>
      <c r="P20" s="157">
        <v>79.8</v>
      </c>
      <c r="Q20" s="157">
        <v>62.400000000000006</v>
      </c>
      <c r="R20" s="157">
        <v>47.5</v>
      </c>
    </row>
    <row r="21" spans="1:18" x14ac:dyDescent="0.25">
      <c r="A21" s="152" t="s">
        <v>85</v>
      </c>
      <c r="B21" s="152" t="s">
        <v>76</v>
      </c>
      <c r="C21" s="152">
        <v>0.01</v>
      </c>
      <c r="D21" s="152"/>
      <c r="E21" s="158">
        <v>217.3</v>
      </c>
      <c r="F21" s="158">
        <v>209.4</v>
      </c>
      <c r="G21" s="158">
        <v>194.1</v>
      </c>
      <c r="H21" s="158">
        <v>182.3</v>
      </c>
      <c r="I21" s="158">
        <v>161.6</v>
      </c>
      <c r="J21" s="158">
        <v>149.1</v>
      </c>
      <c r="K21" s="158">
        <v>128.30000000000001</v>
      </c>
      <c r="L21" s="157">
        <v>216.1</v>
      </c>
      <c r="M21" s="157">
        <v>202.3</v>
      </c>
      <c r="N21" s="157">
        <v>197</v>
      </c>
      <c r="O21" s="157">
        <v>190.7</v>
      </c>
      <c r="P21" s="157">
        <v>163.9</v>
      </c>
      <c r="Q21" s="157">
        <v>150.30000000000001</v>
      </c>
      <c r="R21" s="157">
        <v>128.30000000000001</v>
      </c>
    </row>
    <row r="22" spans="1:18" x14ac:dyDescent="0.25">
      <c r="A22" s="152" t="s">
        <v>85</v>
      </c>
      <c r="B22" s="152" t="s">
        <v>77</v>
      </c>
      <c r="C22" s="152">
        <v>0.01</v>
      </c>
      <c r="D22" s="152"/>
      <c r="E22" s="158">
        <v>4.2</v>
      </c>
      <c r="F22" s="158">
        <v>148.19999999999999</v>
      </c>
      <c r="G22" s="158">
        <v>130.30000000000001</v>
      </c>
      <c r="H22" s="158">
        <v>105.2</v>
      </c>
      <c r="I22" s="158">
        <v>84.9</v>
      </c>
      <c r="J22" s="158">
        <v>68.599999999999994</v>
      </c>
      <c r="K22" s="158">
        <v>48.9</v>
      </c>
      <c r="L22" s="157">
        <v>2.3000000000000007</v>
      </c>
      <c r="M22" s="157">
        <v>143.80000000000001</v>
      </c>
      <c r="N22" s="157">
        <v>123.4</v>
      </c>
      <c r="O22" s="157">
        <v>108.9</v>
      </c>
      <c r="P22" s="157">
        <v>81.2</v>
      </c>
      <c r="Q22" s="157">
        <v>63.400000000000006</v>
      </c>
      <c r="R22" s="157">
        <v>47.3</v>
      </c>
    </row>
    <row r="23" spans="1:18" x14ac:dyDescent="0.25">
      <c r="A23" s="152" t="s">
        <v>85</v>
      </c>
      <c r="B23" s="152" t="s">
        <v>76</v>
      </c>
      <c r="C23" s="152">
        <v>0.04</v>
      </c>
      <c r="D23" s="152"/>
      <c r="E23" s="158">
        <v>269.8</v>
      </c>
      <c r="F23" s="158">
        <v>249</v>
      </c>
      <c r="G23" s="158">
        <v>251.4</v>
      </c>
      <c r="H23" s="158">
        <v>226.7</v>
      </c>
      <c r="I23" s="158">
        <v>216.4</v>
      </c>
      <c r="J23" s="158">
        <v>200.3</v>
      </c>
      <c r="K23" s="158">
        <v>176.1</v>
      </c>
      <c r="L23" s="157">
        <v>267.60000000000002</v>
      </c>
      <c r="M23" s="157">
        <v>252.2</v>
      </c>
      <c r="N23" s="157">
        <v>251.8</v>
      </c>
      <c r="O23" s="157">
        <v>225.2</v>
      </c>
      <c r="P23" s="157">
        <v>206</v>
      </c>
      <c r="Q23" s="157">
        <v>189.1</v>
      </c>
      <c r="R23" s="157">
        <v>173.1</v>
      </c>
    </row>
    <row r="24" spans="1:18" x14ac:dyDescent="0.25">
      <c r="A24" s="152" t="s">
        <v>85</v>
      </c>
      <c r="B24" s="152" t="s">
        <v>77</v>
      </c>
      <c r="C24" s="152">
        <v>0.04</v>
      </c>
      <c r="D24" s="152"/>
      <c r="E24" s="158">
        <v>4.4000000000000004</v>
      </c>
      <c r="F24" s="158">
        <v>144.1</v>
      </c>
      <c r="G24" s="158">
        <v>130.9</v>
      </c>
      <c r="H24" s="158">
        <v>107.2</v>
      </c>
      <c r="I24" s="158">
        <v>87.6</v>
      </c>
      <c r="J24" s="158">
        <v>70</v>
      </c>
      <c r="K24" s="158">
        <v>50.8</v>
      </c>
      <c r="L24" s="157">
        <v>2.1999999999999993</v>
      </c>
      <c r="M24" s="157">
        <v>146.6</v>
      </c>
      <c r="N24" s="157">
        <v>122.69999999999999</v>
      </c>
      <c r="O24" s="157">
        <v>109.2</v>
      </c>
      <c r="P24" s="157">
        <v>79.900000000000006</v>
      </c>
      <c r="Q24" s="157">
        <v>62.2</v>
      </c>
      <c r="R24" s="157">
        <v>45.3</v>
      </c>
    </row>
    <row r="25" spans="1:18" x14ac:dyDescent="0.25">
      <c r="A25" s="152" t="s">
        <v>85</v>
      </c>
      <c r="B25" s="152" t="s">
        <v>76</v>
      </c>
      <c r="C25" s="152">
        <v>0.1</v>
      </c>
      <c r="D25" s="152"/>
      <c r="E25" s="158">
        <v>299.39999999999998</v>
      </c>
      <c r="F25" s="158">
        <v>283</v>
      </c>
      <c r="G25" s="158">
        <v>277.2</v>
      </c>
      <c r="H25" s="158">
        <v>263.2</v>
      </c>
      <c r="I25" s="158">
        <v>237.9</v>
      </c>
      <c r="J25" s="158">
        <v>222.1</v>
      </c>
      <c r="K25" s="158">
        <v>200.4</v>
      </c>
      <c r="L25" s="157">
        <v>303.2</v>
      </c>
      <c r="M25" s="157">
        <v>286.89999999999998</v>
      </c>
      <c r="N25" s="157">
        <v>280.60000000000002</v>
      </c>
      <c r="O25" s="157">
        <v>264.5</v>
      </c>
      <c r="P25" s="157">
        <v>218.3</v>
      </c>
      <c r="Q25" s="157">
        <v>203.4</v>
      </c>
      <c r="R25" s="157">
        <v>194.3</v>
      </c>
    </row>
    <row r="26" spans="1:18" x14ac:dyDescent="0.25">
      <c r="A26" s="152" t="s">
        <v>85</v>
      </c>
      <c r="B26" s="152" t="s">
        <v>77</v>
      </c>
      <c r="C26" s="152">
        <v>0.1</v>
      </c>
      <c r="D26" s="152"/>
      <c r="E26" s="158">
        <v>4.4000000000000004</v>
      </c>
      <c r="F26" s="158">
        <v>145.19999999999999</v>
      </c>
      <c r="G26" s="158">
        <v>130.4</v>
      </c>
      <c r="H26" s="158">
        <v>107.9</v>
      </c>
      <c r="I26" s="158">
        <v>87.1</v>
      </c>
      <c r="J26" s="158">
        <v>71.3</v>
      </c>
      <c r="K26" s="158">
        <v>52.5</v>
      </c>
      <c r="L26" s="157">
        <v>1.1999999999999993</v>
      </c>
      <c r="M26" s="157">
        <v>146.69999999999999</v>
      </c>
      <c r="N26" s="157">
        <v>124.9</v>
      </c>
      <c r="O26" s="157">
        <v>108.8</v>
      </c>
      <c r="P26" s="157">
        <v>79.3</v>
      </c>
      <c r="Q26" s="157">
        <v>60.099999999999994</v>
      </c>
      <c r="R26" s="157">
        <v>45.1</v>
      </c>
    </row>
    <row r="27" spans="1:18" x14ac:dyDescent="0.25">
      <c r="A27" s="152"/>
    </row>
  </sheetData>
  <mergeCells count="2">
    <mergeCell ref="E1:K1"/>
    <mergeCell ref="L1:R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Fish Data</vt:lpstr>
      <vt:lpstr>Hydraulic Data</vt:lpstr>
      <vt:lpstr>Co-ordinates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2018-09-19T11:29:24Z</dcterms:created>
  <dcterms:modified xsi:type="dcterms:W3CDTF">2020-04-30T06:50:49Z</dcterms:modified>
</cp:coreProperties>
</file>