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 codeName="ThisWorkbook" defaultThemeVersion="124226"/>
  <bookViews>
    <workbookView xWindow="240" yWindow="105" windowWidth="14805" windowHeight="8010"/>
  </bookViews>
  <sheets>
    <sheet name="Variables" sheetId="7" r:id="rId1"/>
    <sheet name="Tickets" sheetId="1" r:id="rId2"/>
    <sheet name="Users" sheetId="2" r:id="rId3"/>
    <sheet name="Reliability" sheetId="3" r:id="rId4"/>
    <sheet name="RideQuality" sheetId="4" r:id="rId5"/>
    <sheet name="Noise" sheetId="5" r:id="rId6"/>
    <sheet name="CBA" sheetId="6" r:id="rId7"/>
  </sheets>
  <calcPr calcId="171027"/>
</workbook>
</file>

<file path=xl/calcChain.xml><?xml version="1.0" encoding="utf-8"?>
<calcChain xmlns="http://schemas.openxmlformats.org/spreadsheetml/2006/main">
  <c r="G5" i="6" l="1"/>
  <c r="D209" i="1" l="1"/>
  <c r="B29" i="6"/>
  <c r="AA85" i="2" l="1"/>
  <c r="AA86" i="2"/>
  <c r="AA87" i="2"/>
  <c r="AA88" i="2"/>
  <c r="AA89" i="2"/>
  <c r="AA90" i="2"/>
  <c r="AA91" i="2"/>
  <c r="AA84" i="2"/>
  <c r="AA72" i="2"/>
  <c r="AA73" i="2"/>
  <c r="AA74" i="2"/>
  <c r="AA75" i="2"/>
  <c r="AA76" i="2"/>
  <c r="AA77" i="2"/>
  <c r="AA78" i="2"/>
  <c r="AA71" i="2"/>
  <c r="AA48" i="2"/>
  <c r="AA49" i="2"/>
  <c r="AA50" i="2"/>
  <c r="AA51" i="2"/>
  <c r="AA52" i="2"/>
  <c r="AA53" i="2"/>
  <c r="AA54" i="2"/>
  <c r="AA47" i="2"/>
  <c r="AA23" i="2"/>
  <c r="AA22" i="2"/>
  <c r="AA21" i="2"/>
  <c r="AA20" i="2"/>
  <c r="AA19" i="2"/>
  <c r="AA18" i="2"/>
  <c r="AA17" i="2"/>
  <c r="AA16" i="2"/>
  <c r="Z18" i="2"/>
  <c r="Z22" i="2"/>
  <c r="K23" i="2"/>
  <c r="Z91" i="2" s="1"/>
  <c r="L23" i="2"/>
  <c r="Z54" i="2" s="1"/>
  <c r="M23" i="2"/>
  <c r="N23" i="2"/>
  <c r="O23" i="2"/>
  <c r="P23" i="2"/>
  <c r="Q23" i="2"/>
  <c r="R23" i="2"/>
  <c r="Z23" i="2" s="1"/>
  <c r="S23" i="2"/>
  <c r="T23" i="2"/>
  <c r="J23" i="2"/>
  <c r="Z78" i="2" s="1"/>
  <c r="K22" i="2"/>
  <c r="L22" i="2"/>
  <c r="M22" i="2"/>
  <c r="Z53" i="2" s="1"/>
  <c r="N22" i="2"/>
  <c r="O22" i="2"/>
  <c r="P22" i="2"/>
  <c r="Q22" i="2"/>
  <c r="R22" i="2"/>
  <c r="S22" i="2"/>
  <c r="T22" i="2"/>
  <c r="J22" i="2"/>
  <c r="Z77" i="2" s="1"/>
  <c r="K21" i="2"/>
  <c r="L21" i="2"/>
  <c r="M21" i="2"/>
  <c r="Z89" i="2" s="1"/>
  <c r="N21" i="2"/>
  <c r="O21" i="2"/>
  <c r="P21" i="2"/>
  <c r="Q21" i="2"/>
  <c r="R21" i="2"/>
  <c r="Z21" i="2" s="1"/>
  <c r="S21" i="2"/>
  <c r="T21" i="2"/>
  <c r="J21" i="2"/>
  <c r="Z76" i="2" s="1"/>
  <c r="K20" i="2"/>
  <c r="Z88" i="2" s="1"/>
  <c r="L20" i="2"/>
  <c r="Z51" i="2" s="1"/>
  <c r="M20" i="2"/>
  <c r="N20" i="2"/>
  <c r="O20" i="2"/>
  <c r="P20" i="2"/>
  <c r="Q20" i="2"/>
  <c r="R20" i="2"/>
  <c r="Z20" i="2" s="1"/>
  <c r="S20" i="2"/>
  <c r="T20" i="2"/>
  <c r="J20" i="2"/>
  <c r="Z75" i="2" s="1"/>
  <c r="K19" i="2"/>
  <c r="Z87" i="2" s="1"/>
  <c r="L19" i="2"/>
  <c r="Z50" i="2" s="1"/>
  <c r="M19" i="2"/>
  <c r="N19" i="2"/>
  <c r="O19" i="2"/>
  <c r="P19" i="2"/>
  <c r="Q19" i="2"/>
  <c r="R19" i="2"/>
  <c r="Z19" i="2" s="1"/>
  <c r="S19" i="2"/>
  <c r="T19" i="2"/>
  <c r="J19" i="2"/>
  <c r="Z74" i="2" s="1"/>
  <c r="K18" i="2"/>
  <c r="L18" i="2"/>
  <c r="M18" i="2"/>
  <c r="Z49" i="2" s="1"/>
  <c r="N18" i="2"/>
  <c r="O18" i="2"/>
  <c r="P18" i="2"/>
  <c r="Q18" i="2"/>
  <c r="R18" i="2"/>
  <c r="S18" i="2"/>
  <c r="T18" i="2"/>
  <c r="J18" i="2"/>
  <c r="Z73" i="2" s="1"/>
  <c r="K17" i="2"/>
  <c r="Z85" i="2" s="1"/>
  <c r="L17" i="2"/>
  <c r="M17" i="2"/>
  <c r="Z48" i="2" s="1"/>
  <c r="N17" i="2"/>
  <c r="O17" i="2"/>
  <c r="P17" i="2"/>
  <c r="Q17" i="2"/>
  <c r="R17" i="2"/>
  <c r="Z17" i="2" s="1"/>
  <c r="S17" i="2"/>
  <c r="T17" i="2"/>
  <c r="J17" i="2"/>
  <c r="Z72" i="2" s="1"/>
  <c r="K16" i="2"/>
  <c r="Z84" i="2" s="1"/>
  <c r="L16" i="2"/>
  <c r="Z47" i="2" s="1"/>
  <c r="M16" i="2"/>
  <c r="N16" i="2"/>
  <c r="O16" i="2"/>
  <c r="P16" i="2"/>
  <c r="Q16" i="2"/>
  <c r="R16" i="2"/>
  <c r="Z16" i="2" s="1"/>
  <c r="S16" i="2"/>
  <c r="T16" i="2"/>
  <c r="J16" i="2"/>
  <c r="Z71" i="2" s="1"/>
  <c r="H104" i="1"/>
  <c r="H105" i="1"/>
  <c r="H106" i="1"/>
  <c r="H107" i="1"/>
  <c r="H108" i="1"/>
  <c r="H109" i="1"/>
  <c r="H110" i="1"/>
  <c r="H103" i="1"/>
  <c r="G104" i="1"/>
  <c r="G105" i="1"/>
  <c r="G106" i="1"/>
  <c r="G107" i="1"/>
  <c r="G108" i="1"/>
  <c r="G109" i="1"/>
  <c r="G110" i="1"/>
  <c r="G103" i="1"/>
  <c r="F104" i="1"/>
  <c r="F105" i="1"/>
  <c r="F106" i="1"/>
  <c r="F107" i="1"/>
  <c r="F103" i="1"/>
  <c r="E104" i="1"/>
  <c r="E105" i="1"/>
  <c r="E106" i="1"/>
  <c r="E107" i="1"/>
  <c r="E103" i="1"/>
  <c r="D104" i="1"/>
  <c r="D105" i="1"/>
  <c r="D106" i="1"/>
  <c r="D107" i="1"/>
  <c r="D103" i="1"/>
  <c r="Z90" i="2" l="1"/>
  <c r="Z86" i="2"/>
  <c r="Z52" i="2"/>
  <c r="H122" i="1"/>
  <c r="H133" i="1" s="1"/>
  <c r="H144" i="1" s="1"/>
  <c r="H155" i="1" s="1"/>
  <c r="H166" i="1" s="1"/>
  <c r="H177" i="1" s="1"/>
  <c r="G122" i="1"/>
  <c r="G133" i="1" s="1"/>
  <c r="G144" i="1" s="1"/>
  <c r="G155" i="1" s="1"/>
  <c r="G166" i="1" s="1"/>
  <c r="G177" i="1" s="1"/>
  <c r="L9" i="1"/>
  <c r="J110" i="1" s="1"/>
  <c r="J9" i="1"/>
  <c r="I110" i="1" s="1"/>
  <c r="L8" i="1"/>
  <c r="J109" i="1" s="1"/>
  <c r="J8" i="1"/>
  <c r="I109" i="1" s="1"/>
  <c r="L7" i="1"/>
  <c r="J108" i="1" s="1"/>
  <c r="J7" i="1"/>
  <c r="I108" i="1" s="1"/>
  <c r="L6" i="1"/>
  <c r="J107" i="1" s="1"/>
  <c r="J6" i="1"/>
  <c r="I107" i="1" s="1"/>
  <c r="L5" i="1"/>
  <c r="J106" i="1" s="1"/>
  <c r="J5" i="1"/>
  <c r="I106" i="1" s="1"/>
  <c r="L4" i="1"/>
  <c r="J105" i="1" s="1"/>
  <c r="J4" i="1"/>
  <c r="I105" i="1" s="1"/>
  <c r="L3" i="1"/>
  <c r="J104" i="1" s="1"/>
  <c r="J3" i="1"/>
  <c r="I104" i="1" s="1"/>
  <c r="L2" i="1"/>
  <c r="J103" i="1" s="1"/>
  <c r="J2" i="1"/>
  <c r="I103" i="1" s="1"/>
  <c r="E13" i="1"/>
  <c r="E14" i="1" s="1"/>
  <c r="E117" i="1" s="1"/>
  <c r="E128" i="1" s="1"/>
  <c r="E139" i="1" s="1"/>
  <c r="E150" i="1" s="1"/>
  <c r="E161" i="1" s="1"/>
  <c r="E172" i="1" s="1"/>
  <c r="F13" i="1"/>
  <c r="F14" i="1" s="1"/>
  <c r="F114" i="1" s="1"/>
  <c r="F125" i="1" s="1"/>
  <c r="F136" i="1" s="1"/>
  <c r="F147" i="1" s="1"/>
  <c r="F158" i="1" s="1"/>
  <c r="F169" i="1" s="1"/>
  <c r="G13" i="1"/>
  <c r="G14" i="1" s="1"/>
  <c r="G121" i="1" s="1"/>
  <c r="G132" i="1" s="1"/>
  <c r="G143" i="1" s="1"/>
  <c r="G154" i="1" s="1"/>
  <c r="G165" i="1" s="1"/>
  <c r="G176" i="1" s="1"/>
  <c r="H13" i="1"/>
  <c r="H14" i="1" s="1"/>
  <c r="H115" i="1" s="1"/>
  <c r="H126" i="1" s="1"/>
  <c r="H137" i="1" s="1"/>
  <c r="H148" i="1" s="1"/>
  <c r="H159" i="1" s="1"/>
  <c r="H170" i="1" s="1"/>
  <c r="I13" i="1"/>
  <c r="I14" i="1" s="1"/>
  <c r="I116" i="1" s="1"/>
  <c r="I127" i="1" s="1"/>
  <c r="K13" i="1"/>
  <c r="K14" i="1" s="1"/>
  <c r="J117" i="1" s="1"/>
  <c r="J128" i="1" s="1"/>
  <c r="J139" i="1" s="1"/>
  <c r="J150" i="1" s="1"/>
  <c r="J161" i="1" s="1"/>
  <c r="J172" i="1" s="1"/>
  <c r="D13" i="1"/>
  <c r="D14" i="1" s="1"/>
  <c r="D114" i="1" l="1"/>
  <c r="D125" i="1" s="1"/>
  <c r="D136" i="1" s="1"/>
  <c r="D147" i="1" s="1"/>
  <c r="D158" i="1" s="1"/>
  <c r="D169" i="1" s="1"/>
  <c r="D118" i="1"/>
  <c r="D129" i="1" s="1"/>
  <c r="D140" i="1" s="1"/>
  <c r="D151" i="1" s="1"/>
  <c r="D162" i="1" s="1"/>
  <c r="D173" i="1" s="1"/>
  <c r="D117" i="1"/>
  <c r="D128" i="1" s="1"/>
  <c r="D139" i="1" s="1"/>
  <c r="D150" i="1" s="1"/>
  <c r="D161" i="1" s="1"/>
  <c r="D172" i="1" s="1"/>
  <c r="D116" i="1"/>
  <c r="D127" i="1" s="1"/>
  <c r="D138" i="1" s="1"/>
  <c r="D149" i="1" s="1"/>
  <c r="D160" i="1" s="1"/>
  <c r="D171" i="1" s="1"/>
  <c r="D115" i="1"/>
  <c r="D126" i="1" s="1"/>
  <c r="D137" i="1" s="1"/>
  <c r="D148" i="1" s="1"/>
  <c r="D159" i="1" s="1"/>
  <c r="D170" i="1" s="1"/>
  <c r="I138" i="1"/>
  <c r="H114" i="1"/>
  <c r="H125" i="1" s="1"/>
  <c r="H136" i="1" s="1"/>
  <c r="H147" i="1" s="1"/>
  <c r="H158" i="1" s="1"/>
  <c r="H169" i="1" s="1"/>
  <c r="E118" i="1"/>
  <c r="E129" i="1" s="1"/>
  <c r="E140" i="1" s="1"/>
  <c r="E151" i="1" s="1"/>
  <c r="E162" i="1" s="1"/>
  <c r="E173" i="1" s="1"/>
  <c r="H120" i="1"/>
  <c r="H131" i="1" s="1"/>
  <c r="H142" i="1" s="1"/>
  <c r="H153" i="1" s="1"/>
  <c r="H164" i="1" s="1"/>
  <c r="H175" i="1" s="1"/>
  <c r="J114" i="1"/>
  <c r="J125" i="1" s="1"/>
  <c r="J136" i="1" s="1"/>
  <c r="J147" i="1" s="1"/>
  <c r="J158" i="1" s="1"/>
  <c r="J169" i="1" s="1"/>
  <c r="J115" i="1"/>
  <c r="J126" i="1" s="1"/>
  <c r="J137" i="1" s="1"/>
  <c r="J148" i="1" s="1"/>
  <c r="J159" i="1" s="1"/>
  <c r="J170" i="1" s="1"/>
  <c r="J118" i="1"/>
  <c r="J129" i="1" s="1"/>
  <c r="J140" i="1" s="1"/>
  <c r="J151" i="1" s="1"/>
  <c r="J162" i="1" s="1"/>
  <c r="J173" i="1" s="1"/>
  <c r="J121" i="1"/>
  <c r="J132" i="1" s="1"/>
  <c r="J143" i="1" s="1"/>
  <c r="J154" i="1" s="1"/>
  <c r="J165" i="1" s="1"/>
  <c r="J176" i="1" s="1"/>
  <c r="H119" i="1"/>
  <c r="H130" i="1" s="1"/>
  <c r="H141" i="1" s="1"/>
  <c r="H152" i="1" s="1"/>
  <c r="H163" i="1" s="1"/>
  <c r="H174" i="1" s="1"/>
  <c r="H116" i="1"/>
  <c r="H127" i="1" s="1"/>
  <c r="H138" i="1" s="1"/>
  <c r="H149" i="1" s="1"/>
  <c r="H160" i="1" s="1"/>
  <c r="H171" i="1" s="1"/>
  <c r="J116" i="1"/>
  <c r="J127" i="1" s="1"/>
  <c r="J138" i="1" s="1"/>
  <c r="J149" i="1" s="1"/>
  <c r="J160" i="1" s="1"/>
  <c r="J171" i="1" s="1"/>
  <c r="J120" i="1"/>
  <c r="J131" i="1" s="1"/>
  <c r="J142" i="1" s="1"/>
  <c r="J153" i="1" s="1"/>
  <c r="J164" i="1" s="1"/>
  <c r="J175" i="1" s="1"/>
  <c r="H121" i="1"/>
  <c r="H132" i="1" s="1"/>
  <c r="I192" i="1"/>
  <c r="J119" i="1"/>
  <c r="J130" i="1" s="1"/>
  <c r="J141" i="1" s="1"/>
  <c r="J152" i="1" s="1"/>
  <c r="J163" i="1" s="1"/>
  <c r="J174" i="1" s="1"/>
  <c r="H118" i="1"/>
  <c r="H129" i="1" s="1"/>
  <c r="H140" i="1" s="1"/>
  <c r="H151" i="1" s="1"/>
  <c r="H162" i="1" s="1"/>
  <c r="H173" i="1" s="1"/>
  <c r="F118" i="1"/>
  <c r="F129" i="1" s="1"/>
  <c r="F140" i="1" s="1"/>
  <c r="F151" i="1" s="1"/>
  <c r="F162" i="1" s="1"/>
  <c r="F173" i="1" s="1"/>
  <c r="E116" i="1"/>
  <c r="E127" i="1" s="1"/>
  <c r="E138" i="1" s="1"/>
  <c r="E149" i="1" s="1"/>
  <c r="E160" i="1" s="1"/>
  <c r="E171" i="1" s="1"/>
  <c r="F117" i="1"/>
  <c r="F128" i="1" s="1"/>
  <c r="F139" i="1" s="1"/>
  <c r="F150" i="1" s="1"/>
  <c r="F161" i="1" s="1"/>
  <c r="F172" i="1" s="1"/>
  <c r="E115" i="1"/>
  <c r="E126" i="1" s="1"/>
  <c r="E137" i="1" s="1"/>
  <c r="E148" i="1" s="1"/>
  <c r="E159" i="1" s="1"/>
  <c r="E170" i="1" s="1"/>
  <c r="F116" i="1"/>
  <c r="F127" i="1" s="1"/>
  <c r="F138" i="1" s="1"/>
  <c r="F149" i="1" s="1"/>
  <c r="F160" i="1" s="1"/>
  <c r="F171" i="1" s="1"/>
  <c r="E114" i="1"/>
  <c r="E125" i="1" s="1"/>
  <c r="E136" i="1" s="1"/>
  <c r="E147" i="1" s="1"/>
  <c r="E158" i="1" s="1"/>
  <c r="E169" i="1" s="1"/>
  <c r="F115" i="1"/>
  <c r="F126" i="1" s="1"/>
  <c r="F137" i="1" s="1"/>
  <c r="F148" i="1" s="1"/>
  <c r="F159" i="1" s="1"/>
  <c r="F170" i="1" s="1"/>
  <c r="H117" i="1"/>
  <c r="H128" i="1" s="1"/>
  <c r="H139" i="1" s="1"/>
  <c r="H150" i="1" s="1"/>
  <c r="H161" i="1" s="1"/>
  <c r="H172" i="1" s="1"/>
  <c r="I205" i="1" l="1"/>
  <c r="G117" i="1"/>
  <c r="I201" i="1"/>
  <c r="G115" i="1"/>
  <c r="I199" i="1"/>
  <c r="G120" i="1"/>
  <c r="I204" i="1"/>
  <c r="G114" i="1"/>
  <c r="I198" i="1"/>
  <c r="G118" i="1"/>
  <c r="I202" i="1"/>
  <c r="G116" i="1"/>
  <c r="I200" i="1"/>
  <c r="H143" i="1"/>
  <c r="G205" i="1"/>
  <c r="H205" i="1"/>
  <c r="G119" i="1"/>
  <c r="I203" i="1"/>
  <c r="H187" i="1"/>
  <c r="G187" i="1"/>
  <c r="I117" i="1"/>
  <c r="I188" i="1"/>
  <c r="I119" i="1"/>
  <c r="I190" i="1"/>
  <c r="I114" i="1"/>
  <c r="I185" i="1"/>
  <c r="I120" i="1"/>
  <c r="I191" i="1"/>
  <c r="I187" i="1"/>
  <c r="I118" i="1"/>
  <c r="I189" i="1"/>
  <c r="I115" i="1"/>
  <c r="I186" i="1"/>
  <c r="I149" i="1"/>
  <c r="F187" i="1"/>
  <c r="AA66" i="2"/>
  <c r="AA65" i="2"/>
  <c r="AA29" i="2"/>
  <c r="AA31" i="2"/>
  <c r="AA34" i="2"/>
  <c r="AA35" i="2"/>
  <c r="AA61" i="2"/>
  <c r="AA62" i="2"/>
  <c r="AA63" i="2"/>
  <c r="AA33" i="2"/>
  <c r="G127" i="1" l="1"/>
  <c r="H200" i="1"/>
  <c r="G126" i="1"/>
  <c r="H199" i="1"/>
  <c r="G130" i="1"/>
  <c r="H203" i="1"/>
  <c r="G125" i="1"/>
  <c r="H198" i="1"/>
  <c r="H154" i="1"/>
  <c r="F205" i="1"/>
  <c r="G131" i="1"/>
  <c r="H204" i="1"/>
  <c r="G129" i="1"/>
  <c r="H202" i="1"/>
  <c r="G128" i="1"/>
  <c r="H201" i="1"/>
  <c r="I130" i="1"/>
  <c r="H190" i="1"/>
  <c r="I129" i="1"/>
  <c r="H189" i="1"/>
  <c r="I131" i="1"/>
  <c r="H191" i="1"/>
  <c r="I160" i="1"/>
  <c r="E187" i="1"/>
  <c r="I125" i="1"/>
  <c r="H185" i="1"/>
  <c r="I126" i="1"/>
  <c r="H186" i="1"/>
  <c r="I128" i="1"/>
  <c r="H188" i="1"/>
  <c r="Z63" i="2"/>
  <c r="Z32" i="2"/>
  <c r="Z34" i="2"/>
  <c r="Z65" i="2"/>
  <c r="Z64" i="2"/>
  <c r="Z33" i="2"/>
  <c r="AA64" i="2"/>
  <c r="AA32" i="2"/>
  <c r="AA30" i="2"/>
  <c r="G35" i="2"/>
  <c r="G34" i="2"/>
  <c r="G33" i="2"/>
  <c r="G142" i="1" l="1"/>
  <c r="G204" i="1"/>
  <c r="G137" i="1"/>
  <c r="G199" i="1"/>
  <c r="H165" i="1"/>
  <c r="E205" i="1"/>
  <c r="G138" i="1"/>
  <c r="G200" i="1"/>
  <c r="G139" i="1"/>
  <c r="G201" i="1"/>
  <c r="G136" i="1"/>
  <c r="G198" i="1"/>
  <c r="G140" i="1"/>
  <c r="G202" i="1"/>
  <c r="G141" i="1"/>
  <c r="G203" i="1"/>
  <c r="I137" i="1"/>
  <c r="G186" i="1"/>
  <c r="I140" i="1"/>
  <c r="G189" i="1"/>
  <c r="I136" i="1"/>
  <c r="G185" i="1"/>
  <c r="I141" i="1"/>
  <c r="G190" i="1"/>
  <c r="I171" i="1"/>
  <c r="C187" i="1" s="1"/>
  <c r="D187" i="1"/>
  <c r="I139" i="1"/>
  <c r="G188" i="1"/>
  <c r="I142" i="1"/>
  <c r="G191" i="1"/>
  <c r="G147" i="1" l="1"/>
  <c r="F198" i="1"/>
  <c r="G148" i="1"/>
  <c r="F199" i="1"/>
  <c r="G150" i="1"/>
  <c r="F201" i="1"/>
  <c r="G153" i="1"/>
  <c r="F204" i="1"/>
  <c r="G152" i="1"/>
  <c r="F203" i="1"/>
  <c r="G149" i="1"/>
  <c r="F200" i="1"/>
  <c r="G151" i="1"/>
  <c r="F202" i="1"/>
  <c r="H176" i="1"/>
  <c r="C205" i="1" s="1"/>
  <c r="D205" i="1"/>
  <c r="I150" i="1"/>
  <c r="F188" i="1"/>
  <c r="I151" i="1"/>
  <c r="F189" i="1"/>
  <c r="I148" i="1"/>
  <c r="F186" i="1"/>
  <c r="I152" i="1"/>
  <c r="F190" i="1"/>
  <c r="I153" i="1"/>
  <c r="F191" i="1"/>
  <c r="I147" i="1"/>
  <c r="F185" i="1"/>
  <c r="AN19" i="2"/>
  <c r="G159" i="1" l="1"/>
  <c r="E199" i="1"/>
  <c r="G164" i="1"/>
  <c r="E204" i="1"/>
  <c r="G162" i="1"/>
  <c r="E202" i="1"/>
  <c r="G161" i="1"/>
  <c r="E201" i="1"/>
  <c r="G160" i="1"/>
  <c r="E200" i="1"/>
  <c r="G163" i="1"/>
  <c r="E203" i="1"/>
  <c r="G158" i="1"/>
  <c r="E198" i="1"/>
  <c r="I162" i="1"/>
  <c r="E189" i="1"/>
  <c r="I163" i="1"/>
  <c r="E190" i="1"/>
  <c r="I159" i="1"/>
  <c r="E186" i="1"/>
  <c r="I158" i="1"/>
  <c r="E185" i="1"/>
  <c r="I164" i="1"/>
  <c r="E191" i="1"/>
  <c r="I161" i="1"/>
  <c r="E188" i="1"/>
  <c r="AN22" i="2"/>
  <c r="AN18" i="2"/>
  <c r="AN20" i="2"/>
  <c r="AN21" i="2"/>
  <c r="AN9" i="2"/>
  <c r="AN10" i="2"/>
  <c r="AN7" i="2"/>
  <c r="AN8" i="2"/>
  <c r="AN5" i="2"/>
  <c r="AN6" i="2"/>
  <c r="G174" i="1" l="1"/>
  <c r="C203" i="1" s="1"/>
  <c r="D203" i="1"/>
  <c r="C246" i="1" s="1"/>
  <c r="U23" i="4" s="1"/>
  <c r="G175" i="1"/>
  <c r="C204" i="1" s="1"/>
  <c r="D204" i="1"/>
  <c r="C247" i="1" s="1"/>
  <c r="U24" i="4" s="1"/>
  <c r="G171" i="1"/>
  <c r="C200" i="1" s="1"/>
  <c r="D200" i="1"/>
  <c r="G170" i="1"/>
  <c r="C199" i="1" s="1"/>
  <c r="D199" i="1"/>
  <c r="G172" i="1"/>
  <c r="C201" i="1" s="1"/>
  <c r="D201" i="1"/>
  <c r="G169" i="1"/>
  <c r="C198" i="1" s="1"/>
  <c r="D198" i="1"/>
  <c r="G173" i="1"/>
  <c r="C202" i="1" s="1"/>
  <c r="D202" i="1"/>
  <c r="C245" i="1" s="1"/>
  <c r="U22" i="4" s="1"/>
  <c r="I172" i="1"/>
  <c r="C188" i="1" s="1"/>
  <c r="D188" i="1"/>
  <c r="I174" i="1"/>
  <c r="C190" i="1" s="1"/>
  <c r="D190" i="1"/>
  <c r="C234" i="1" s="1"/>
  <c r="U11" i="4" s="1"/>
  <c r="I175" i="1"/>
  <c r="C191" i="1" s="1"/>
  <c r="D191" i="1"/>
  <c r="C235" i="1" s="1"/>
  <c r="U12" i="4" s="1"/>
  <c r="I173" i="1"/>
  <c r="C189" i="1" s="1"/>
  <c r="D189" i="1"/>
  <c r="C233" i="1" s="1"/>
  <c r="U10" i="4" s="1"/>
  <c r="I169" i="1"/>
  <c r="C185" i="1" s="1"/>
  <c r="D185" i="1"/>
  <c r="I170" i="1"/>
  <c r="C186" i="1" s="1"/>
  <c r="D186" i="1"/>
  <c r="AN34" i="2"/>
  <c r="AN33" i="2"/>
  <c r="AN32" i="2"/>
  <c r="O5" i="5"/>
  <c r="I40" i="6" l="1"/>
  <c r="D22" i="5" l="1"/>
  <c r="D44" i="6" l="1"/>
  <c r="C40" i="6" l="1"/>
  <c r="E48" i="6" l="1"/>
  <c r="A209" i="1" l="1"/>
  <c r="AA28" i="2"/>
  <c r="A3" i="3"/>
  <c r="A2" i="3"/>
  <c r="BZ24" i="3" l="1"/>
  <c r="M50" i="3"/>
  <c r="M51" i="3"/>
  <c r="D9" i="5"/>
  <c r="M49" i="3" l="1"/>
  <c r="D11" i="5"/>
  <c r="D10" i="5"/>
  <c r="BY24" i="3"/>
  <c r="BZ23" i="3"/>
  <c r="BX24" i="3"/>
  <c r="BY23" i="3"/>
  <c r="BW24" i="3"/>
  <c r="BX23" i="3"/>
  <c r="BV24" i="3"/>
  <c r="BW23" i="3"/>
  <c r="BU24" i="3"/>
  <c r="BV23" i="3"/>
  <c r="BT24" i="3"/>
  <c r="BU23" i="3"/>
  <c r="BS24" i="3"/>
  <c r="BT23" i="3"/>
  <c r="BR24" i="3"/>
  <c r="BS23" i="3"/>
  <c r="BQ24" i="3"/>
  <c r="BR23" i="3"/>
  <c r="BP24" i="3"/>
  <c r="BQ23" i="3"/>
  <c r="BO24" i="3"/>
  <c r="BP23" i="3"/>
  <c r="BN24" i="3"/>
  <c r="BO23" i="3"/>
  <c r="BM24" i="3"/>
  <c r="BN23" i="3"/>
  <c r="BL23" i="3"/>
  <c r="BM23" i="3"/>
  <c r="BK24" i="3"/>
  <c r="BL24" i="3"/>
  <c r="BJ24" i="3"/>
  <c r="BK23" i="3"/>
  <c r="BI23" i="3"/>
  <c r="BJ23" i="3"/>
  <c r="BH24" i="3"/>
  <c r="BI24" i="3"/>
  <c r="BG24" i="3"/>
  <c r="BH23" i="3"/>
  <c r="BF24" i="3"/>
  <c r="BG23" i="3"/>
  <c r="BE24" i="3"/>
  <c r="BF23" i="3"/>
  <c r="BD24" i="3"/>
  <c r="BE23" i="3"/>
  <c r="BC24" i="3"/>
  <c r="BD23" i="3"/>
  <c r="BB24" i="3"/>
  <c r="BC23" i="3"/>
  <c r="BA24" i="3"/>
  <c r="BB23" i="3"/>
  <c r="AZ24" i="3"/>
  <c r="BA23" i="3"/>
  <c r="AY24" i="3"/>
  <c r="AZ23" i="3"/>
  <c r="AX24" i="3"/>
  <c r="AY23" i="3"/>
  <c r="AW24" i="3"/>
  <c r="AX23" i="3"/>
  <c r="AV24" i="3"/>
  <c r="AW23" i="3"/>
  <c r="AU23" i="3"/>
  <c r="AV23" i="3"/>
  <c r="AT24" i="3"/>
  <c r="AU24" i="3"/>
  <c r="AS24" i="3"/>
  <c r="AT23" i="3"/>
  <c r="AR24" i="3"/>
  <c r="AS23" i="3"/>
  <c r="AQ24" i="3"/>
  <c r="AR23" i="3"/>
  <c r="AP23" i="3"/>
  <c r="AQ23" i="3"/>
  <c r="AO24" i="3"/>
  <c r="AP24" i="3"/>
  <c r="AN24" i="3"/>
  <c r="AO23" i="3"/>
  <c r="AM23" i="3"/>
  <c r="AN23" i="3"/>
  <c r="AL24" i="3"/>
  <c r="AM24" i="3"/>
  <c r="AK24" i="3"/>
  <c r="AL23" i="3"/>
  <c r="AJ24" i="3"/>
  <c r="AK23" i="3"/>
  <c r="AI24" i="3"/>
  <c r="AJ23" i="3"/>
  <c r="AH24" i="3"/>
  <c r="AI23" i="3"/>
  <c r="AG24" i="3"/>
  <c r="AH23" i="3"/>
  <c r="AF24" i="3"/>
  <c r="AG23" i="3"/>
  <c r="AE24" i="3"/>
  <c r="AF23" i="3"/>
  <c r="AD24" i="3"/>
  <c r="AE23" i="3"/>
  <c r="AC24" i="3"/>
  <c r="AD23" i="3"/>
  <c r="AB23" i="3"/>
  <c r="AC23" i="3"/>
  <c r="AA24" i="3"/>
  <c r="AB24" i="3"/>
  <c r="Z24" i="3"/>
  <c r="AA23" i="3"/>
  <c r="Y24" i="3"/>
  <c r="Z23" i="3"/>
  <c r="X23" i="3"/>
  <c r="Y23" i="3"/>
  <c r="W24" i="3"/>
  <c r="X24" i="3"/>
  <c r="V24" i="3"/>
  <c r="W23" i="3"/>
  <c r="U24" i="3"/>
  <c r="V23" i="3"/>
  <c r="U23" i="3"/>
  <c r="T23" i="3"/>
  <c r="T24" i="3"/>
  <c r="S23" i="3"/>
  <c r="S24" i="3"/>
  <c r="R23" i="3"/>
  <c r="R24" i="3"/>
  <c r="BY22" i="3"/>
  <c r="BZ22" i="3"/>
  <c r="BW22" i="3"/>
  <c r="BX22" i="3"/>
  <c r="BU22" i="3"/>
  <c r="BV22" i="3"/>
  <c r="BS22" i="3"/>
  <c r="BT22" i="3"/>
  <c r="BQ22" i="3"/>
  <c r="BR22" i="3"/>
  <c r="BO22" i="3"/>
  <c r="BP22" i="3"/>
  <c r="BM22" i="3"/>
  <c r="BN22" i="3"/>
  <c r="BK22" i="3"/>
  <c r="BL22" i="3"/>
  <c r="BI22" i="3"/>
  <c r="BJ22" i="3"/>
  <c r="BG22" i="3"/>
  <c r="BH22" i="3"/>
  <c r="BE22" i="3"/>
  <c r="BF22" i="3"/>
  <c r="BC22" i="3"/>
  <c r="BD22" i="3"/>
  <c r="BA22" i="3"/>
  <c r="BB22" i="3"/>
  <c r="AY22" i="3"/>
  <c r="AZ22" i="3"/>
  <c r="AW22" i="3"/>
  <c r="AX22" i="3"/>
  <c r="AU22" i="3"/>
  <c r="AV22" i="3"/>
  <c r="AS22" i="3"/>
  <c r="AT22" i="3"/>
  <c r="AQ22" i="3"/>
  <c r="AR22" i="3"/>
  <c r="AO22" i="3"/>
  <c r="AP22" i="3"/>
  <c r="AM22" i="3"/>
  <c r="AN22" i="3"/>
  <c r="AK22" i="3"/>
  <c r="AL22" i="3"/>
  <c r="R22" i="3"/>
  <c r="AJ22" i="3"/>
  <c r="AI22" i="3"/>
  <c r="AG22" i="3"/>
  <c r="AH22" i="3"/>
  <c r="AE22" i="3"/>
  <c r="AF22" i="3"/>
  <c r="AD22" i="3"/>
  <c r="AC22" i="3"/>
  <c r="AA22" i="3"/>
  <c r="AB22" i="3"/>
  <c r="Z22" i="3"/>
  <c r="Y22" i="3"/>
  <c r="X22" i="3"/>
  <c r="W22" i="3"/>
  <c r="V22" i="3"/>
  <c r="U22" i="3"/>
  <c r="T22" i="3"/>
  <c r="S22" i="3"/>
  <c r="BL9" i="5"/>
  <c r="BK9" i="5"/>
  <c r="BJ9" i="5"/>
  <c r="BH9" i="5"/>
  <c r="BI9" i="5"/>
  <c r="BG9" i="5"/>
  <c r="BF9" i="5"/>
  <c r="BD9" i="5"/>
  <c r="BE9" i="5"/>
  <c r="BC9" i="5"/>
  <c r="BB9" i="5"/>
  <c r="BA9" i="5"/>
  <c r="AZ9" i="5"/>
  <c r="AY9" i="5"/>
  <c r="AW9" i="5"/>
  <c r="AX9" i="5"/>
  <c r="AV9" i="5"/>
  <c r="AU9" i="5"/>
  <c r="AT9" i="5"/>
  <c r="AS9" i="5"/>
  <c r="AQ9" i="5"/>
  <c r="AR9" i="5"/>
  <c r="AP9" i="5"/>
  <c r="AO9" i="5"/>
  <c r="AN9" i="5"/>
  <c r="AM9" i="5"/>
  <c r="AL9" i="5"/>
  <c r="AJ9" i="5"/>
  <c r="AK9" i="5"/>
  <c r="AI9" i="5"/>
  <c r="AH9" i="5"/>
  <c r="AG9" i="5"/>
  <c r="AE9" i="5"/>
  <c r="AF9" i="5"/>
  <c r="AD9" i="5"/>
  <c r="AB9" i="5"/>
  <c r="AC9" i="5"/>
  <c r="AA9" i="5"/>
  <c r="Z9" i="5"/>
  <c r="Y9" i="5"/>
  <c r="W9" i="5"/>
  <c r="V9" i="5"/>
  <c r="X9" i="5"/>
  <c r="T9" i="5"/>
  <c r="U9" i="5"/>
  <c r="S9" i="5"/>
  <c r="R9" i="5"/>
  <c r="Q9" i="5"/>
  <c r="P9" i="5"/>
  <c r="O9" i="5"/>
  <c r="N9" i="5"/>
  <c r="M9" i="5"/>
  <c r="L9" i="5"/>
  <c r="K9" i="5"/>
  <c r="J9" i="5"/>
  <c r="I9" i="5"/>
  <c r="H9" i="5"/>
  <c r="G9" i="5"/>
  <c r="E9" i="5"/>
  <c r="F9" i="5"/>
  <c r="D8" i="5"/>
  <c r="D12" i="5" s="1"/>
  <c r="E10" i="5" l="1"/>
  <c r="F10" i="5" s="1"/>
  <c r="D15" i="5"/>
  <c r="D13" i="5"/>
  <c r="D3" i="5"/>
  <c r="BC8" i="5"/>
  <c r="BA8" i="5"/>
  <c r="BB8" i="5"/>
  <c r="AZ8" i="5"/>
  <c r="AY8" i="5"/>
  <c r="AW8" i="5"/>
  <c r="AX8" i="5"/>
  <c r="AV8" i="5"/>
  <c r="AU8" i="5"/>
  <c r="AT8" i="5"/>
  <c r="AS8" i="5"/>
  <c r="AR8" i="5"/>
  <c r="AQ8" i="5"/>
  <c r="AP8" i="5"/>
  <c r="AN8" i="5"/>
  <c r="AO8" i="5"/>
  <c r="AM8" i="5"/>
  <c r="AL8" i="5"/>
  <c r="AJ8" i="5"/>
  <c r="AK8" i="5"/>
  <c r="AH8" i="5"/>
  <c r="AI8" i="5"/>
  <c r="AG8" i="5"/>
  <c r="AF8" i="5"/>
  <c r="AE8" i="5"/>
  <c r="AC8" i="5"/>
  <c r="AD8" i="5"/>
  <c r="AA8" i="5"/>
  <c r="AB8" i="5"/>
  <c r="Z8" i="5"/>
  <c r="Y8" i="5"/>
  <c r="W8" i="5"/>
  <c r="X8" i="5"/>
  <c r="V8" i="5"/>
  <c r="U8" i="5"/>
  <c r="T8" i="5"/>
  <c r="R8" i="5"/>
  <c r="S8" i="5"/>
  <c r="Q8" i="5"/>
  <c r="P8" i="5"/>
  <c r="O8" i="5"/>
  <c r="M8" i="5"/>
  <c r="N8" i="5"/>
  <c r="L8" i="5"/>
  <c r="K8" i="5"/>
  <c r="I8" i="5"/>
  <c r="J8" i="5"/>
  <c r="H8" i="5"/>
  <c r="G8" i="5"/>
  <c r="F8" i="5"/>
  <c r="E8" i="5"/>
  <c r="E12" i="5" s="1"/>
  <c r="D16" i="5" l="1"/>
  <c r="H7" i="6" s="1"/>
  <c r="F12" i="5"/>
  <c r="G10" i="5"/>
  <c r="H8" i="6"/>
  <c r="E13" i="5"/>
  <c r="C29" i="6"/>
  <c r="G6" i="6" s="1"/>
  <c r="H10" i="5" l="1"/>
  <c r="F13" i="5"/>
  <c r="E16" i="5"/>
  <c r="I7" i="6" s="1"/>
  <c r="BL43" i="5"/>
  <c r="U267" i="1"/>
  <c r="V267" i="1"/>
  <c r="S267" i="1"/>
  <c r="T267" i="1"/>
  <c r="Q267" i="1"/>
  <c r="R267" i="1"/>
  <c r="O267" i="1"/>
  <c r="P267" i="1"/>
  <c r="M267" i="1"/>
  <c r="N267" i="1"/>
  <c r="K267" i="1"/>
  <c r="L267" i="1"/>
  <c r="I267" i="1"/>
  <c r="J267" i="1"/>
  <c r="G267" i="1"/>
  <c r="H267" i="1"/>
  <c r="E267" i="1"/>
  <c r="F267" i="1"/>
  <c r="C267" i="1"/>
  <c r="D267" i="1"/>
  <c r="W268" i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AH268" i="1" s="1"/>
  <c r="AI268" i="1" s="1"/>
  <c r="AJ268" i="1" s="1"/>
  <c r="AK268" i="1" s="1"/>
  <c r="AL268" i="1" s="1"/>
  <c r="AM268" i="1" s="1"/>
  <c r="AN268" i="1" s="1"/>
  <c r="AO268" i="1" s="1"/>
  <c r="AP268" i="1" s="1"/>
  <c r="AQ268" i="1" s="1"/>
  <c r="AR268" i="1" s="1"/>
  <c r="AS268" i="1" s="1"/>
  <c r="AT268" i="1" s="1"/>
  <c r="AU268" i="1" s="1"/>
  <c r="AV268" i="1" s="1"/>
  <c r="AW268" i="1" s="1"/>
  <c r="AX268" i="1" s="1"/>
  <c r="AY268" i="1" s="1"/>
  <c r="AZ268" i="1" s="1"/>
  <c r="BA268" i="1" s="1"/>
  <c r="BB268" i="1" s="1"/>
  <c r="BC268" i="1" s="1"/>
  <c r="BD268" i="1" s="1"/>
  <c r="BE268" i="1" s="1"/>
  <c r="BF268" i="1" s="1"/>
  <c r="BG268" i="1" s="1"/>
  <c r="BH268" i="1" s="1"/>
  <c r="BI268" i="1" s="1"/>
  <c r="BJ268" i="1" s="1"/>
  <c r="BK268" i="1" s="1"/>
  <c r="V224" i="1"/>
  <c r="BD275" i="1"/>
  <c r="AC275" i="1"/>
  <c r="T224" i="1"/>
  <c r="U224" i="1"/>
  <c r="R224" i="1"/>
  <c r="S224" i="1"/>
  <c r="P224" i="1"/>
  <c r="Q224" i="1"/>
  <c r="N224" i="1"/>
  <c r="O224" i="1"/>
  <c r="L224" i="1"/>
  <c r="M224" i="1"/>
  <c r="J224" i="1"/>
  <c r="K224" i="1"/>
  <c r="H224" i="1"/>
  <c r="I224" i="1"/>
  <c r="F224" i="1"/>
  <c r="G224" i="1"/>
  <c r="D224" i="1"/>
  <c r="C224" i="1"/>
  <c r="E224" i="1"/>
  <c r="AF276" i="1"/>
  <c r="BJ276" i="1"/>
  <c r="AO34" i="2" l="1"/>
  <c r="AO33" i="2"/>
  <c r="AO32" i="2"/>
  <c r="AO21" i="2"/>
  <c r="AO22" i="2"/>
  <c r="AO20" i="2"/>
  <c r="AO10" i="2"/>
  <c r="AO9" i="2"/>
  <c r="AO8" i="2"/>
  <c r="G13" i="5"/>
  <c r="F16" i="5"/>
  <c r="J7" i="6" s="1"/>
  <c r="I10" i="5"/>
  <c r="BL44" i="5"/>
  <c r="BL45" i="5" s="1"/>
  <c r="D225" i="1"/>
  <c r="C272" i="1"/>
  <c r="D272" i="1" s="1"/>
  <c r="C225" i="1"/>
  <c r="AP33" i="2" l="1"/>
  <c r="AP32" i="2"/>
  <c r="AP34" i="2"/>
  <c r="AP20" i="2"/>
  <c r="AP22" i="2"/>
  <c r="AP21" i="2"/>
  <c r="D235" i="1"/>
  <c r="V12" i="4" s="1"/>
  <c r="D245" i="1"/>
  <c r="V22" i="4" s="1"/>
  <c r="D246" i="1"/>
  <c r="V23" i="4" s="1"/>
  <c r="D247" i="1"/>
  <c r="V24" i="4" s="1"/>
  <c r="D233" i="1"/>
  <c r="V10" i="4" s="1"/>
  <c r="D234" i="1"/>
  <c r="V11" i="4" s="1"/>
  <c r="AP9" i="2"/>
  <c r="AP10" i="2"/>
  <c r="AP8" i="2"/>
  <c r="J10" i="5"/>
  <c r="H13" i="5"/>
  <c r="G16" i="5"/>
  <c r="K7" i="6" s="1"/>
  <c r="V5" i="4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V4" i="4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BJ4" i="4" s="1"/>
  <c r="BK4" i="4" s="1"/>
  <c r="BL4" i="4" s="1"/>
  <c r="BM4" i="4" s="1"/>
  <c r="BN4" i="4" s="1"/>
  <c r="BO4" i="4" s="1"/>
  <c r="BP4" i="4" s="1"/>
  <c r="BQ4" i="4" s="1"/>
  <c r="BR4" i="4" s="1"/>
  <c r="BS4" i="4" s="1"/>
  <c r="BT4" i="4" s="1"/>
  <c r="BU4" i="4" s="1"/>
  <c r="BV4" i="4" s="1"/>
  <c r="BW4" i="4" s="1"/>
  <c r="BX4" i="4" s="1"/>
  <c r="BY4" i="4" s="1"/>
  <c r="BZ4" i="4" s="1"/>
  <c r="CA4" i="4" s="1"/>
  <c r="CB4" i="4" s="1"/>
  <c r="CC4" i="4" s="1"/>
  <c r="R5" i="3"/>
  <c r="AQ34" i="2" l="1"/>
  <c r="AQ32" i="2"/>
  <c r="AQ33" i="2"/>
  <c r="AQ20" i="2"/>
  <c r="AQ21" i="2"/>
  <c r="AQ22" i="2"/>
  <c r="AQ8" i="2"/>
  <c r="AQ10" i="2"/>
  <c r="AQ9" i="2"/>
  <c r="I13" i="5"/>
  <c r="H16" i="5"/>
  <c r="L7" i="6" s="1"/>
  <c r="K10" i="5"/>
  <c r="S5" i="3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S2" i="3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E22" i="5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AP22" i="5" s="1"/>
  <c r="AQ22" i="5" s="1"/>
  <c r="AR22" i="5" s="1"/>
  <c r="AS22" i="5" s="1"/>
  <c r="AT22" i="5" s="1"/>
  <c r="AU22" i="5" s="1"/>
  <c r="D21" i="5"/>
  <c r="E21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AQ12" i="5" s="1"/>
  <c r="AR12" i="5" s="1"/>
  <c r="AS12" i="5" s="1"/>
  <c r="AT12" i="5" s="1"/>
  <c r="AU12" i="5" s="1"/>
  <c r="AV12" i="5" s="1"/>
  <c r="AW12" i="5" s="1"/>
  <c r="AX12" i="5" s="1"/>
  <c r="AY12" i="5" s="1"/>
  <c r="AZ12" i="5" s="1"/>
  <c r="BA12" i="5" s="1"/>
  <c r="BB12" i="5" s="1"/>
  <c r="BC12" i="5" s="1"/>
  <c r="BD12" i="5" s="1"/>
  <c r="BE12" i="5" s="1"/>
  <c r="BF12" i="5" s="1"/>
  <c r="BG12" i="5" s="1"/>
  <c r="BH12" i="5" s="1"/>
  <c r="BI12" i="5" s="1"/>
  <c r="BJ12" i="5" s="1"/>
  <c r="BK12" i="5" s="1"/>
  <c r="BL12" i="5" s="1"/>
  <c r="E7" i="5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P7" i="5" s="1"/>
  <c r="AQ7" i="5" s="1"/>
  <c r="AR7" i="5" s="1"/>
  <c r="AS7" i="5" s="1"/>
  <c r="AT7" i="5" s="1"/>
  <c r="AU7" i="5" s="1"/>
  <c r="AV7" i="5" s="1"/>
  <c r="AW7" i="5" s="1"/>
  <c r="AX7" i="5" s="1"/>
  <c r="AY7" i="5" s="1"/>
  <c r="AZ7" i="5" s="1"/>
  <c r="BA7" i="5" s="1"/>
  <c r="BB7" i="5" s="1"/>
  <c r="BC7" i="5" s="1"/>
  <c r="BD7" i="5" s="1"/>
  <c r="BE7" i="5" s="1"/>
  <c r="BF7" i="5" s="1"/>
  <c r="BG7" i="5" s="1"/>
  <c r="BH7" i="5" s="1"/>
  <c r="BI7" i="5" s="1"/>
  <c r="BJ7" i="5" s="1"/>
  <c r="BK7" i="5" s="1"/>
  <c r="BL7" i="5" s="1"/>
  <c r="AN2" i="2"/>
  <c r="AO3" i="2"/>
  <c r="AO2" i="2" s="1"/>
  <c r="Y6" i="2"/>
  <c r="Z6" i="2"/>
  <c r="X6" i="2"/>
  <c r="AR33" i="2" l="1"/>
  <c r="AR32" i="2"/>
  <c r="AR34" i="2"/>
  <c r="AR22" i="2"/>
  <c r="AR21" i="2"/>
  <c r="AR20" i="2"/>
  <c r="AR9" i="2"/>
  <c r="AR10" i="2"/>
  <c r="AR8" i="2"/>
  <c r="AC4" i="2"/>
  <c r="AC5" i="2"/>
  <c r="AE5" i="2"/>
  <c r="AE4" i="2"/>
  <c r="AP3" i="2"/>
  <c r="AD4" i="2"/>
  <c r="AD5" i="2"/>
  <c r="AO18" i="2"/>
  <c r="AP18" i="2" s="1"/>
  <c r="AN4" i="2"/>
  <c r="AA59" i="2"/>
  <c r="L10" i="5"/>
  <c r="J13" i="5"/>
  <c r="I16" i="5"/>
  <c r="M7" i="6" s="1"/>
  <c r="AV22" i="5"/>
  <c r="AW22" i="5" s="1"/>
  <c r="AX22" i="5" s="1"/>
  <c r="AY22" i="5" s="1"/>
  <c r="AZ22" i="5" s="1"/>
  <c r="BA22" i="5" s="1"/>
  <c r="BB22" i="5" s="1"/>
  <c r="BC22" i="5" s="1"/>
  <c r="BD22" i="5" s="1"/>
  <c r="BE22" i="5" s="1"/>
  <c r="BF22" i="5" s="1"/>
  <c r="BG22" i="5" s="1"/>
  <c r="BH22" i="5" s="1"/>
  <c r="BI22" i="5" s="1"/>
  <c r="BJ22" i="5" s="1"/>
  <c r="BK22" i="5" s="1"/>
  <c r="BL22" i="5" s="1"/>
  <c r="E24" i="5"/>
  <c r="F21" i="5"/>
  <c r="D24" i="5"/>
  <c r="E11" i="5"/>
  <c r="E272" i="1"/>
  <c r="F272" i="1" s="1"/>
  <c r="G272" i="1" s="1"/>
  <c r="H272" i="1" s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X225" i="1"/>
  <c r="Y225" i="1"/>
  <c r="W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D266" i="1"/>
  <c r="D271" i="1" s="1"/>
  <c r="E266" i="1"/>
  <c r="E271" i="1" s="1"/>
  <c r="F266" i="1"/>
  <c r="F271" i="1" s="1"/>
  <c r="G266" i="1"/>
  <c r="G271" i="1" s="1"/>
  <c r="H266" i="1"/>
  <c r="H271" i="1" s="1"/>
  <c r="I266" i="1"/>
  <c r="I271" i="1" s="1"/>
  <c r="J266" i="1"/>
  <c r="J271" i="1" s="1"/>
  <c r="K266" i="1"/>
  <c r="K271" i="1" s="1"/>
  <c r="L266" i="1"/>
  <c r="L271" i="1" s="1"/>
  <c r="C266" i="1"/>
  <c r="C271" i="1" s="1"/>
  <c r="AS34" i="2" l="1"/>
  <c r="AS32" i="2"/>
  <c r="AS33" i="2"/>
  <c r="AS20" i="2"/>
  <c r="AS21" i="2"/>
  <c r="AS22" i="2"/>
  <c r="E247" i="1"/>
  <c r="E246" i="1"/>
  <c r="E245" i="1"/>
  <c r="E235" i="1"/>
  <c r="E234" i="1"/>
  <c r="E233" i="1"/>
  <c r="AD3" i="2"/>
  <c r="AR73" i="2"/>
  <c r="AR75" i="2"/>
  <c r="AQ75" i="2"/>
  <c r="AR74" i="2"/>
  <c r="AQ74" i="2"/>
  <c r="AO74" i="2"/>
  <c r="AO75" i="2"/>
  <c r="AO73" i="2"/>
  <c r="AP74" i="2"/>
  <c r="AP75" i="2"/>
  <c r="AP73" i="2"/>
  <c r="AQ73" i="2"/>
  <c r="AN73" i="2"/>
  <c r="AN75" i="2"/>
  <c r="AN74" i="2"/>
  <c r="AQ61" i="2"/>
  <c r="AR63" i="2"/>
  <c r="AR62" i="2"/>
  <c r="AO62" i="2"/>
  <c r="AO61" i="2"/>
  <c r="AO63" i="2"/>
  <c r="AP61" i="2"/>
  <c r="AP63" i="2"/>
  <c r="AP62" i="2"/>
  <c r="AQ63" i="2"/>
  <c r="AR61" i="2"/>
  <c r="AQ62" i="2"/>
  <c r="AN61" i="2"/>
  <c r="AN63" i="2"/>
  <c r="AN62" i="2"/>
  <c r="AS8" i="2"/>
  <c r="AS10" i="2"/>
  <c r="AS9" i="2"/>
  <c r="AE3" i="2"/>
  <c r="AQ3" i="2"/>
  <c r="AP2" i="2"/>
  <c r="AC3" i="2"/>
  <c r="AO4" i="2"/>
  <c r="K13" i="5"/>
  <c r="J16" i="5"/>
  <c r="N7" i="6" s="1"/>
  <c r="M10" i="5"/>
  <c r="F11" i="5"/>
  <c r="F15" i="5" s="1"/>
  <c r="F24" i="5"/>
  <c r="G21" i="5"/>
  <c r="E15" i="5"/>
  <c r="I8" i="6" s="1"/>
  <c r="I272" i="1"/>
  <c r="J272" i="1" s="1"/>
  <c r="K272" i="1" s="1"/>
  <c r="L272" i="1" s="1"/>
  <c r="M272" i="1" s="1"/>
  <c r="N272" i="1" s="1"/>
  <c r="O272" i="1" s="1"/>
  <c r="P272" i="1" s="1"/>
  <c r="Q272" i="1" s="1"/>
  <c r="R272" i="1" s="1"/>
  <c r="S272" i="1" s="1"/>
  <c r="T272" i="1" s="1"/>
  <c r="U272" i="1" s="1"/>
  <c r="AQ18" i="2"/>
  <c r="E253" i="1"/>
  <c r="F253" i="1"/>
  <c r="G253" i="1"/>
  <c r="H253" i="1"/>
  <c r="I253" i="1"/>
  <c r="J253" i="1"/>
  <c r="K253" i="1"/>
  <c r="L253" i="1"/>
  <c r="D253" i="1"/>
  <c r="E240" i="1"/>
  <c r="F240" i="1"/>
  <c r="G240" i="1"/>
  <c r="H240" i="1"/>
  <c r="I240" i="1"/>
  <c r="J240" i="1"/>
  <c r="K240" i="1"/>
  <c r="L240" i="1"/>
  <c r="D240" i="1"/>
  <c r="E228" i="1"/>
  <c r="F228" i="1"/>
  <c r="G228" i="1"/>
  <c r="H228" i="1"/>
  <c r="I228" i="1"/>
  <c r="J228" i="1"/>
  <c r="K228" i="1"/>
  <c r="L228" i="1"/>
  <c r="D228" i="1"/>
  <c r="C240" i="1"/>
  <c r="C253" i="1"/>
  <c r="M223" i="1"/>
  <c r="M253" i="1" s="1"/>
  <c r="M240" i="1" l="1"/>
  <c r="N223" i="1"/>
  <c r="N253" i="1" s="1"/>
  <c r="M266" i="1"/>
  <c r="M271" i="1" s="1"/>
  <c r="M228" i="1"/>
  <c r="O223" i="1"/>
  <c r="N266" i="1"/>
  <c r="N271" i="1" s="1"/>
  <c r="AT33" i="2"/>
  <c r="AT32" i="2"/>
  <c r="AT34" i="2"/>
  <c r="AT20" i="2"/>
  <c r="F246" i="1"/>
  <c r="W23" i="4"/>
  <c r="F247" i="1"/>
  <c r="W24" i="4"/>
  <c r="AT22" i="2"/>
  <c r="AT21" i="2"/>
  <c r="F245" i="1"/>
  <c r="W22" i="4"/>
  <c r="F234" i="1"/>
  <c r="W11" i="4"/>
  <c r="F235" i="1"/>
  <c r="W12" i="4"/>
  <c r="F233" i="1"/>
  <c r="W10" i="4"/>
  <c r="AS62" i="2"/>
  <c r="AS74" i="2"/>
  <c r="AS61" i="2"/>
  <c r="AS73" i="2"/>
  <c r="AS63" i="2"/>
  <c r="AS75" i="2"/>
  <c r="AR49" i="2"/>
  <c r="V46" i="3" s="1"/>
  <c r="AT10" i="2"/>
  <c r="AS51" i="2"/>
  <c r="AR50" i="2"/>
  <c r="V47" i="3" s="1"/>
  <c r="AT9" i="2"/>
  <c r="AS50" i="2"/>
  <c r="AR51" i="2"/>
  <c r="V48" i="3" s="1"/>
  <c r="AO50" i="2"/>
  <c r="S47" i="3" s="1"/>
  <c r="AO51" i="2"/>
  <c r="S48" i="3" s="1"/>
  <c r="AO49" i="2"/>
  <c r="S46" i="3" s="1"/>
  <c r="AP49" i="2"/>
  <c r="T46" i="3" s="1"/>
  <c r="AP51" i="2"/>
  <c r="T48" i="3" s="1"/>
  <c r="AP50" i="2"/>
  <c r="T47" i="3" s="1"/>
  <c r="AQ49" i="2"/>
  <c r="U46" i="3" s="1"/>
  <c r="AQ50" i="2"/>
  <c r="U47" i="3" s="1"/>
  <c r="AQ51" i="2"/>
  <c r="U48" i="3" s="1"/>
  <c r="AT8" i="2"/>
  <c r="AS49" i="2"/>
  <c r="AN49" i="2"/>
  <c r="R46" i="3" s="1"/>
  <c r="AN51" i="2"/>
  <c r="AN50" i="2"/>
  <c r="R47" i="3" s="1"/>
  <c r="AR3" i="2"/>
  <c r="AQ2" i="2"/>
  <c r="AP4" i="2"/>
  <c r="N10" i="5"/>
  <c r="L13" i="5"/>
  <c r="K16" i="5"/>
  <c r="O7" i="6" s="1"/>
  <c r="J8" i="6"/>
  <c r="G11" i="5"/>
  <c r="H11" i="5" s="1"/>
  <c r="H21" i="5"/>
  <c r="G24" i="5"/>
  <c r="V272" i="1"/>
  <c r="AR18" i="2"/>
  <c r="N240" i="1" l="1"/>
  <c r="N228" i="1"/>
  <c r="P223" i="1"/>
  <c r="O266" i="1"/>
  <c r="O271" i="1" s="1"/>
  <c r="O228" i="1"/>
  <c r="O240" i="1"/>
  <c r="O253" i="1"/>
  <c r="AU34" i="2"/>
  <c r="AU32" i="2"/>
  <c r="AU33" i="2"/>
  <c r="AU21" i="2"/>
  <c r="AU22" i="2"/>
  <c r="G245" i="1"/>
  <c r="X22" i="4"/>
  <c r="G246" i="1"/>
  <c r="X23" i="4"/>
  <c r="AU20" i="2"/>
  <c r="G247" i="1"/>
  <c r="X24" i="4"/>
  <c r="G235" i="1"/>
  <c r="X12" i="4"/>
  <c r="G233" i="1"/>
  <c r="X10" i="4"/>
  <c r="G234" i="1"/>
  <c r="X11" i="4"/>
  <c r="R34" i="3"/>
  <c r="R48" i="3"/>
  <c r="W46" i="3"/>
  <c r="W47" i="3"/>
  <c r="W48" i="3"/>
  <c r="W32" i="3"/>
  <c r="W33" i="3"/>
  <c r="AO86" i="2"/>
  <c r="S33" i="3"/>
  <c r="AQ86" i="2"/>
  <c r="U33" i="3"/>
  <c r="AQ85" i="2"/>
  <c r="U32" i="3"/>
  <c r="AO87" i="2"/>
  <c r="S34" i="3"/>
  <c r="AQ87" i="2"/>
  <c r="U34" i="3"/>
  <c r="AR87" i="2"/>
  <c r="V34" i="3"/>
  <c r="AP86" i="2"/>
  <c r="T33" i="3"/>
  <c r="AO85" i="2"/>
  <c r="S32" i="3"/>
  <c r="AR85" i="2"/>
  <c r="V32" i="3"/>
  <c r="AP87" i="2"/>
  <c r="T34" i="3"/>
  <c r="AR86" i="2"/>
  <c r="V33" i="3"/>
  <c r="AP85" i="2"/>
  <c r="T32" i="3"/>
  <c r="W34" i="3"/>
  <c r="AN86" i="2"/>
  <c r="R33" i="3"/>
  <c r="AN87" i="2"/>
  <c r="AN85" i="2"/>
  <c r="R32" i="3"/>
  <c r="AS85" i="2"/>
  <c r="AS86" i="2"/>
  <c r="AS87" i="2"/>
  <c r="AT63" i="2"/>
  <c r="AT75" i="2"/>
  <c r="AT61" i="2"/>
  <c r="AT73" i="2"/>
  <c r="AT62" i="2"/>
  <c r="AT74" i="2"/>
  <c r="AU9" i="2"/>
  <c r="AT50" i="2"/>
  <c r="AU8" i="2"/>
  <c r="AT49" i="2"/>
  <c r="AU10" i="2"/>
  <c r="AT51" i="2"/>
  <c r="AS3" i="2"/>
  <c r="AR2" i="2"/>
  <c r="AQ4" i="2"/>
  <c r="M13" i="5"/>
  <c r="L16" i="5"/>
  <c r="P7" i="6" s="1"/>
  <c r="O10" i="5"/>
  <c r="G15" i="5"/>
  <c r="K8" i="6" s="1"/>
  <c r="I21" i="5"/>
  <c r="H24" i="5"/>
  <c r="W272" i="1"/>
  <c r="X272" i="1" s="1"/>
  <c r="Y272" i="1" s="1"/>
  <c r="Z272" i="1" s="1"/>
  <c r="AA272" i="1" s="1"/>
  <c r="AB272" i="1" s="1"/>
  <c r="AC272" i="1" s="1"/>
  <c r="AC276" i="1" s="1"/>
  <c r="AH11" i="6" s="1"/>
  <c r="AS18" i="2"/>
  <c r="I11" i="5"/>
  <c r="H15" i="5"/>
  <c r="L8" i="6" s="1"/>
  <c r="Q223" i="1" l="1"/>
  <c r="P266" i="1"/>
  <c r="P271" i="1" s="1"/>
  <c r="P253" i="1"/>
  <c r="P228" i="1"/>
  <c r="P240" i="1"/>
  <c r="AV33" i="2"/>
  <c r="AV32" i="2"/>
  <c r="AV34" i="2"/>
  <c r="H245" i="1"/>
  <c r="Y22" i="4"/>
  <c r="H247" i="1"/>
  <c r="Y24" i="4"/>
  <c r="AV22" i="2"/>
  <c r="H246" i="1"/>
  <c r="Y23" i="4"/>
  <c r="AV20" i="2"/>
  <c r="AV21" i="2"/>
  <c r="H234" i="1"/>
  <c r="Y11" i="4"/>
  <c r="H233" i="1"/>
  <c r="Y10" i="4"/>
  <c r="H235" i="1"/>
  <c r="Y12" i="4"/>
  <c r="X47" i="3"/>
  <c r="X46" i="3"/>
  <c r="X48" i="3"/>
  <c r="AT87" i="2"/>
  <c r="X34" i="3"/>
  <c r="X32" i="3"/>
  <c r="X33" i="3"/>
  <c r="AT85" i="2"/>
  <c r="AT86" i="2"/>
  <c r="AU62" i="2"/>
  <c r="AU74" i="2"/>
  <c r="AU63" i="2"/>
  <c r="AU75" i="2"/>
  <c r="AU61" i="2"/>
  <c r="AU73" i="2"/>
  <c r="AV8" i="2"/>
  <c r="AU49" i="2"/>
  <c r="AV10" i="2"/>
  <c r="AU51" i="2"/>
  <c r="AV9" i="2"/>
  <c r="AU50" i="2"/>
  <c r="AT3" i="2"/>
  <c r="AS2" i="2"/>
  <c r="AR4" i="2"/>
  <c r="P10" i="5"/>
  <c r="N13" i="5"/>
  <c r="M16" i="5"/>
  <c r="Q7" i="6" s="1"/>
  <c r="J21" i="5"/>
  <c r="I24" i="5"/>
  <c r="AD272" i="1"/>
  <c r="AE272" i="1" s="1"/>
  <c r="AF272" i="1" s="1"/>
  <c r="AG272" i="1" s="1"/>
  <c r="AH272" i="1" s="1"/>
  <c r="AI272" i="1" s="1"/>
  <c r="AJ272" i="1" s="1"/>
  <c r="AK272" i="1" s="1"/>
  <c r="AL272" i="1" s="1"/>
  <c r="AM272" i="1" s="1"/>
  <c r="AN272" i="1" s="1"/>
  <c r="AO272" i="1" s="1"/>
  <c r="AP272" i="1" s="1"/>
  <c r="AQ272" i="1" s="1"/>
  <c r="AR272" i="1" s="1"/>
  <c r="AS272" i="1" s="1"/>
  <c r="AT272" i="1" s="1"/>
  <c r="AU272" i="1" s="1"/>
  <c r="AV272" i="1" s="1"/>
  <c r="AW272" i="1" s="1"/>
  <c r="AX272" i="1" s="1"/>
  <c r="AY272" i="1" s="1"/>
  <c r="AZ272" i="1" s="1"/>
  <c r="BA272" i="1" s="1"/>
  <c r="BB272" i="1" s="1"/>
  <c r="BC272" i="1" s="1"/>
  <c r="BD272" i="1" s="1"/>
  <c r="BD276" i="1" s="1"/>
  <c r="BI11" i="6" s="1"/>
  <c r="AT18" i="2"/>
  <c r="J11" i="5"/>
  <c r="I15" i="5"/>
  <c r="M8" i="6" s="1"/>
  <c r="G4" i="6"/>
  <c r="H3" i="6"/>
  <c r="H4" i="6" s="1"/>
  <c r="R223" i="1" l="1"/>
  <c r="Q266" i="1"/>
  <c r="Q271" i="1" s="1"/>
  <c r="Q253" i="1"/>
  <c r="Q228" i="1"/>
  <c r="Q240" i="1"/>
  <c r="AW34" i="2"/>
  <c r="AW32" i="2"/>
  <c r="AW33" i="2"/>
  <c r="AW21" i="2"/>
  <c r="I247" i="1"/>
  <c r="Z24" i="4"/>
  <c r="I246" i="1"/>
  <c r="Z23" i="4"/>
  <c r="AW22" i="2"/>
  <c r="AW20" i="2"/>
  <c r="I245" i="1"/>
  <c r="Z22" i="4"/>
  <c r="I233" i="1"/>
  <c r="Z10" i="4"/>
  <c r="I235" i="1"/>
  <c r="Z12" i="4"/>
  <c r="I234" i="1"/>
  <c r="Z11" i="4"/>
  <c r="Y47" i="3"/>
  <c r="Y46" i="3"/>
  <c r="Y48" i="3"/>
  <c r="Y34" i="3"/>
  <c r="Y32" i="3"/>
  <c r="Y33" i="3"/>
  <c r="AU86" i="2"/>
  <c r="AU87" i="2"/>
  <c r="AU85" i="2"/>
  <c r="AV62" i="2"/>
  <c r="AV74" i="2"/>
  <c r="AV61" i="2"/>
  <c r="AV73" i="2"/>
  <c r="AV63" i="2"/>
  <c r="AV75" i="2"/>
  <c r="AW9" i="2"/>
  <c r="AV50" i="2"/>
  <c r="AW10" i="2"/>
  <c r="AV51" i="2"/>
  <c r="AW8" i="2"/>
  <c r="AV49" i="2"/>
  <c r="AU3" i="2"/>
  <c r="AT2" i="2"/>
  <c r="AS4" i="2"/>
  <c r="O13" i="5"/>
  <c r="N16" i="5"/>
  <c r="R7" i="6" s="1"/>
  <c r="Q10" i="5"/>
  <c r="K21" i="5"/>
  <c r="J24" i="5"/>
  <c r="BE272" i="1"/>
  <c r="BF272" i="1" s="1"/>
  <c r="BG272" i="1" s="1"/>
  <c r="BH272" i="1" s="1"/>
  <c r="BI272" i="1" s="1"/>
  <c r="BJ272" i="1" s="1"/>
  <c r="BK272" i="1" s="1"/>
  <c r="AF277" i="1"/>
  <c r="AK12" i="6" s="1"/>
  <c r="AU18" i="2"/>
  <c r="I3" i="6"/>
  <c r="K11" i="5"/>
  <c r="J15" i="5"/>
  <c r="N8" i="6" s="1"/>
  <c r="D50" i="5"/>
  <c r="S223" i="1" l="1"/>
  <c r="R266" i="1"/>
  <c r="R271" i="1" s="1"/>
  <c r="R253" i="1"/>
  <c r="R228" i="1"/>
  <c r="R240" i="1"/>
  <c r="AX33" i="2"/>
  <c r="AX32" i="2"/>
  <c r="AX34" i="2"/>
  <c r="AX22" i="2"/>
  <c r="J246" i="1"/>
  <c r="AA23" i="4"/>
  <c r="J245" i="1"/>
  <c r="AA22" i="4"/>
  <c r="J247" i="1"/>
  <c r="AA24" i="4"/>
  <c r="AX20" i="2"/>
  <c r="AX21" i="2"/>
  <c r="J234" i="1"/>
  <c r="AA11" i="4"/>
  <c r="J235" i="1"/>
  <c r="AA12" i="4"/>
  <c r="J233" i="1"/>
  <c r="AA10" i="4"/>
  <c r="Z46" i="3"/>
  <c r="Z47" i="3"/>
  <c r="Z48" i="3"/>
  <c r="Z34" i="3"/>
  <c r="AV85" i="2"/>
  <c r="Z32" i="3"/>
  <c r="Z33" i="3"/>
  <c r="AV87" i="2"/>
  <c r="AV86" i="2"/>
  <c r="AW62" i="2"/>
  <c r="AW74" i="2"/>
  <c r="AW61" i="2"/>
  <c r="AW73" i="2"/>
  <c r="AW63" i="2"/>
  <c r="AW75" i="2"/>
  <c r="AX8" i="2"/>
  <c r="AW49" i="2"/>
  <c r="AX10" i="2"/>
  <c r="AW51" i="2"/>
  <c r="AX9" i="2"/>
  <c r="AW50" i="2"/>
  <c r="AV3" i="2"/>
  <c r="AU2" i="2"/>
  <c r="AT4" i="2"/>
  <c r="R10" i="5"/>
  <c r="P13" i="5"/>
  <c r="O16" i="5"/>
  <c r="S7" i="6" s="1"/>
  <c r="L21" i="5"/>
  <c r="K24" i="5"/>
  <c r="BJ277" i="1"/>
  <c r="BO12" i="6" s="1"/>
  <c r="AV18" i="2"/>
  <c r="J3" i="6"/>
  <c r="I4" i="6"/>
  <c r="L11" i="5"/>
  <c r="K15" i="5"/>
  <c r="O8" i="6" s="1"/>
  <c r="G30" i="2"/>
  <c r="G31" i="2"/>
  <c r="G32" i="2"/>
  <c r="G36" i="2"/>
  <c r="G29" i="2"/>
  <c r="T223" i="1" l="1"/>
  <c r="S266" i="1"/>
  <c r="S271" i="1" s="1"/>
  <c r="S228" i="1"/>
  <c r="S240" i="1"/>
  <c r="S253" i="1"/>
  <c r="AY34" i="2"/>
  <c r="AY32" i="2"/>
  <c r="AY33" i="2"/>
  <c r="K247" i="1"/>
  <c r="AB24" i="4"/>
  <c r="K245" i="1"/>
  <c r="AB22" i="4"/>
  <c r="AY21" i="2"/>
  <c r="K246" i="1"/>
  <c r="AB23" i="4"/>
  <c r="AY20" i="2"/>
  <c r="AY22" i="2"/>
  <c r="K235" i="1"/>
  <c r="AB12" i="4"/>
  <c r="K234" i="1"/>
  <c r="AB11" i="4"/>
  <c r="K233" i="1"/>
  <c r="AB10" i="4"/>
  <c r="AA47" i="3"/>
  <c r="AA46" i="3"/>
  <c r="AA48" i="3"/>
  <c r="AA32" i="3"/>
  <c r="AA34" i="3"/>
  <c r="AA33" i="3"/>
  <c r="AW86" i="2"/>
  <c r="AW87" i="2"/>
  <c r="AW85" i="2"/>
  <c r="AX63" i="2"/>
  <c r="AX75" i="2"/>
  <c r="AX61" i="2"/>
  <c r="AX73" i="2"/>
  <c r="AX62" i="2"/>
  <c r="AX74" i="2"/>
  <c r="AY9" i="2"/>
  <c r="AX50" i="2"/>
  <c r="AY10" i="2"/>
  <c r="AX51" i="2"/>
  <c r="AY8" i="2"/>
  <c r="AX49" i="2"/>
  <c r="AW3" i="2"/>
  <c r="AV2" i="2"/>
  <c r="AU4" i="2"/>
  <c r="Q13" i="5"/>
  <c r="P16" i="5"/>
  <c r="T7" i="6" s="1"/>
  <c r="S10" i="5"/>
  <c r="M21" i="5"/>
  <c r="L24" i="5"/>
  <c r="AW18" i="2"/>
  <c r="K3" i="6"/>
  <c r="J4" i="6"/>
  <c r="M11" i="5"/>
  <c r="L15" i="5"/>
  <c r="P8" i="6" s="1"/>
  <c r="U223" i="1" l="1"/>
  <c r="T266" i="1"/>
  <c r="T271" i="1" s="1"/>
  <c r="T240" i="1"/>
  <c r="T228" i="1"/>
  <c r="T253" i="1"/>
  <c r="AZ33" i="2"/>
  <c r="AZ32" i="2"/>
  <c r="AZ34" i="2"/>
  <c r="AZ21" i="2"/>
  <c r="AZ22" i="2"/>
  <c r="L245" i="1"/>
  <c r="AC22" i="4"/>
  <c r="L246" i="1"/>
  <c r="AC23" i="4"/>
  <c r="AZ20" i="2"/>
  <c r="L247" i="1"/>
  <c r="AC24" i="4"/>
  <c r="L234" i="1"/>
  <c r="AC11" i="4"/>
  <c r="L233" i="1"/>
  <c r="AC10" i="4"/>
  <c r="L235" i="1"/>
  <c r="AC12" i="4"/>
  <c r="AB46" i="3"/>
  <c r="AB47" i="3"/>
  <c r="AB34" i="3"/>
  <c r="AB48" i="3"/>
  <c r="AB33" i="3"/>
  <c r="AX85" i="2"/>
  <c r="AB32" i="3"/>
  <c r="AX87" i="2"/>
  <c r="AX86" i="2"/>
  <c r="AY61" i="2"/>
  <c r="AY73" i="2"/>
  <c r="AY62" i="2"/>
  <c r="AY74" i="2"/>
  <c r="AY63" i="2"/>
  <c r="AY75" i="2"/>
  <c r="AZ8" i="2"/>
  <c r="AY49" i="2"/>
  <c r="AZ10" i="2"/>
  <c r="AY51" i="2"/>
  <c r="AZ9" i="2"/>
  <c r="AY50" i="2"/>
  <c r="AX3" i="2"/>
  <c r="AW2" i="2"/>
  <c r="AV4" i="2"/>
  <c r="T10" i="5"/>
  <c r="R13" i="5"/>
  <c r="Q16" i="5"/>
  <c r="U7" i="6" s="1"/>
  <c r="N21" i="5"/>
  <c r="M24" i="5"/>
  <c r="AX18" i="2"/>
  <c r="L3" i="6"/>
  <c r="K4" i="6"/>
  <c r="N11" i="5"/>
  <c r="M15" i="5"/>
  <c r="Q8" i="6" s="1"/>
  <c r="V223" i="1" l="1"/>
  <c r="U266" i="1"/>
  <c r="U271" i="1" s="1"/>
  <c r="U240" i="1"/>
  <c r="U253" i="1"/>
  <c r="U228" i="1"/>
  <c r="BA34" i="2"/>
  <c r="BA32" i="2"/>
  <c r="BA33" i="2"/>
  <c r="M245" i="1"/>
  <c r="AD22" i="4"/>
  <c r="M246" i="1"/>
  <c r="AD23" i="4"/>
  <c r="M247" i="1"/>
  <c r="AD24" i="4"/>
  <c r="BA22" i="2"/>
  <c r="BA20" i="2"/>
  <c r="BA21" i="2"/>
  <c r="M235" i="1"/>
  <c r="AD12" i="4"/>
  <c r="M233" i="1"/>
  <c r="AD10" i="4"/>
  <c r="M234" i="1"/>
  <c r="AD11" i="4"/>
  <c r="AC46" i="3"/>
  <c r="AC47" i="3"/>
  <c r="AC48" i="3"/>
  <c r="AC34" i="3"/>
  <c r="AC33" i="3"/>
  <c r="AC32" i="3"/>
  <c r="AY86" i="2"/>
  <c r="AY85" i="2"/>
  <c r="AY87" i="2"/>
  <c r="AZ61" i="2"/>
  <c r="AZ73" i="2"/>
  <c r="AZ62" i="2"/>
  <c r="AZ74" i="2"/>
  <c r="AZ63" i="2"/>
  <c r="AZ75" i="2"/>
  <c r="BA9" i="2"/>
  <c r="AZ50" i="2"/>
  <c r="BA10" i="2"/>
  <c r="AZ51" i="2"/>
  <c r="BA8" i="2"/>
  <c r="AZ49" i="2"/>
  <c r="AY3" i="2"/>
  <c r="AX2" i="2"/>
  <c r="AW4" i="2"/>
  <c r="S13" i="5"/>
  <c r="R16" i="5"/>
  <c r="V7" i="6" s="1"/>
  <c r="U10" i="5"/>
  <c r="O21" i="5"/>
  <c r="N24" i="5"/>
  <c r="AY18" i="2"/>
  <c r="M3" i="6"/>
  <c r="L4" i="6"/>
  <c r="O11" i="5"/>
  <c r="N15" i="5"/>
  <c r="R8" i="6" s="1"/>
  <c r="D210" i="1"/>
  <c r="A210" i="1"/>
  <c r="D34" i="1"/>
  <c r="E34" i="1"/>
  <c r="AN17" i="2"/>
  <c r="AN23" i="2"/>
  <c r="AN16" i="2"/>
  <c r="W223" i="1" l="1"/>
  <c r="V266" i="1"/>
  <c r="V271" i="1" s="1"/>
  <c r="V240" i="1"/>
  <c r="V253" i="1"/>
  <c r="V228" i="1"/>
  <c r="BB33" i="2"/>
  <c r="BB32" i="2"/>
  <c r="BB34" i="2"/>
  <c r="N247" i="1"/>
  <c r="AE24" i="4"/>
  <c r="BB21" i="2"/>
  <c r="N246" i="1"/>
  <c r="AE23" i="4"/>
  <c r="BB22" i="2"/>
  <c r="BB20" i="2"/>
  <c r="N245" i="1"/>
  <c r="AE22" i="4"/>
  <c r="C216" i="1"/>
  <c r="N234" i="1"/>
  <c r="AE11" i="4"/>
  <c r="N233" i="1"/>
  <c r="AE10" i="4"/>
  <c r="N235" i="1"/>
  <c r="AE12" i="4"/>
  <c r="E216" i="1"/>
  <c r="C215" i="1"/>
  <c r="G213" i="1"/>
  <c r="E212" i="1"/>
  <c r="G214" i="1"/>
  <c r="E213" i="1"/>
  <c r="D216" i="1"/>
  <c r="C258" i="1" s="1"/>
  <c r="H214" i="1"/>
  <c r="F213" i="1"/>
  <c r="D212" i="1"/>
  <c r="C212" i="1"/>
  <c r="H215" i="1"/>
  <c r="F214" i="1"/>
  <c r="D213" i="1"/>
  <c r="G215" i="1"/>
  <c r="E214" i="1"/>
  <c r="C213" i="1"/>
  <c r="H216" i="1"/>
  <c r="F215" i="1"/>
  <c r="D214" i="1"/>
  <c r="H212" i="1"/>
  <c r="G216" i="1"/>
  <c r="E215" i="1"/>
  <c r="C214" i="1"/>
  <c r="G212" i="1"/>
  <c r="F216" i="1"/>
  <c r="D215" i="1"/>
  <c r="H213" i="1"/>
  <c r="F212" i="1"/>
  <c r="I219" i="1"/>
  <c r="H218" i="1"/>
  <c r="G217" i="1"/>
  <c r="G219" i="1"/>
  <c r="E217" i="1"/>
  <c r="H219" i="1"/>
  <c r="G218" i="1"/>
  <c r="F217" i="1"/>
  <c r="F218" i="1"/>
  <c r="F219" i="1"/>
  <c r="E218" i="1"/>
  <c r="D217" i="1"/>
  <c r="C259" i="1" s="1"/>
  <c r="U35" i="4" s="1"/>
  <c r="E219" i="1"/>
  <c r="D218" i="1"/>
  <c r="C260" i="1" s="1"/>
  <c r="U36" i="4" s="1"/>
  <c r="C217" i="1"/>
  <c r="D219" i="1"/>
  <c r="C261" i="1" s="1"/>
  <c r="C218" i="1"/>
  <c r="C219" i="1"/>
  <c r="I217" i="1"/>
  <c r="I218" i="1"/>
  <c r="H217" i="1"/>
  <c r="AD46" i="3"/>
  <c r="AD48" i="3"/>
  <c r="AD47" i="3"/>
  <c r="AD34" i="3"/>
  <c r="AD33" i="3"/>
  <c r="AD32" i="3"/>
  <c r="AZ85" i="2"/>
  <c r="AZ87" i="2"/>
  <c r="AZ86" i="2"/>
  <c r="BA63" i="2"/>
  <c r="BA75" i="2"/>
  <c r="BA62" i="2"/>
  <c r="BA74" i="2"/>
  <c r="BA61" i="2"/>
  <c r="BA73" i="2"/>
  <c r="BB8" i="2"/>
  <c r="BA49" i="2"/>
  <c r="BB10" i="2"/>
  <c r="BA51" i="2"/>
  <c r="BB9" i="2"/>
  <c r="BA50" i="2"/>
  <c r="AZ3" i="2"/>
  <c r="AY2" i="2"/>
  <c r="AN28" i="2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AO16" i="2"/>
  <c r="AO6" i="2"/>
  <c r="AO19" i="2"/>
  <c r="AX4" i="2"/>
  <c r="AO23" i="2"/>
  <c r="AO17" i="2"/>
  <c r="V10" i="5"/>
  <c r="T13" i="5"/>
  <c r="S16" i="5"/>
  <c r="W7" i="6" s="1"/>
  <c r="P21" i="5"/>
  <c r="O24" i="5"/>
  <c r="AZ18" i="2"/>
  <c r="N3" i="6"/>
  <c r="M4" i="6"/>
  <c r="P11" i="5"/>
  <c r="O15" i="5"/>
  <c r="S8" i="6" s="1"/>
  <c r="H73" i="1"/>
  <c r="J74" i="1" s="1"/>
  <c r="H67" i="1"/>
  <c r="I68" i="1" s="1"/>
  <c r="L26" i="1"/>
  <c r="J26" i="1"/>
  <c r="L33" i="1"/>
  <c r="J33" i="1"/>
  <c r="L35" i="1"/>
  <c r="J35" i="1"/>
  <c r="L37" i="1"/>
  <c r="L34" i="1"/>
  <c r="J34" i="1"/>
  <c r="AN11" i="2"/>
  <c r="X223" i="1" l="1"/>
  <c r="W266" i="1"/>
  <c r="W271" i="1" s="1"/>
  <c r="W240" i="1"/>
  <c r="W253" i="1"/>
  <c r="W228" i="1"/>
  <c r="BC34" i="2"/>
  <c r="BC32" i="2"/>
  <c r="BC33" i="2"/>
  <c r="D258" i="1"/>
  <c r="U34" i="4"/>
  <c r="D260" i="1"/>
  <c r="D259" i="1"/>
  <c r="BC22" i="2"/>
  <c r="O246" i="1"/>
  <c r="AF23" i="4"/>
  <c r="O245" i="1"/>
  <c r="AF22" i="4"/>
  <c r="BC21" i="2"/>
  <c r="BC20" i="2"/>
  <c r="O247" i="1"/>
  <c r="AF24" i="4"/>
  <c r="O233" i="1"/>
  <c r="AF10" i="4"/>
  <c r="O234" i="1"/>
  <c r="AF11" i="4"/>
  <c r="O235" i="1"/>
  <c r="AF12" i="4"/>
  <c r="AE47" i="3"/>
  <c r="AE46" i="3"/>
  <c r="AE34" i="3"/>
  <c r="AE48" i="3"/>
  <c r="AE32" i="3"/>
  <c r="BA86" i="2"/>
  <c r="AE33" i="3"/>
  <c r="BA87" i="2"/>
  <c r="BA85" i="2"/>
  <c r="BB61" i="2"/>
  <c r="BB73" i="2"/>
  <c r="BB62" i="2"/>
  <c r="BB74" i="2"/>
  <c r="BB63" i="2"/>
  <c r="BB75" i="2"/>
  <c r="BC9" i="2"/>
  <c r="BB50" i="2"/>
  <c r="BC10" i="2"/>
  <c r="BB51" i="2"/>
  <c r="BC8" i="2"/>
  <c r="BB49" i="2"/>
  <c r="AO5" i="2"/>
  <c r="AA60" i="2"/>
  <c r="BA3" i="2"/>
  <c r="AZ2" i="2"/>
  <c r="AN57" i="2"/>
  <c r="AN69" i="2"/>
  <c r="AN45" i="2"/>
  <c r="AY4" i="2"/>
  <c r="AP19" i="2"/>
  <c r="AP16" i="2"/>
  <c r="AO45" i="2"/>
  <c r="AO69" i="2"/>
  <c r="AO57" i="2"/>
  <c r="AP6" i="2"/>
  <c r="AO11" i="2"/>
  <c r="AN31" i="2"/>
  <c r="AN72" i="2" s="1"/>
  <c r="AO7" i="2"/>
  <c r="AP17" i="2"/>
  <c r="AP23" i="2"/>
  <c r="U13" i="5"/>
  <c r="T16" i="5"/>
  <c r="X7" i="6" s="1"/>
  <c r="W10" i="5"/>
  <c r="Q21" i="5"/>
  <c r="P24" i="5"/>
  <c r="BA18" i="2"/>
  <c r="BB28" i="2"/>
  <c r="O3" i="6"/>
  <c r="N4" i="6"/>
  <c r="Q11" i="5"/>
  <c r="P15" i="5"/>
  <c r="T8" i="6" s="1"/>
  <c r="I74" i="1"/>
  <c r="J68" i="1"/>
  <c r="L21" i="1"/>
  <c r="J122" i="1" s="1"/>
  <c r="J133" i="1" s="1"/>
  <c r="J144" i="1" s="1"/>
  <c r="J155" i="1" s="1"/>
  <c r="J166" i="1" s="1"/>
  <c r="J177" i="1" s="1"/>
  <c r="L18" i="1"/>
  <c r="L19" i="1"/>
  <c r="L20" i="1"/>
  <c r="L17" i="1"/>
  <c r="J18" i="1"/>
  <c r="J19" i="1"/>
  <c r="J20" i="1"/>
  <c r="I121" i="1" s="1"/>
  <c r="J21" i="1"/>
  <c r="J17" i="1"/>
  <c r="Y223" i="1" l="1"/>
  <c r="X266" i="1"/>
  <c r="X271" i="1" s="1"/>
  <c r="X253" i="1"/>
  <c r="X228" i="1"/>
  <c r="X240" i="1"/>
  <c r="E258" i="1"/>
  <c r="V34" i="4"/>
  <c r="BD33" i="2"/>
  <c r="E259" i="1"/>
  <c r="V35" i="4"/>
  <c r="BD32" i="2"/>
  <c r="E260" i="1"/>
  <c r="V36" i="4"/>
  <c r="BD34" i="2"/>
  <c r="P245" i="1"/>
  <c r="AG22" i="4"/>
  <c r="P247" i="1"/>
  <c r="AG24" i="4"/>
  <c r="P246" i="1"/>
  <c r="AG23" i="4"/>
  <c r="BD21" i="2"/>
  <c r="BD20" i="2"/>
  <c r="BD22" i="2"/>
  <c r="P234" i="1"/>
  <c r="AG11" i="4"/>
  <c r="P235" i="1"/>
  <c r="AG12" i="4"/>
  <c r="P233" i="1"/>
  <c r="AG10" i="4"/>
  <c r="I132" i="1"/>
  <c r="H192" i="1"/>
  <c r="I122" i="1"/>
  <c r="I133" i="1" s="1"/>
  <c r="I144" i="1" s="1"/>
  <c r="I155" i="1" s="1"/>
  <c r="I166" i="1" s="1"/>
  <c r="I177" i="1" s="1"/>
  <c r="R28" i="3"/>
  <c r="R42" i="3"/>
  <c r="AF47" i="3"/>
  <c r="S42" i="3"/>
  <c r="AF46" i="3"/>
  <c r="AF48" i="3"/>
  <c r="AF34" i="3"/>
  <c r="S28" i="3"/>
  <c r="AF32" i="3"/>
  <c r="AF33" i="3"/>
  <c r="BB85" i="2"/>
  <c r="BB87" i="2"/>
  <c r="BB86" i="2"/>
  <c r="BC62" i="2"/>
  <c r="BC74" i="2"/>
  <c r="BC61" i="2"/>
  <c r="BC73" i="2"/>
  <c r="BC63" i="2"/>
  <c r="BC75" i="2"/>
  <c r="AO31" i="2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AN60" i="2"/>
  <c r="BD8" i="2"/>
  <c r="BC49" i="2"/>
  <c r="BD10" i="2"/>
  <c r="BC51" i="2"/>
  <c r="BD9" i="2"/>
  <c r="BC50" i="2"/>
  <c r="BB3" i="2"/>
  <c r="BA2" i="2"/>
  <c r="AN81" i="2"/>
  <c r="AP5" i="2"/>
  <c r="AO81" i="2"/>
  <c r="AQ19" i="2"/>
  <c r="AQ16" i="2"/>
  <c r="AP57" i="2"/>
  <c r="AP45" i="2"/>
  <c r="AP69" i="2"/>
  <c r="AQ6" i="2"/>
  <c r="AZ4" i="2"/>
  <c r="Z28" i="2"/>
  <c r="AN48" i="2"/>
  <c r="AQ23" i="2"/>
  <c r="AQ17" i="2"/>
  <c r="AP7" i="2"/>
  <c r="AP11" i="2"/>
  <c r="AN35" i="2"/>
  <c r="AN30" i="2"/>
  <c r="AN71" i="2" s="1"/>
  <c r="AN29" i="2"/>
  <c r="Z29" i="2"/>
  <c r="X10" i="5"/>
  <c r="V13" i="5"/>
  <c r="U16" i="5"/>
  <c r="Y7" i="6" s="1"/>
  <c r="R21" i="5"/>
  <c r="Q24" i="5"/>
  <c r="BB18" i="2"/>
  <c r="BC28" i="2"/>
  <c r="P3" i="6"/>
  <c r="O4" i="6"/>
  <c r="R11" i="5"/>
  <c r="Q15" i="5"/>
  <c r="U8" i="6" s="1"/>
  <c r="Z223" i="1" l="1"/>
  <c r="Y266" i="1"/>
  <c r="Y271" i="1" s="1"/>
  <c r="Y253" i="1"/>
  <c r="Y228" i="1"/>
  <c r="Y240" i="1"/>
  <c r="F259" i="1"/>
  <c r="W35" i="4"/>
  <c r="BE34" i="2"/>
  <c r="BE32" i="2"/>
  <c r="BE33" i="2"/>
  <c r="F260" i="1"/>
  <c r="W36" i="4"/>
  <c r="F258" i="1"/>
  <c r="W34" i="4"/>
  <c r="Q246" i="1"/>
  <c r="AH23" i="4"/>
  <c r="BE21" i="2"/>
  <c r="BE22" i="2"/>
  <c r="Q247" i="1"/>
  <c r="AH24" i="4"/>
  <c r="BE20" i="2"/>
  <c r="Q245" i="1"/>
  <c r="AH22" i="4"/>
  <c r="Q233" i="1"/>
  <c r="AH10" i="4"/>
  <c r="Q234" i="1"/>
  <c r="AH11" i="4"/>
  <c r="Q235" i="1"/>
  <c r="AH12" i="4"/>
  <c r="I143" i="1"/>
  <c r="G192" i="1"/>
  <c r="R31" i="3"/>
  <c r="R45" i="3"/>
  <c r="T42" i="3"/>
  <c r="AG48" i="3"/>
  <c r="AG46" i="3"/>
  <c r="AG47" i="3"/>
  <c r="AG34" i="3"/>
  <c r="T28" i="3"/>
  <c r="AG33" i="3"/>
  <c r="AG32" i="3"/>
  <c r="BC85" i="2"/>
  <c r="BC86" i="2"/>
  <c r="BC87" i="2"/>
  <c r="AO72" i="2"/>
  <c r="BD62" i="2"/>
  <c r="BD74" i="2"/>
  <c r="AO60" i="2"/>
  <c r="AO48" i="2"/>
  <c r="BD63" i="2"/>
  <c r="BD75" i="2"/>
  <c r="BD61" i="2"/>
  <c r="BD73" i="2"/>
  <c r="AN64" i="2"/>
  <c r="AN76" i="2"/>
  <c r="AN58" i="2"/>
  <c r="AN70" i="2"/>
  <c r="AN59" i="2"/>
  <c r="BE9" i="2"/>
  <c r="BD50" i="2"/>
  <c r="BE10" i="2"/>
  <c r="BD51" i="2"/>
  <c r="BE8" i="2"/>
  <c r="BD49" i="2"/>
  <c r="AN52" i="2"/>
  <c r="Z59" i="2"/>
  <c r="Z60" i="2"/>
  <c r="Z66" i="2"/>
  <c r="Z35" i="2"/>
  <c r="BC3" i="2"/>
  <c r="BB2" i="2"/>
  <c r="AR16" i="2"/>
  <c r="AQ57" i="2"/>
  <c r="AQ69" i="2"/>
  <c r="AQ45" i="2"/>
  <c r="AR19" i="2"/>
  <c r="AR6" i="2"/>
  <c r="BA4" i="2"/>
  <c r="AP81" i="2"/>
  <c r="AQ5" i="2"/>
  <c r="AA40" i="2"/>
  <c r="AN84" i="2"/>
  <c r="AR23" i="2"/>
  <c r="AR17" i="2"/>
  <c r="AQ11" i="2"/>
  <c r="AP72" i="2"/>
  <c r="AQ7" i="2"/>
  <c r="AP48" i="2"/>
  <c r="AP60" i="2"/>
  <c r="AO35" i="2"/>
  <c r="AN46" i="2"/>
  <c r="AO29" i="2"/>
  <c r="AN47" i="2"/>
  <c r="AO30" i="2"/>
  <c r="Z31" i="2"/>
  <c r="Z30" i="2"/>
  <c r="W13" i="5"/>
  <c r="V16" i="5"/>
  <c r="Z7" i="6" s="1"/>
  <c r="Y10" i="5"/>
  <c r="S21" i="5"/>
  <c r="R24" i="5"/>
  <c r="BC18" i="2"/>
  <c r="BD28" i="2"/>
  <c r="BD31" i="2"/>
  <c r="Q3" i="6"/>
  <c r="P4" i="6"/>
  <c r="S11" i="5"/>
  <c r="R15" i="5"/>
  <c r="V8" i="6" s="1"/>
  <c r="E27" i="1"/>
  <c r="E28" i="1"/>
  <c r="E29" i="1"/>
  <c r="E30" i="1"/>
  <c r="E31" i="1"/>
  <c r="E32" i="1"/>
  <c r="E33" i="1"/>
  <c r="E35" i="1"/>
  <c r="E36" i="1"/>
  <c r="E37" i="1"/>
  <c r="E38" i="1"/>
  <c r="E26" i="1"/>
  <c r="D27" i="1"/>
  <c r="D28" i="1"/>
  <c r="D29" i="1"/>
  <c r="D30" i="1"/>
  <c r="D31" i="1"/>
  <c r="D32" i="1"/>
  <c r="D33" i="1"/>
  <c r="D35" i="1"/>
  <c r="D36" i="1"/>
  <c r="D37" i="1"/>
  <c r="D38" i="1"/>
  <c r="D26" i="1"/>
  <c r="H27" i="1"/>
  <c r="H28" i="1"/>
  <c r="H29" i="1"/>
  <c r="H30" i="1"/>
  <c r="H31" i="1"/>
  <c r="H32" i="1"/>
  <c r="H33" i="1"/>
  <c r="H34" i="1"/>
  <c r="H35" i="1"/>
  <c r="H36" i="1"/>
  <c r="H37" i="1"/>
  <c r="H38" i="1"/>
  <c r="H26" i="1"/>
  <c r="G27" i="1"/>
  <c r="G28" i="1"/>
  <c r="G29" i="1"/>
  <c r="G30" i="1"/>
  <c r="G31" i="1"/>
  <c r="G32" i="1"/>
  <c r="G33" i="1"/>
  <c r="G34" i="1"/>
  <c r="G35" i="1"/>
  <c r="G36" i="1"/>
  <c r="G37" i="1"/>
  <c r="G38" i="1"/>
  <c r="G26" i="1"/>
  <c r="F34" i="1"/>
  <c r="F27" i="1"/>
  <c r="F28" i="1"/>
  <c r="F29" i="1"/>
  <c r="F30" i="1"/>
  <c r="F31" i="1"/>
  <c r="F32" i="1"/>
  <c r="F33" i="1"/>
  <c r="F35" i="1"/>
  <c r="F36" i="1"/>
  <c r="F37" i="1"/>
  <c r="F38" i="1"/>
  <c r="F26" i="1"/>
  <c r="L38" i="1"/>
  <c r="L27" i="1"/>
  <c r="L28" i="1"/>
  <c r="L29" i="1"/>
  <c r="L30" i="1"/>
  <c r="L31" i="1"/>
  <c r="L32" i="1"/>
  <c r="L36" i="1"/>
  <c r="J27" i="1"/>
  <c r="J28" i="1"/>
  <c r="J29" i="1"/>
  <c r="J30" i="1"/>
  <c r="J31" i="1"/>
  <c r="J32" i="1"/>
  <c r="J36" i="1"/>
  <c r="J37" i="1"/>
  <c r="J38" i="1"/>
  <c r="Z62" i="2" l="1"/>
  <c r="Z61" i="2"/>
  <c r="AA223" i="1"/>
  <c r="Z266" i="1"/>
  <c r="Z271" i="1" s="1"/>
  <c r="Z253" i="1"/>
  <c r="Z228" i="1"/>
  <c r="Z240" i="1"/>
  <c r="BF32" i="2"/>
  <c r="BF34" i="2"/>
  <c r="BF33" i="2"/>
  <c r="G258" i="1"/>
  <c r="X34" i="4"/>
  <c r="G260" i="1"/>
  <c r="X36" i="4"/>
  <c r="G259" i="1"/>
  <c r="X35" i="4"/>
  <c r="R247" i="1"/>
  <c r="AI24" i="4"/>
  <c r="BF22" i="2"/>
  <c r="R245" i="1"/>
  <c r="AI22" i="4"/>
  <c r="BF21" i="2"/>
  <c r="BF20" i="2"/>
  <c r="R246" i="1"/>
  <c r="AI23" i="4"/>
  <c r="R234" i="1"/>
  <c r="AI11" i="4"/>
  <c r="R233" i="1"/>
  <c r="AI10" i="4"/>
  <c r="R235" i="1"/>
  <c r="AI12" i="4"/>
  <c r="I154" i="1"/>
  <c r="F192" i="1"/>
  <c r="R49" i="3"/>
  <c r="R35" i="3"/>
  <c r="AH48" i="3"/>
  <c r="R44" i="3"/>
  <c r="T45" i="3"/>
  <c r="U42" i="3"/>
  <c r="R43" i="3"/>
  <c r="AH47" i="3"/>
  <c r="AH46" i="3"/>
  <c r="S45" i="3"/>
  <c r="U28" i="3"/>
  <c r="R29" i="3"/>
  <c r="AH33" i="3"/>
  <c r="T31" i="3"/>
  <c r="AH32" i="3"/>
  <c r="S31" i="3"/>
  <c r="AH34" i="3"/>
  <c r="R30" i="3"/>
  <c r="BD85" i="2"/>
  <c r="AO84" i="2"/>
  <c r="BD87" i="2"/>
  <c r="BD86" i="2"/>
  <c r="BE62" i="2"/>
  <c r="BE74" i="2"/>
  <c r="BE61" i="2"/>
  <c r="BE73" i="2"/>
  <c r="BE63" i="2"/>
  <c r="BE75" i="2"/>
  <c r="BF8" i="2"/>
  <c r="BE49" i="2"/>
  <c r="BF10" i="2"/>
  <c r="BE51" i="2"/>
  <c r="BF9" i="2"/>
  <c r="BE50" i="2"/>
  <c r="BD3" i="2"/>
  <c r="BC2" i="2"/>
  <c r="AS19" i="2"/>
  <c r="BB4" i="2"/>
  <c r="AS6" i="2"/>
  <c r="AQ81" i="2"/>
  <c r="AR5" i="2"/>
  <c r="AS16" i="2"/>
  <c r="AR45" i="2"/>
  <c r="AR57" i="2"/>
  <c r="AR69" i="2"/>
  <c r="AP84" i="2"/>
  <c r="AQ72" i="2"/>
  <c r="AQ48" i="2"/>
  <c r="AR7" i="2"/>
  <c r="AQ60" i="2"/>
  <c r="AS17" i="2"/>
  <c r="AS23" i="2"/>
  <c r="AR11" i="2"/>
  <c r="AO47" i="2"/>
  <c r="AO71" i="2"/>
  <c r="AO59" i="2"/>
  <c r="AP30" i="2"/>
  <c r="AN83" i="2"/>
  <c r="AO58" i="2"/>
  <c r="AP29" i="2"/>
  <c r="AO70" i="2"/>
  <c r="AO46" i="2"/>
  <c r="AN88" i="2"/>
  <c r="AN82" i="2"/>
  <c r="AP35" i="2"/>
  <c r="AO52" i="2"/>
  <c r="AO76" i="2"/>
  <c r="AO64" i="2"/>
  <c r="Z40" i="2"/>
  <c r="Z10" i="5"/>
  <c r="X13" i="5"/>
  <c r="W16" i="5"/>
  <c r="AA7" i="6" s="1"/>
  <c r="T21" i="5"/>
  <c r="S24" i="5"/>
  <c r="BD18" i="2"/>
  <c r="BE31" i="2"/>
  <c r="BE28" i="2"/>
  <c r="R3" i="6"/>
  <c r="Q4" i="6"/>
  <c r="T11" i="5"/>
  <c r="S15" i="5"/>
  <c r="W8" i="6" s="1"/>
  <c r="N33" i="1"/>
  <c r="N35" i="1"/>
  <c r="N27" i="1"/>
  <c r="N30" i="1"/>
  <c r="N29" i="1"/>
  <c r="N37" i="1"/>
  <c r="N34" i="1"/>
  <c r="N28" i="1"/>
  <c r="N31" i="1"/>
  <c r="N32" i="1"/>
  <c r="N36" i="1"/>
  <c r="N26" i="1"/>
  <c r="R37" i="3" l="1"/>
  <c r="AB223" i="1"/>
  <c r="AA266" i="1"/>
  <c r="AA271" i="1" s="1"/>
  <c r="AA253" i="1"/>
  <c r="AA228" i="1"/>
  <c r="AA240" i="1"/>
  <c r="BG33" i="2"/>
  <c r="H259" i="1"/>
  <c r="Y35" i="4"/>
  <c r="H258" i="1"/>
  <c r="Y34" i="4"/>
  <c r="BG34" i="2"/>
  <c r="H260" i="1"/>
  <c r="Y36" i="4"/>
  <c r="BG32" i="2"/>
  <c r="S245" i="1"/>
  <c r="AJ22" i="4"/>
  <c r="S246" i="1"/>
  <c r="AJ23" i="4"/>
  <c r="BG22" i="2"/>
  <c r="BG21" i="2"/>
  <c r="BG20" i="2"/>
  <c r="S247" i="1"/>
  <c r="AJ24" i="4"/>
  <c r="S235" i="1"/>
  <c r="AJ12" i="4"/>
  <c r="S234" i="1"/>
  <c r="AJ11" i="4"/>
  <c r="S233" i="1"/>
  <c r="AJ10" i="4"/>
  <c r="I165" i="1"/>
  <c r="E192" i="1"/>
  <c r="S49" i="3"/>
  <c r="S35" i="3"/>
  <c r="R51" i="3"/>
  <c r="H10" i="6" s="1"/>
  <c r="S43" i="3"/>
  <c r="AI47" i="3"/>
  <c r="S44" i="3"/>
  <c r="V42" i="3"/>
  <c r="U45" i="3"/>
  <c r="AI46" i="3"/>
  <c r="AI34" i="3"/>
  <c r="AI48" i="3"/>
  <c r="U31" i="3"/>
  <c r="V28" i="3"/>
  <c r="S29" i="3"/>
  <c r="AI32" i="3"/>
  <c r="S30" i="3"/>
  <c r="AI33" i="3"/>
  <c r="BE86" i="2"/>
  <c r="BE87" i="2"/>
  <c r="BE85" i="2"/>
  <c r="BF61" i="2"/>
  <c r="BF73" i="2"/>
  <c r="BF62" i="2"/>
  <c r="BF74" i="2"/>
  <c r="BF63" i="2"/>
  <c r="BF75" i="2"/>
  <c r="BG9" i="2"/>
  <c r="BF50" i="2"/>
  <c r="BG10" i="2"/>
  <c r="BF51" i="2"/>
  <c r="BG8" i="2"/>
  <c r="BF49" i="2"/>
  <c r="BE3" i="2"/>
  <c r="BD2" i="2"/>
  <c r="AR81" i="2"/>
  <c r="AT6" i="2"/>
  <c r="AT16" i="2"/>
  <c r="AS69" i="2"/>
  <c r="AS57" i="2"/>
  <c r="AS45" i="2"/>
  <c r="AS5" i="2"/>
  <c r="BC4" i="2"/>
  <c r="AT19" i="2"/>
  <c r="AR72" i="2"/>
  <c r="AR60" i="2"/>
  <c r="AS7" i="2"/>
  <c r="AR48" i="2"/>
  <c r="AS11" i="2"/>
  <c r="AQ84" i="2"/>
  <c r="AT23" i="2"/>
  <c r="AT17" i="2"/>
  <c r="AO88" i="2"/>
  <c r="AQ35" i="2"/>
  <c r="AP52" i="2"/>
  <c r="AP76" i="2"/>
  <c r="AP64" i="2"/>
  <c r="AO82" i="2"/>
  <c r="AQ30" i="2"/>
  <c r="AP47" i="2"/>
  <c r="AP59" i="2"/>
  <c r="AP71" i="2"/>
  <c r="AP58" i="2"/>
  <c r="AP46" i="2"/>
  <c r="AQ29" i="2"/>
  <c r="AP70" i="2"/>
  <c r="AO83" i="2"/>
  <c r="Y13" i="5"/>
  <c r="X16" i="5"/>
  <c r="AB7" i="6" s="1"/>
  <c r="AA10" i="5"/>
  <c r="U21" i="5"/>
  <c r="T24" i="5"/>
  <c r="BF28" i="2"/>
  <c r="BF31" i="2"/>
  <c r="BE18" i="2"/>
  <c r="S3" i="6"/>
  <c r="R4" i="6"/>
  <c r="U11" i="5"/>
  <c r="T15" i="5"/>
  <c r="X8" i="6" s="1"/>
  <c r="AC223" i="1" l="1"/>
  <c r="AB266" i="1"/>
  <c r="AB271" i="1" s="1"/>
  <c r="AB240" i="1"/>
  <c r="AB253" i="1"/>
  <c r="AB228" i="1"/>
  <c r="I258" i="1"/>
  <c r="Z34" i="4"/>
  <c r="BH34" i="2"/>
  <c r="I259" i="1"/>
  <c r="Z35" i="4"/>
  <c r="BH32" i="2"/>
  <c r="I260" i="1"/>
  <c r="Z36" i="4"/>
  <c r="BH33" i="2"/>
  <c r="BH22" i="2"/>
  <c r="BH21" i="2"/>
  <c r="T247" i="1"/>
  <c r="AK24" i="4"/>
  <c r="T246" i="1"/>
  <c r="AK23" i="4"/>
  <c r="BH20" i="2"/>
  <c r="T245" i="1"/>
  <c r="AK22" i="4"/>
  <c r="T233" i="1"/>
  <c r="AK10" i="4"/>
  <c r="T234" i="1"/>
  <c r="AK11" i="4"/>
  <c r="T235" i="1"/>
  <c r="AK12" i="4"/>
  <c r="I176" i="1"/>
  <c r="C192" i="1" s="1"/>
  <c r="D192" i="1"/>
  <c r="C248" i="1"/>
  <c r="C243" i="1"/>
  <c r="T49" i="3"/>
  <c r="T35" i="3"/>
  <c r="AJ46" i="3"/>
  <c r="W42" i="3"/>
  <c r="V45" i="3"/>
  <c r="T43" i="3"/>
  <c r="T44" i="3"/>
  <c r="AJ48" i="3"/>
  <c r="AJ47" i="3"/>
  <c r="AJ32" i="3"/>
  <c r="W28" i="3"/>
  <c r="V31" i="3"/>
  <c r="AJ33" i="3"/>
  <c r="T30" i="3"/>
  <c r="T29" i="3"/>
  <c r="AJ34" i="3"/>
  <c r="BF85" i="2"/>
  <c r="BF87" i="2"/>
  <c r="BF86" i="2"/>
  <c r="BG62" i="2"/>
  <c r="BG74" i="2"/>
  <c r="BG61" i="2"/>
  <c r="BG73" i="2"/>
  <c r="BG63" i="2"/>
  <c r="BG75" i="2"/>
  <c r="BH8" i="2"/>
  <c r="BG49" i="2"/>
  <c r="BH10" i="2"/>
  <c r="BG51" i="2"/>
  <c r="BH9" i="2"/>
  <c r="BG50" i="2"/>
  <c r="BF3" i="2"/>
  <c r="BE2" i="2"/>
  <c r="AU16" i="2"/>
  <c r="AT57" i="2"/>
  <c r="AT69" i="2"/>
  <c r="AT45" i="2"/>
  <c r="BD4" i="2"/>
  <c r="AU6" i="2"/>
  <c r="AT5" i="2"/>
  <c r="AU19" i="2"/>
  <c r="AS81" i="2"/>
  <c r="AT11" i="2"/>
  <c r="AU17" i="2"/>
  <c r="AU23" i="2"/>
  <c r="AR84" i="2"/>
  <c r="AS60" i="2"/>
  <c r="AS48" i="2"/>
  <c r="AS72" i="2"/>
  <c r="AT7" i="2"/>
  <c r="AP83" i="2"/>
  <c r="AR35" i="2"/>
  <c r="AQ64" i="2"/>
  <c r="AQ52" i="2"/>
  <c r="AQ76" i="2"/>
  <c r="AR29" i="2"/>
  <c r="AQ46" i="2"/>
  <c r="AQ70" i="2"/>
  <c r="AQ58" i="2"/>
  <c r="AP82" i="2"/>
  <c r="S37" i="3"/>
  <c r="AP88" i="2"/>
  <c r="AQ71" i="2"/>
  <c r="AQ47" i="2"/>
  <c r="AQ59" i="2"/>
  <c r="AR30" i="2"/>
  <c r="S51" i="3"/>
  <c r="I10" i="6" s="1"/>
  <c r="AB10" i="5"/>
  <c r="Z13" i="5"/>
  <c r="Y16" i="5"/>
  <c r="AC7" i="6" s="1"/>
  <c r="V21" i="5"/>
  <c r="U24" i="5"/>
  <c r="BG28" i="2"/>
  <c r="BG31" i="2"/>
  <c r="BF18" i="2"/>
  <c r="T3" i="6"/>
  <c r="S4" i="6"/>
  <c r="V11" i="5"/>
  <c r="U15" i="5"/>
  <c r="Y8" i="6" s="1"/>
  <c r="AD223" i="1" l="1"/>
  <c r="AC266" i="1"/>
  <c r="AC271" i="1" s="1"/>
  <c r="AC240" i="1"/>
  <c r="AC253" i="1"/>
  <c r="AC228" i="1"/>
  <c r="BI32" i="2"/>
  <c r="J259" i="1"/>
  <c r="AA35" i="4"/>
  <c r="BI33" i="2"/>
  <c r="BI34" i="2"/>
  <c r="J260" i="1"/>
  <c r="AA36" i="4"/>
  <c r="J258" i="1"/>
  <c r="AA34" i="4"/>
  <c r="U247" i="1"/>
  <c r="AL24" i="4"/>
  <c r="U245" i="1"/>
  <c r="AL22" i="4"/>
  <c r="BI21" i="2"/>
  <c r="U246" i="1"/>
  <c r="AL23" i="4"/>
  <c r="BI20" i="2"/>
  <c r="BI22" i="2"/>
  <c r="U234" i="1"/>
  <c r="AL11" i="4"/>
  <c r="U235" i="1"/>
  <c r="AL12" i="4"/>
  <c r="U233" i="1"/>
  <c r="AL10" i="4"/>
  <c r="C254" i="1"/>
  <c r="C231" i="1"/>
  <c r="C256" i="1"/>
  <c r="C241" i="1"/>
  <c r="U20" i="4"/>
  <c r="D243" i="1"/>
  <c r="C229" i="1"/>
  <c r="C242" i="1"/>
  <c r="C255" i="1"/>
  <c r="C244" i="1"/>
  <c r="C230" i="1"/>
  <c r="C257" i="1"/>
  <c r="D248" i="1"/>
  <c r="U25" i="4"/>
  <c r="U49" i="3"/>
  <c r="U35" i="3"/>
  <c r="AK46" i="3"/>
  <c r="U43" i="3"/>
  <c r="U44" i="3"/>
  <c r="W45" i="3"/>
  <c r="AK47" i="3"/>
  <c r="X42" i="3"/>
  <c r="AK48" i="3"/>
  <c r="AK32" i="3"/>
  <c r="W31" i="3"/>
  <c r="U29" i="3"/>
  <c r="X28" i="3"/>
  <c r="AK34" i="3"/>
  <c r="U30" i="3"/>
  <c r="AK33" i="3"/>
  <c r="BG86" i="2"/>
  <c r="BG85" i="2"/>
  <c r="BG87" i="2"/>
  <c r="BH61" i="2"/>
  <c r="BH73" i="2"/>
  <c r="BH62" i="2"/>
  <c r="BH74" i="2"/>
  <c r="BH63" i="2"/>
  <c r="BH75" i="2"/>
  <c r="BI9" i="2"/>
  <c r="BH50" i="2"/>
  <c r="BI10" i="2"/>
  <c r="BH51" i="2"/>
  <c r="BI8" i="2"/>
  <c r="BH49" i="2"/>
  <c r="BG3" i="2"/>
  <c r="BF2" i="2"/>
  <c r="AV19" i="2"/>
  <c r="BE4" i="2"/>
  <c r="AT81" i="2"/>
  <c r="AV6" i="2"/>
  <c r="AU5" i="2"/>
  <c r="AV16" i="2"/>
  <c r="AU69" i="2"/>
  <c r="AU45" i="2"/>
  <c r="AU57" i="2"/>
  <c r="AT72" i="2"/>
  <c r="AT60" i="2"/>
  <c r="AU7" i="2"/>
  <c r="AT48" i="2"/>
  <c r="AV23" i="2"/>
  <c r="AS84" i="2"/>
  <c r="AV17" i="2"/>
  <c r="AU11" i="2"/>
  <c r="T51" i="3"/>
  <c r="J10" i="6" s="1"/>
  <c r="T37" i="3"/>
  <c r="AQ88" i="2"/>
  <c r="AS35" i="2"/>
  <c r="AR76" i="2"/>
  <c r="AR64" i="2"/>
  <c r="AR52" i="2"/>
  <c r="AQ82" i="2"/>
  <c r="AS30" i="2"/>
  <c r="AR71" i="2"/>
  <c r="AR59" i="2"/>
  <c r="AR47" i="2"/>
  <c r="AQ83" i="2"/>
  <c r="AR46" i="2"/>
  <c r="AR58" i="2"/>
  <c r="AR70" i="2"/>
  <c r="AS29" i="2"/>
  <c r="AA13" i="5"/>
  <c r="Z16" i="5"/>
  <c r="AD7" i="6" s="1"/>
  <c r="AC10" i="5"/>
  <c r="W21" i="5"/>
  <c r="V24" i="5"/>
  <c r="BH28" i="2"/>
  <c r="BH31" i="2"/>
  <c r="BG18" i="2"/>
  <c r="U3" i="6"/>
  <c r="T4" i="6"/>
  <c r="W11" i="5"/>
  <c r="V15" i="5"/>
  <c r="Z8" i="6" s="1"/>
  <c r="AE223" i="1" l="1"/>
  <c r="AD266" i="1"/>
  <c r="AD271" i="1" s="1"/>
  <c r="AD240" i="1"/>
  <c r="AD253" i="1"/>
  <c r="AD228" i="1"/>
  <c r="BJ33" i="2"/>
  <c r="K259" i="1"/>
  <c r="AB35" i="4"/>
  <c r="BJ34" i="2"/>
  <c r="K258" i="1"/>
  <c r="AB34" i="4"/>
  <c r="K260" i="1"/>
  <c r="AB36" i="4"/>
  <c r="BJ32" i="2"/>
  <c r="V246" i="1"/>
  <c r="AM23" i="4"/>
  <c r="BJ21" i="2"/>
  <c r="BJ22" i="2"/>
  <c r="V245" i="1"/>
  <c r="AM22" i="4"/>
  <c r="BJ20" i="2"/>
  <c r="V247" i="1"/>
  <c r="AM24" i="4"/>
  <c r="V235" i="1"/>
  <c r="AM12" i="4"/>
  <c r="V234" i="1"/>
  <c r="AM11" i="4"/>
  <c r="V233" i="1"/>
  <c r="AM10" i="4"/>
  <c r="C236" i="1"/>
  <c r="U13" i="4" s="1"/>
  <c r="C232" i="1"/>
  <c r="D244" i="1"/>
  <c r="U21" i="4"/>
  <c r="D256" i="1"/>
  <c r="U32" i="4"/>
  <c r="D230" i="1"/>
  <c r="U7" i="4"/>
  <c r="E243" i="1"/>
  <c r="V20" i="4"/>
  <c r="U33" i="4"/>
  <c r="D257" i="1"/>
  <c r="D242" i="1"/>
  <c r="U19" i="4"/>
  <c r="U30" i="4"/>
  <c r="D254" i="1"/>
  <c r="E248" i="1"/>
  <c r="V25" i="4"/>
  <c r="D229" i="1"/>
  <c r="U6" i="4"/>
  <c r="D241" i="1"/>
  <c r="U18" i="4"/>
  <c r="D261" i="1"/>
  <c r="U37" i="4"/>
  <c r="U31" i="4"/>
  <c r="D255" i="1"/>
  <c r="D231" i="1"/>
  <c r="U8" i="4"/>
  <c r="V49" i="3"/>
  <c r="V35" i="3"/>
  <c r="AL46" i="3"/>
  <c r="V44" i="3"/>
  <c r="AL48" i="3"/>
  <c r="Y42" i="3"/>
  <c r="V43" i="3"/>
  <c r="AL47" i="3"/>
  <c r="X45" i="3"/>
  <c r="Y28" i="3"/>
  <c r="AL34" i="3"/>
  <c r="V30" i="3"/>
  <c r="X31" i="3"/>
  <c r="AL33" i="3"/>
  <c r="V29" i="3"/>
  <c r="AL32" i="3"/>
  <c r="BH85" i="2"/>
  <c r="BH87" i="2"/>
  <c r="BH86" i="2"/>
  <c r="BI62" i="2"/>
  <c r="BI74" i="2"/>
  <c r="BI61" i="2"/>
  <c r="BI73" i="2"/>
  <c r="BI63" i="2"/>
  <c r="BI75" i="2"/>
  <c r="BJ10" i="2"/>
  <c r="BI51" i="2"/>
  <c r="BJ8" i="2"/>
  <c r="BI49" i="2"/>
  <c r="BJ9" i="2"/>
  <c r="BI50" i="2"/>
  <c r="BH3" i="2"/>
  <c r="BG2" i="2"/>
  <c r="AV5" i="2"/>
  <c r="AU81" i="2"/>
  <c r="AW6" i="2"/>
  <c r="AW16" i="2"/>
  <c r="AV45" i="2"/>
  <c r="AV57" i="2"/>
  <c r="AV69" i="2"/>
  <c r="BF4" i="2"/>
  <c r="AW19" i="2"/>
  <c r="AW23" i="2"/>
  <c r="AV11" i="2"/>
  <c r="AT84" i="2"/>
  <c r="AW17" i="2"/>
  <c r="AU72" i="2"/>
  <c r="AV7" i="2"/>
  <c r="AU60" i="2"/>
  <c r="AU48" i="2"/>
  <c r="AS58" i="2"/>
  <c r="AS46" i="2"/>
  <c r="AS70" i="2"/>
  <c r="AT29" i="2"/>
  <c r="AS71" i="2"/>
  <c r="AS47" i="2"/>
  <c r="AT30" i="2"/>
  <c r="AS59" i="2"/>
  <c r="AR88" i="2"/>
  <c r="AR82" i="2"/>
  <c r="AT35" i="2"/>
  <c r="AS52" i="2"/>
  <c r="AS76" i="2"/>
  <c r="AS64" i="2"/>
  <c r="U37" i="3"/>
  <c r="AR83" i="2"/>
  <c r="U51" i="3"/>
  <c r="K10" i="6" s="1"/>
  <c r="AD10" i="5"/>
  <c r="AB13" i="5"/>
  <c r="AA16" i="5"/>
  <c r="AE7" i="6" s="1"/>
  <c r="X21" i="5"/>
  <c r="W24" i="5"/>
  <c r="BI28" i="2"/>
  <c r="BI31" i="2"/>
  <c r="BH18" i="2"/>
  <c r="V3" i="6"/>
  <c r="U4" i="6"/>
  <c r="X11" i="5"/>
  <c r="W15" i="5"/>
  <c r="AA8" i="6" s="1"/>
  <c r="AF223" i="1" l="1"/>
  <c r="AE266" i="1"/>
  <c r="AE271" i="1" s="1"/>
  <c r="AE240" i="1"/>
  <c r="AE228" i="1"/>
  <c r="AE253" i="1"/>
  <c r="L258" i="1"/>
  <c r="AC34" i="4"/>
  <c r="BK34" i="2"/>
  <c r="L259" i="1"/>
  <c r="AC35" i="4"/>
  <c r="BK32" i="2"/>
  <c r="L260" i="1"/>
  <c r="AC36" i="4"/>
  <c r="BK33" i="2"/>
  <c r="W245" i="1"/>
  <c r="AN22" i="4"/>
  <c r="BK22" i="2"/>
  <c r="W247" i="1"/>
  <c r="AN24" i="4"/>
  <c r="BK21" i="2"/>
  <c r="BK20" i="2"/>
  <c r="W246" i="1"/>
  <c r="AN23" i="4"/>
  <c r="W233" i="1"/>
  <c r="AN10" i="4"/>
  <c r="W234" i="1"/>
  <c r="AN11" i="4"/>
  <c r="W235" i="1"/>
  <c r="AN12" i="4"/>
  <c r="E229" i="1"/>
  <c r="V6" i="4"/>
  <c r="E261" i="1"/>
  <c r="V37" i="4"/>
  <c r="E244" i="1"/>
  <c r="V21" i="4"/>
  <c r="W20" i="4"/>
  <c r="F243" i="1"/>
  <c r="D232" i="1"/>
  <c r="U9" i="4"/>
  <c r="E257" i="1"/>
  <c r="V33" i="4"/>
  <c r="E231" i="1"/>
  <c r="V8" i="4"/>
  <c r="E241" i="1"/>
  <c r="V18" i="4"/>
  <c r="E230" i="1"/>
  <c r="V7" i="4"/>
  <c r="D236" i="1"/>
  <c r="E255" i="1"/>
  <c r="V31" i="4"/>
  <c r="E242" i="1"/>
  <c r="V19" i="4"/>
  <c r="E256" i="1"/>
  <c r="V32" i="4"/>
  <c r="V30" i="4"/>
  <c r="E254" i="1"/>
  <c r="F248" i="1"/>
  <c r="W25" i="4"/>
  <c r="W35" i="3"/>
  <c r="W49" i="3"/>
  <c r="Y45" i="3"/>
  <c r="AM47" i="3"/>
  <c r="Z42" i="3"/>
  <c r="AM46" i="3"/>
  <c r="W44" i="3"/>
  <c r="W43" i="3"/>
  <c r="AM48" i="3"/>
  <c r="W30" i="3"/>
  <c r="AM32" i="3"/>
  <c r="W29" i="3"/>
  <c r="Y31" i="3"/>
  <c r="AM34" i="3"/>
  <c r="Z28" i="3"/>
  <c r="AM33" i="3"/>
  <c r="BI86" i="2"/>
  <c r="BI87" i="2"/>
  <c r="BI85" i="2"/>
  <c r="BJ63" i="2"/>
  <c r="BJ75" i="2"/>
  <c r="BJ62" i="2"/>
  <c r="BJ74" i="2"/>
  <c r="BJ61" i="2"/>
  <c r="BJ73" i="2"/>
  <c r="BK9" i="2"/>
  <c r="BJ50" i="2"/>
  <c r="BK8" i="2"/>
  <c r="BJ49" i="2"/>
  <c r="BK10" i="2"/>
  <c r="BJ51" i="2"/>
  <c r="BI3" i="2"/>
  <c r="BH2" i="2"/>
  <c r="AX16" i="2"/>
  <c r="AW69" i="2"/>
  <c r="AW45" i="2"/>
  <c r="AW57" i="2"/>
  <c r="BG4" i="2"/>
  <c r="AX6" i="2"/>
  <c r="AX19" i="2"/>
  <c r="AV81" i="2"/>
  <c r="AW5" i="2"/>
  <c r="AX17" i="2"/>
  <c r="AU84" i="2"/>
  <c r="AW11" i="2"/>
  <c r="AV60" i="2"/>
  <c r="AW7" i="2"/>
  <c r="AV72" i="2"/>
  <c r="AV48" i="2"/>
  <c r="AX23" i="2"/>
  <c r="V37" i="3"/>
  <c r="AT59" i="2"/>
  <c r="AT71" i="2"/>
  <c r="AT47" i="2"/>
  <c r="AU30" i="2"/>
  <c r="AS83" i="2"/>
  <c r="AT70" i="2"/>
  <c r="AU29" i="2"/>
  <c r="AT46" i="2"/>
  <c r="AT58" i="2"/>
  <c r="V51" i="3"/>
  <c r="L10" i="6" s="1"/>
  <c r="AS88" i="2"/>
  <c r="AS82" i="2"/>
  <c r="AU35" i="2"/>
  <c r="AT52" i="2"/>
  <c r="AT64" i="2"/>
  <c r="AT76" i="2"/>
  <c r="AC13" i="5"/>
  <c r="AB16" i="5"/>
  <c r="AF7" i="6" s="1"/>
  <c r="AE10" i="5"/>
  <c r="Y21" i="5"/>
  <c r="X24" i="5"/>
  <c r="BI18" i="2"/>
  <c r="BJ31" i="2"/>
  <c r="BJ28" i="2"/>
  <c r="W3" i="6"/>
  <c r="V4" i="6"/>
  <c r="Y11" i="5"/>
  <c r="X15" i="5"/>
  <c r="AB8" i="6" s="1"/>
  <c r="AG223" i="1" l="1"/>
  <c r="AF266" i="1"/>
  <c r="AF271" i="1" s="1"/>
  <c r="AF253" i="1"/>
  <c r="AF228" i="1"/>
  <c r="AF240" i="1"/>
  <c r="M259" i="1"/>
  <c r="AD35" i="4"/>
  <c r="BL34" i="2"/>
  <c r="BL32" i="2"/>
  <c r="BL33" i="2"/>
  <c r="M260" i="1"/>
  <c r="AD36" i="4"/>
  <c r="M258" i="1"/>
  <c r="AD34" i="4"/>
  <c r="BL21" i="2"/>
  <c r="X247" i="1"/>
  <c r="AO24" i="4"/>
  <c r="X246" i="1"/>
  <c r="AO23" i="4"/>
  <c r="BL22" i="2"/>
  <c r="BL20" i="2"/>
  <c r="X245" i="1"/>
  <c r="AO22" i="4"/>
  <c r="X234" i="1"/>
  <c r="AO11" i="4"/>
  <c r="X235" i="1"/>
  <c r="AO12" i="4"/>
  <c r="X233" i="1"/>
  <c r="AO10" i="4"/>
  <c r="U40" i="4"/>
  <c r="H9" i="6" s="1"/>
  <c r="F241" i="1"/>
  <c r="W18" i="4"/>
  <c r="F244" i="1"/>
  <c r="W21" i="4"/>
  <c r="E236" i="1"/>
  <c r="V13" i="4"/>
  <c r="W33" i="4"/>
  <c r="F257" i="1"/>
  <c r="G248" i="1"/>
  <c r="X25" i="4"/>
  <c r="F231" i="1"/>
  <c r="W8" i="4"/>
  <c r="W30" i="4"/>
  <c r="F254" i="1"/>
  <c r="F261" i="1"/>
  <c r="W37" i="4"/>
  <c r="F242" i="1"/>
  <c r="W19" i="4"/>
  <c r="F256" i="1"/>
  <c r="W32" i="4"/>
  <c r="F230" i="1"/>
  <c r="W7" i="4"/>
  <c r="E232" i="1"/>
  <c r="V9" i="4"/>
  <c r="F255" i="1"/>
  <c r="W31" i="4"/>
  <c r="G243" i="1"/>
  <c r="X20" i="4"/>
  <c r="F229" i="1"/>
  <c r="W6" i="4"/>
  <c r="W51" i="3"/>
  <c r="M10" i="6" s="1"/>
  <c r="X49" i="3"/>
  <c r="X35" i="3"/>
  <c r="X44" i="3"/>
  <c r="Z45" i="3"/>
  <c r="AN48" i="3"/>
  <c r="AN46" i="3"/>
  <c r="X43" i="3"/>
  <c r="AA42" i="3"/>
  <c r="AN47" i="3"/>
  <c r="X30" i="3"/>
  <c r="Z31" i="3"/>
  <c r="AN32" i="3"/>
  <c r="AN33" i="3"/>
  <c r="X29" i="3"/>
  <c r="AN34" i="3"/>
  <c r="AA28" i="3"/>
  <c r="BJ87" i="2"/>
  <c r="BJ85" i="2"/>
  <c r="BJ86" i="2"/>
  <c r="BK62" i="2"/>
  <c r="BK74" i="2"/>
  <c r="BK63" i="2"/>
  <c r="BK75" i="2"/>
  <c r="BK61" i="2"/>
  <c r="BK73" i="2"/>
  <c r="BL10" i="2"/>
  <c r="BK51" i="2"/>
  <c r="BL8" i="2"/>
  <c r="BK49" i="2"/>
  <c r="BL9" i="2"/>
  <c r="BK50" i="2"/>
  <c r="BJ3" i="2"/>
  <c r="BI2" i="2"/>
  <c r="AY19" i="2"/>
  <c r="BH4" i="2"/>
  <c r="AW81" i="2"/>
  <c r="AY6" i="2"/>
  <c r="AX5" i="2"/>
  <c r="AY16" i="2"/>
  <c r="AX57" i="2"/>
  <c r="AX45" i="2"/>
  <c r="AX69" i="2"/>
  <c r="AX11" i="2"/>
  <c r="AY23" i="2"/>
  <c r="AV84" i="2"/>
  <c r="AX7" i="2"/>
  <c r="AW48" i="2"/>
  <c r="AW72" i="2"/>
  <c r="AW60" i="2"/>
  <c r="AY17" i="2"/>
  <c r="AT88" i="2"/>
  <c r="AV35" i="2"/>
  <c r="AU52" i="2"/>
  <c r="AU64" i="2"/>
  <c r="AU76" i="2"/>
  <c r="AU71" i="2"/>
  <c r="AU47" i="2"/>
  <c r="AU59" i="2"/>
  <c r="AV30" i="2"/>
  <c r="W37" i="3"/>
  <c r="AT82" i="2"/>
  <c r="AT83" i="2"/>
  <c r="AV29" i="2"/>
  <c r="AU46" i="2"/>
  <c r="AU70" i="2"/>
  <c r="AU58" i="2"/>
  <c r="AF10" i="5"/>
  <c r="AD13" i="5"/>
  <c r="AC16" i="5"/>
  <c r="AG7" i="6" s="1"/>
  <c r="Z21" i="5"/>
  <c r="Y24" i="5"/>
  <c r="BJ18" i="2"/>
  <c r="BK31" i="2"/>
  <c r="BK28" i="2"/>
  <c r="X3" i="6"/>
  <c r="W4" i="6"/>
  <c r="Z11" i="5"/>
  <c r="Y15" i="5"/>
  <c r="AC8" i="6" s="1"/>
  <c r="AH223" i="1" l="1"/>
  <c r="AG266" i="1"/>
  <c r="AG271" i="1" s="1"/>
  <c r="AG253" i="1"/>
  <c r="AG228" i="1"/>
  <c r="AG240" i="1"/>
  <c r="BM32" i="2"/>
  <c r="BM34" i="2"/>
  <c r="BM33" i="2"/>
  <c r="N258" i="1"/>
  <c r="AE34" i="4"/>
  <c r="N260" i="1"/>
  <c r="AE36" i="4"/>
  <c r="N259" i="1"/>
  <c r="AE35" i="4"/>
  <c r="Y246" i="1"/>
  <c r="AP23" i="4"/>
  <c r="Y245" i="1"/>
  <c r="AP22" i="4"/>
  <c r="Y247" i="1"/>
  <c r="AP24" i="4"/>
  <c r="BM22" i="2"/>
  <c r="BM20" i="2"/>
  <c r="BM21" i="2"/>
  <c r="Y233" i="1"/>
  <c r="AP10" i="4"/>
  <c r="Y235" i="1"/>
  <c r="AP12" i="4"/>
  <c r="Y234" i="1"/>
  <c r="AP11" i="4"/>
  <c r="V40" i="4"/>
  <c r="I9" i="6" s="1"/>
  <c r="G230" i="1"/>
  <c r="X7" i="4"/>
  <c r="X33" i="4"/>
  <c r="G257" i="1"/>
  <c r="F232" i="1"/>
  <c r="W9" i="4"/>
  <c r="G254" i="1"/>
  <c r="X30" i="4"/>
  <c r="Y20" i="4"/>
  <c r="H243" i="1"/>
  <c r="X31" i="4"/>
  <c r="G255" i="1"/>
  <c r="G256" i="1"/>
  <c r="X32" i="4"/>
  <c r="G231" i="1"/>
  <c r="X8" i="4"/>
  <c r="G244" i="1"/>
  <c r="X21" i="4"/>
  <c r="X6" i="4"/>
  <c r="G229" i="1"/>
  <c r="F236" i="1"/>
  <c r="W13" i="4"/>
  <c r="G261" i="1"/>
  <c r="X37" i="4"/>
  <c r="G242" i="1"/>
  <c r="X19" i="4"/>
  <c r="H248" i="1"/>
  <c r="Y25" i="4"/>
  <c r="G241" i="1"/>
  <c r="X18" i="4"/>
  <c r="Y49" i="3"/>
  <c r="Y35" i="3"/>
  <c r="AO48" i="3"/>
  <c r="AB42" i="3"/>
  <c r="Y44" i="3"/>
  <c r="Y43" i="3"/>
  <c r="AO47" i="3"/>
  <c r="AA45" i="3"/>
  <c r="AO46" i="3"/>
  <c r="Y30" i="3"/>
  <c r="AA31" i="3"/>
  <c r="AO32" i="3"/>
  <c r="Y29" i="3"/>
  <c r="AO34" i="3"/>
  <c r="AO33" i="3"/>
  <c r="AB28" i="3"/>
  <c r="BK86" i="2"/>
  <c r="BK85" i="2"/>
  <c r="BK87" i="2"/>
  <c r="BL62" i="2"/>
  <c r="BL74" i="2"/>
  <c r="BL63" i="2"/>
  <c r="BL75" i="2"/>
  <c r="BL61" i="2"/>
  <c r="BL73" i="2"/>
  <c r="BM8" i="2"/>
  <c r="BL49" i="2"/>
  <c r="BM9" i="2"/>
  <c r="BL50" i="2"/>
  <c r="BM10" i="2"/>
  <c r="BL51" i="2"/>
  <c r="BK3" i="2"/>
  <c r="BJ2" i="2"/>
  <c r="AX81" i="2"/>
  <c r="AY5" i="2"/>
  <c r="AZ16" i="2"/>
  <c r="AY69" i="2"/>
  <c r="AY57" i="2"/>
  <c r="AY45" i="2"/>
  <c r="BI4" i="2"/>
  <c r="AZ6" i="2"/>
  <c r="AZ19" i="2"/>
  <c r="X37" i="3"/>
  <c r="AX60" i="2"/>
  <c r="AX48" i="2"/>
  <c r="AX72" i="2"/>
  <c r="AY7" i="2"/>
  <c r="AZ17" i="2"/>
  <c r="AZ23" i="2"/>
  <c r="AW84" i="2"/>
  <c r="AY11" i="2"/>
  <c r="X51" i="3"/>
  <c r="N10" i="6" s="1"/>
  <c r="AU82" i="2"/>
  <c r="AV70" i="2"/>
  <c r="AW29" i="2"/>
  <c r="AV46" i="2"/>
  <c r="AV58" i="2"/>
  <c r="AU88" i="2"/>
  <c r="AV59" i="2"/>
  <c r="AV71" i="2"/>
  <c r="AV47" i="2"/>
  <c r="AW30" i="2"/>
  <c r="AW35" i="2"/>
  <c r="AV52" i="2"/>
  <c r="AV76" i="2"/>
  <c r="AV64" i="2"/>
  <c r="AU83" i="2"/>
  <c r="AE13" i="5"/>
  <c r="AD16" i="5"/>
  <c r="AH7" i="6" s="1"/>
  <c r="AG10" i="5"/>
  <c r="AA21" i="5"/>
  <c r="Z24" i="5"/>
  <c r="BK18" i="2"/>
  <c r="BL31" i="2"/>
  <c r="BL28" i="2"/>
  <c r="Y3" i="6"/>
  <c r="X4" i="6"/>
  <c r="AA11" i="5"/>
  <c r="Z15" i="5"/>
  <c r="AD8" i="6" s="1"/>
  <c r="AI223" i="1" l="1"/>
  <c r="AH266" i="1"/>
  <c r="AH271" i="1" s="1"/>
  <c r="AH253" i="1"/>
  <c r="AH228" i="1"/>
  <c r="AH240" i="1"/>
  <c r="BN33" i="2"/>
  <c r="BN34" i="2"/>
  <c r="O258" i="1"/>
  <c r="AF34" i="4"/>
  <c r="O259" i="1"/>
  <c r="AF35" i="4"/>
  <c r="O260" i="1"/>
  <c r="AF36" i="4"/>
  <c r="BN32" i="2"/>
  <c r="Z247" i="1"/>
  <c r="AQ24" i="4"/>
  <c r="BN21" i="2"/>
  <c r="Z245" i="1"/>
  <c r="AQ22" i="4"/>
  <c r="BN22" i="2"/>
  <c r="BN20" i="2"/>
  <c r="Z246" i="1"/>
  <c r="AQ23" i="4"/>
  <c r="Z234" i="1"/>
  <c r="AQ11" i="4"/>
  <c r="Z235" i="1"/>
  <c r="AQ12" i="4"/>
  <c r="Z233" i="1"/>
  <c r="AQ10" i="4"/>
  <c r="W40" i="4"/>
  <c r="J9" i="6" s="1"/>
  <c r="H261" i="1"/>
  <c r="Y37" i="4"/>
  <c r="H241" i="1"/>
  <c r="Y18" i="4"/>
  <c r="G232" i="1"/>
  <c r="X9" i="4"/>
  <c r="I248" i="1"/>
  <c r="Z25" i="4"/>
  <c r="Y33" i="4"/>
  <c r="H257" i="1"/>
  <c r="H242" i="1"/>
  <c r="Y19" i="4"/>
  <c r="Z20" i="4"/>
  <c r="I243" i="1"/>
  <c r="H231" i="1"/>
  <c r="Y8" i="4"/>
  <c r="H256" i="1"/>
  <c r="Y32" i="4"/>
  <c r="H229" i="1"/>
  <c r="Y6" i="4"/>
  <c r="H244" i="1"/>
  <c r="Y21" i="4"/>
  <c r="H230" i="1"/>
  <c r="Y7" i="4"/>
  <c r="H254" i="1"/>
  <c r="Y30" i="4"/>
  <c r="G236" i="1"/>
  <c r="X13" i="4"/>
  <c r="H255" i="1"/>
  <c r="Y31" i="4"/>
  <c r="Z49" i="3"/>
  <c r="Z35" i="3"/>
  <c r="AP48" i="3"/>
  <c r="AC42" i="3"/>
  <c r="Z44" i="3"/>
  <c r="AP47" i="3"/>
  <c r="Z43" i="3"/>
  <c r="AB45" i="3"/>
  <c r="AP46" i="3"/>
  <c r="AP33" i="3"/>
  <c r="Z29" i="3"/>
  <c r="Z30" i="3"/>
  <c r="AB31" i="3"/>
  <c r="AP32" i="3"/>
  <c r="AC28" i="3"/>
  <c r="BL87" i="2"/>
  <c r="AP34" i="3"/>
  <c r="BL86" i="2"/>
  <c r="BL85" i="2"/>
  <c r="BM62" i="2"/>
  <c r="BM74" i="2"/>
  <c r="BM61" i="2"/>
  <c r="BM73" i="2"/>
  <c r="BM63" i="2"/>
  <c r="BM75" i="2"/>
  <c r="BN10" i="2"/>
  <c r="BM51" i="2"/>
  <c r="BN9" i="2"/>
  <c r="BM50" i="2"/>
  <c r="BN8" i="2"/>
  <c r="BM49" i="2"/>
  <c r="BL3" i="2"/>
  <c r="BK2" i="2"/>
  <c r="BA16" i="2"/>
  <c r="AZ69" i="2"/>
  <c r="AZ45" i="2"/>
  <c r="AZ57" i="2"/>
  <c r="AZ5" i="2"/>
  <c r="BJ4" i="2"/>
  <c r="BA6" i="2"/>
  <c r="BA19" i="2"/>
  <c r="AY81" i="2"/>
  <c r="BA23" i="2"/>
  <c r="BA17" i="2"/>
  <c r="AZ11" i="2"/>
  <c r="AX84" i="2"/>
  <c r="AY72" i="2"/>
  <c r="AY48" i="2"/>
  <c r="AZ7" i="2"/>
  <c r="AY60" i="2"/>
  <c r="AV88" i="2"/>
  <c r="AW59" i="2"/>
  <c r="AW71" i="2"/>
  <c r="AW47" i="2"/>
  <c r="AX30" i="2"/>
  <c r="AV82" i="2"/>
  <c r="AV83" i="2"/>
  <c r="AW70" i="2"/>
  <c r="AX29" i="2"/>
  <c r="AW46" i="2"/>
  <c r="AW58" i="2"/>
  <c r="AX35" i="2"/>
  <c r="AW76" i="2"/>
  <c r="AW52" i="2"/>
  <c r="AW64" i="2"/>
  <c r="Y37" i="3"/>
  <c r="Y51" i="3"/>
  <c r="O10" i="6" s="1"/>
  <c r="AH10" i="5"/>
  <c r="AF13" i="5"/>
  <c r="AE16" i="5"/>
  <c r="AI7" i="6" s="1"/>
  <c r="AB21" i="5"/>
  <c r="AA24" i="5"/>
  <c r="BM31" i="2"/>
  <c r="BL18" i="2"/>
  <c r="BM28" i="2"/>
  <c r="Z3" i="6"/>
  <c r="Y4" i="6"/>
  <c r="AB11" i="5"/>
  <c r="AA15" i="5"/>
  <c r="AE8" i="6" s="1"/>
  <c r="AJ223" i="1" l="1"/>
  <c r="AI266" i="1"/>
  <c r="AI271" i="1" s="1"/>
  <c r="AI228" i="1"/>
  <c r="AI253" i="1"/>
  <c r="AI240" i="1"/>
  <c r="P259" i="1"/>
  <c r="AG35" i="4"/>
  <c r="P258" i="1"/>
  <c r="AG34" i="4"/>
  <c r="BO32" i="2"/>
  <c r="BO34" i="2"/>
  <c r="P260" i="1"/>
  <c r="AG36" i="4"/>
  <c r="BO33" i="2"/>
  <c r="AA245" i="1"/>
  <c r="AR22" i="4"/>
  <c r="AA246" i="1"/>
  <c r="AR23" i="4"/>
  <c r="BO21" i="2"/>
  <c r="BO22" i="2"/>
  <c r="BO20" i="2"/>
  <c r="AA247" i="1"/>
  <c r="AR24" i="4"/>
  <c r="AA235" i="1"/>
  <c r="AR12" i="4"/>
  <c r="AA233" i="1"/>
  <c r="AR10" i="4"/>
  <c r="AA234" i="1"/>
  <c r="AR11" i="4"/>
  <c r="X40" i="4"/>
  <c r="K9" i="6" s="1"/>
  <c r="I244" i="1"/>
  <c r="Z21" i="4"/>
  <c r="Z6" i="4"/>
  <c r="I229" i="1"/>
  <c r="I242" i="1"/>
  <c r="Z19" i="4"/>
  <c r="Z31" i="4"/>
  <c r="I255" i="1"/>
  <c r="H236" i="1"/>
  <c r="Y13" i="4"/>
  <c r="I254" i="1"/>
  <c r="Z30" i="4"/>
  <c r="I256" i="1"/>
  <c r="Z32" i="4"/>
  <c r="I241" i="1"/>
  <c r="Z18" i="4"/>
  <c r="I231" i="1"/>
  <c r="Z8" i="4"/>
  <c r="J248" i="1"/>
  <c r="AA25" i="4"/>
  <c r="H232" i="1"/>
  <c r="Y9" i="4"/>
  <c r="I257" i="1"/>
  <c r="Z33" i="4"/>
  <c r="J243" i="1"/>
  <c r="AA20" i="4"/>
  <c r="I230" i="1"/>
  <c r="Z7" i="4"/>
  <c r="I261" i="1"/>
  <c r="Z37" i="4"/>
  <c r="AA49" i="3"/>
  <c r="AA35" i="3"/>
  <c r="AQ48" i="3"/>
  <c r="AA43" i="3"/>
  <c r="AD42" i="3"/>
  <c r="AC45" i="3"/>
  <c r="AQ32" i="3"/>
  <c r="AQ46" i="3"/>
  <c r="AA44" i="3"/>
  <c r="AQ47" i="3"/>
  <c r="AQ33" i="3"/>
  <c r="AA30" i="3"/>
  <c r="AC31" i="3"/>
  <c r="AA29" i="3"/>
  <c r="AD28" i="3"/>
  <c r="AQ34" i="3"/>
  <c r="BM86" i="2"/>
  <c r="BM85" i="2"/>
  <c r="BM87" i="2"/>
  <c r="BN63" i="2"/>
  <c r="BN75" i="2"/>
  <c r="BN61" i="2"/>
  <c r="BN73" i="2"/>
  <c r="BN62" i="2"/>
  <c r="BN74" i="2"/>
  <c r="BO8" i="2"/>
  <c r="BN49" i="2"/>
  <c r="BO9" i="2"/>
  <c r="BN50" i="2"/>
  <c r="BO10" i="2"/>
  <c r="BN51" i="2"/>
  <c r="BM3" i="2"/>
  <c r="BL2" i="2"/>
  <c r="BA5" i="2"/>
  <c r="BB6" i="2"/>
  <c r="BB19" i="2"/>
  <c r="AZ81" i="2"/>
  <c r="BK4" i="2"/>
  <c r="BB16" i="2"/>
  <c r="BA45" i="2"/>
  <c r="BA57" i="2"/>
  <c r="BA69" i="2"/>
  <c r="BA11" i="2"/>
  <c r="AZ72" i="2"/>
  <c r="BA7" i="2"/>
  <c r="AZ60" i="2"/>
  <c r="AZ48" i="2"/>
  <c r="BB17" i="2"/>
  <c r="AY84" i="2"/>
  <c r="BB23" i="2"/>
  <c r="Z51" i="3"/>
  <c r="P10" i="6" s="1"/>
  <c r="Z37" i="3"/>
  <c r="AX58" i="2"/>
  <c r="AX70" i="2"/>
  <c r="AX46" i="2"/>
  <c r="AY29" i="2"/>
  <c r="AW88" i="2"/>
  <c r="AY30" i="2"/>
  <c r="AX47" i="2"/>
  <c r="AX71" i="2"/>
  <c r="AX59" i="2"/>
  <c r="AW83" i="2"/>
  <c r="AW82" i="2"/>
  <c r="AY35" i="2"/>
  <c r="AX64" i="2"/>
  <c r="AX52" i="2"/>
  <c r="AX76" i="2"/>
  <c r="AG13" i="5"/>
  <c r="AF16" i="5"/>
  <c r="AJ7" i="6" s="1"/>
  <c r="AI10" i="5"/>
  <c r="AC21" i="5"/>
  <c r="AB24" i="5"/>
  <c r="BM18" i="2"/>
  <c r="BN28" i="2"/>
  <c r="BN31" i="2"/>
  <c r="AA3" i="6"/>
  <c r="Z4" i="6"/>
  <c r="AC11" i="5"/>
  <c r="AB15" i="5"/>
  <c r="AF8" i="6" s="1"/>
  <c r="AK223" i="1" l="1"/>
  <c r="AJ266" i="1"/>
  <c r="AJ271" i="1" s="1"/>
  <c r="AJ240" i="1"/>
  <c r="AJ253" i="1"/>
  <c r="AJ228" i="1"/>
  <c r="BP32" i="2"/>
  <c r="BP34" i="2"/>
  <c r="BP33" i="2"/>
  <c r="Q258" i="1"/>
  <c r="AH34" i="4"/>
  <c r="Q260" i="1"/>
  <c r="AH36" i="4"/>
  <c r="Q259" i="1"/>
  <c r="AH35" i="4"/>
  <c r="BP21" i="2"/>
  <c r="AB247" i="1"/>
  <c r="AS24" i="4"/>
  <c r="AB246" i="1"/>
  <c r="AS23" i="4"/>
  <c r="BP22" i="2"/>
  <c r="BP20" i="2"/>
  <c r="AB245" i="1"/>
  <c r="AS22" i="4"/>
  <c r="AB234" i="1"/>
  <c r="AS11" i="4"/>
  <c r="AB233" i="1"/>
  <c r="AS10" i="4"/>
  <c r="AB235" i="1"/>
  <c r="AS12" i="4"/>
  <c r="Y40" i="4"/>
  <c r="L9" i="6" s="1"/>
  <c r="I232" i="1"/>
  <c r="Z9" i="4"/>
  <c r="K248" i="1"/>
  <c r="AB25" i="4"/>
  <c r="J254" i="1"/>
  <c r="AA30" i="4"/>
  <c r="AA6" i="4"/>
  <c r="J229" i="1"/>
  <c r="J261" i="1"/>
  <c r="AA37" i="4"/>
  <c r="J230" i="1"/>
  <c r="AA7" i="4"/>
  <c r="K243" i="1"/>
  <c r="AB20" i="4"/>
  <c r="J241" i="1"/>
  <c r="AA18" i="4"/>
  <c r="J231" i="1"/>
  <c r="AA8" i="4"/>
  <c r="I236" i="1"/>
  <c r="Z13" i="4"/>
  <c r="J257" i="1"/>
  <c r="AA33" i="4"/>
  <c r="J256" i="1"/>
  <c r="AA32" i="4"/>
  <c r="J242" i="1"/>
  <c r="AA19" i="4"/>
  <c r="AA31" i="4"/>
  <c r="J255" i="1"/>
  <c r="J244" i="1"/>
  <c r="AA21" i="4"/>
  <c r="AB49" i="3"/>
  <c r="AB35" i="3"/>
  <c r="AR48" i="3"/>
  <c r="AE42" i="3"/>
  <c r="AR46" i="3"/>
  <c r="AB43" i="3"/>
  <c r="AR47" i="3"/>
  <c r="AB44" i="3"/>
  <c r="AD45" i="3"/>
  <c r="AE28" i="3"/>
  <c r="AR32" i="3"/>
  <c r="AB29" i="3"/>
  <c r="AD31" i="3"/>
  <c r="AR33" i="3"/>
  <c r="AB30" i="3"/>
  <c r="AR34" i="3"/>
  <c r="BN87" i="2"/>
  <c r="BN86" i="2"/>
  <c r="BN85" i="2"/>
  <c r="BO61" i="2"/>
  <c r="BO73" i="2"/>
  <c r="BO63" i="2"/>
  <c r="BO75" i="2"/>
  <c r="BO62" i="2"/>
  <c r="BO74" i="2"/>
  <c r="BP10" i="2"/>
  <c r="BO51" i="2"/>
  <c r="BP9" i="2"/>
  <c r="BO50" i="2"/>
  <c r="BP8" i="2"/>
  <c r="BO49" i="2"/>
  <c r="BN3" i="2"/>
  <c r="BM2" i="2"/>
  <c r="BA81" i="2"/>
  <c r="BC16" i="2"/>
  <c r="BB45" i="2"/>
  <c r="BB57" i="2"/>
  <c r="BB69" i="2"/>
  <c r="BC19" i="2"/>
  <c r="BC6" i="2"/>
  <c r="BL4" i="2"/>
  <c r="BB5" i="2"/>
  <c r="BC17" i="2"/>
  <c r="AZ84" i="2"/>
  <c r="BC23" i="2"/>
  <c r="BB7" i="2"/>
  <c r="BA72" i="2"/>
  <c r="BA60" i="2"/>
  <c r="BA48" i="2"/>
  <c r="BB11" i="2"/>
  <c r="AX88" i="2"/>
  <c r="AY70" i="2"/>
  <c r="AY58" i="2"/>
  <c r="AZ29" i="2"/>
  <c r="AY46" i="2"/>
  <c r="AZ35" i="2"/>
  <c r="AY64" i="2"/>
  <c r="AY52" i="2"/>
  <c r="AY76" i="2"/>
  <c r="AX82" i="2"/>
  <c r="AA37" i="3"/>
  <c r="AX83" i="2"/>
  <c r="AA51" i="3"/>
  <c r="Q10" i="6" s="1"/>
  <c r="AY47" i="2"/>
  <c r="AY59" i="2"/>
  <c r="AY71" i="2"/>
  <c r="AZ30" i="2"/>
  <c r="AJ10" i="5"/>
  <c r="AH13" i="5"/>
  <c r="AG16" i="5"/>
  <c r="AK7" i="6" s="1"/>
  <c r="AD21" i="5"/>
  <c r="AC24" i="5"/>
  <c r="BO31" i="2"/>
  <c r="BN18" i="2"/>
  <c r="BO28" i="2"/>
  <c r="AB3" i="6"/>
  <c r="AA4" i="6"/>
  <c r="AD11" i="5"/>
  <c r="AC15" i="5"/>
  <c r="AG8" i="6" s="1"/>
  <c r="AL223" i="1" l="1"/>
  <c r="AK266" i="1"/>
  <c r="AK271" i="1" s="1"/>
  <c r="AK240" i="1"/>
  <c r="AK253" i="1"/>
  <c r="AK228" i="1"/>
  <c r="BQ33" i="2"/>
  <c r="R258" i="1"/>
  <c r="AI34" i="4"/>
  <c r="R259" i="1"/>
  <c r="AI35" i="4"/>
  <c r="BQ34" i="2"/>
  <c r="R260" i="1"/>
  <c r="AI36" i="4"/>
  <c r="BQ32" i="2"/>
  <c r="AC246" i="1"/>
  <c r="AT23" i="4"/>
  <c r="BQ22" i="2"/>
  <c r="AC245" i="1"/>
  <c r="AT22" i="4"/>
  <c r="AC247" i="1"/>
  <c r="AT24" i="4"/>
  <c r="BQ20" i="2"/>
  <c r="BQ21" i="2"/>
  <c r="AC235" i="1"/>
  <c r="AT12" i="4"/>
  <c r="AC233" i="1"/>
  <c r="AT10" i="4"/>
  <c r="AC234" i="1"/>
  <c r="AT11" i="4"/>
  <c r="Z40" i="4"/>
  <c r="M9" i="6" s="1"/>
  <c r="AC20" i="4"/>
  <c r="L243" i="1"/>
  <c r="K230" i="1"/>
  <c r="AB7" i="4"/>
  <c r="L248" i="1"/>
  <c r="AC25" i="4"/>
  <c r="K244" i="1"/>
  <c r="AB21" i="4"/>
  <c r="K254" i="1"/>
  <c r="AB30" i="4"/>
  <c r="K242" i="1"/>
  <c r="AB19" i="4"/>
  <c r="K231" i="1"/>
  <c r="AB8" i="4"/>
  <c r="K257" i="1"/>
  <c r="AB33" i="4"/>
  <c r="K261" i="1"/>
  <c r="AB37" i="4"/>
  <c r="J232" i="1"/>
  <c r="AA9" i="4"/>
  <c r="AB31" i="4"/>
  <c r="K255" i="1"/>
  <c r="J236" i="1"/>
  <c r="AA13" i="4"/>
  <c r="K256" i="1"/>
  <c r="AB32" i="4"/>
  <c r="K241" i="1"/>
  <c r="AB18" i="4"/>
  <c r="K229" i="1"/>
  <c r="AB6" i="4"/>
  <c r="AC49" i="3"/>
  <c r="AC35" i="3"/>
  <c r="AC43" i="3"/>
  <c r="AS48" i="3"/>
  <c r="AF42" i="3"/>
  <c r="AE45" i="3"/>
  <c r="AS46" i="3"/>
  <c r="AC44" i="3"/>
  <c r="AS47" i="3"/>
  <c r="AE31" i="3"/>
  <c r="AS32" i="3"/>
  <c r="AC30" i="3"/>
  <c r="AC29" i="3"/>
  <c r="AS34" i="3"/>
  <c r="AF28" i="3"/>
  <c r="AS33" i="3"/>
  <c r="BO85" i="2"/>
  <c r="BO86" i="2"/>
  <c r="BO87" i="2"/>
  <c r="BP63" i="2"/>
  <c r="BP75" i="2"/>
  <c r="BP61" i="2"/>
  <c r="BP73" i="2"/>
  <c r="BP62" i="2"/>
  <c r="BP74" i="2"/>
  <c r="BQ8" i="2"/>
  <c r="BP49" i="2"/>
  <c r="BQ9" i="2"/>
  <c r="BP50" i="2"/>
  <c r="BQ10" i="2"/>
  <c r="BP51" i="2"/>
  <c r="BO3" i="2"/>
  <c r="BN2" i="2"/>
  <c r="BM4" i="2"/>
  <c r="BB81" i="2"/>
  <c r="BD16" i="2"/>
  <c r="BC45" i="2"/>
  <c r="BC69" i="2"/>
  <c r="BC57" i="2"/>
  <c r="BD6" i="2"/>
  <c r="BC5" i="2"/>
  <c r="BD19" i="2"/>
  <c r="AB37" i="3"/>
  <c r="AB51" i="3"/>
  <c r="R10" i="6" s="1"/>
  <c r="BC11" i="2"/>
  <c r="BB60" i="2"/>
  <c r="BB48" i="2"/>
  <c r="BB72" i="2"/>
  <c r="BC7" i="2"/>
  <c r="BD23" i="2"/>
  <c r="BA84" i="2"/>
  <c r="BD17" i="2"/>
  <c r="AY83" i="2"/>
  <c r="AZ58" i="2"/>
  <c r="AZ46" i="2"/>
  <c r="AZ70" i="2"/>
  <c r="BA29" i="2"/>
  <c r="AY88" i="2"/>
  <c r="AY82" i="2"/>
  <c r="AZ47" i="2"/>
  <c r="AZ59" i="2"/>
  <c r="BA30" i="2"/>
  <c r="AZ71" i="2"/>
  <c r="BA35" i="2"/>
  <c r="AZ76" i="2"/>
  <c r="AZ64" i="2"/>
  <c r="AZ52" i="2"/>
  <c r="AI13" i="5"/>
  <c r="AH16" i="5"/>
  <c r="AL7" i="6" s="1"/>
  <c r="AK10" i="5"/>
  <c r="AE21" i="5"/>
  <c r="AD24" i="5"/>
  <c r="BP28" i="2"/>
  <c r="BP31" i="2"/>
  <c r="BO18" i="2"/>
  <c r="AC3" i="6"/>
  <c r="AB4" i="6"/>
  <c r="AE11" i="5"/>
  <c r="AD15" i="5"/>
  <c r="AH8" i="6" s="1"/>
  <c r="AM223" i="1" l="1"/>
  <c r="AL266" i="1"/>
  <c r="AL271" i="1" s="1"/>
  <c r="AL240" i="1"/>
  <c r="AL253" i="1"/>
  <c r="AL228" i="1"/>
  <c r="BR34" i="2"/>
  <c r="S259" i="1"/>
  <c r="AJ35" i="4"/>
  <c r="BR32" i="2"/>
  <c r="S258" i="1"/>
  <c r="AJ34" i="4"/>
  <c r="S260" i="1"/>
  <c r="AJ36" i="4"/>
  <c r="BR33" i="2"/>
  <c r="AD245" i="1"/>
  <c r="AU22" i="4"/>
  <c r="BR21" i="2"/>
  <c r="BR22" i="2"/>
  <c r="AD247" i="1"/>
  <c r="AU24" i="4"/>
  <c r="BR20" i="2"/>
  <c r="AD246" i="1"/>
  <c r="AU23" i="4"/>
  <c r="AD234" i="1"/>
  <c r="AU11" i="4"/>
  <c r="AD233" i="1"/>
  <c r="AU10" i="4"/>
  <c r="AD235" i="1"/>
  <c r="AU12" i="4"/>
  <c r="AA40" i="4"/>
  <c r="N9" i="6" s="1"/>
  <c r="K232" i="1"/>
  <c r="AB9" i="4"/>
  <c r="L242" i="1"/>
  <c r="AC19" i="4"/>
  <c r="AC33" i="4"/>
  <c r="L257" i="1"/>
  <c r="L241" i="1"/>
  <c r="AC18" i="4"/>
  <c r="L256" i="1"/>
  <c r="AC32" i="4"/>
  <c r="L261" i="1"/>
  <c r="AC37" i="4"/>
  <c r="L230" i="1"/>
  <c r="AC7" i="4"/>
  <c r="L255" i="1"/>
  <c r="AC31" i="4"/>
  <c r="AC6" i="4"/>
  <c r="L229" i="1"/>
  <c r="L231" i="1"/>
  <c r="AC8" i="4"/>
  <c r="AD20" i="4"/>
  <c r="M243" i="1"/>
  <c r="L244" i="1"/>
  <c r="AC21" i="4"/>
  <c r="M248" i="1"/>
  <c r="AD25" i="4"/>
  <c r="K236" i="1"/>
  <c r="AB13" i="4"/>
  <c r="L254" i="1"/>
  <c r="AC30" i="4"/>
  <c r="AD49" i="3"/>
  <c r="AD35" i="3"/>
  <c r="AT46" i="3"/>
  <c r="AD43" i="3"/>
  <c r="AT34" i="3"/>
  <c r="AT48" i="3"/>
  <c r="AD44" i="3"/>
  <c r="AF45" i="3"/>
  <c r="AG42" i="3"/>
  <c r="AT47" i="3"/>
  <c r="AD30" i="3"/>
  <c r="AT33" i="3"/>
  <c r="AG28" i="3"/>
  <c r="AF31" i="3"/>
  <c r="AD29" i="3"/>
  <c r="AT32" i="3"/>
  <c r="BP87" i="2"/>
  <c r="BP85" i="2"/>
  <c r="BP86" i="2"/>
  <c r="BQ61" i="2"/>
  <c r="BQ73" i="2"/>
  <c r="BQ63" i="2"/>
  <c r="BQ75" i="2"/>
  <c r="BQ62" i="2"/>
  <c r="BQ74" i="2"/>
  <c r="BR10" i="2"/>
  <c r="BQ51" i="2"/>
  <c r="BR9" i="2"/>
  <c r="BQ50" i="2"/>
  <c r="BR8" i="2"/>
  <c r="BQ49" i="2"/>
  <c r="BP3" i="2"/>
  <c r="BO2" i="2"/>
  <c r="BE16" i="2"/>
  <c r="BD57" i="2"/>
  <c r="BD69" i="2"/>
  <c r="BD45" i="2"/>
  <c r="BE6" i="2"/>
  <c r="BD5" i="2"/>
  <c r="BE19" i="2"/>
  <c r="BC81" i="2"/>
  <c r="BN4" i="2"/>
  <c r="BE23" i="2"/>
  <c r="BC72" i="2"/>
  <c r="BD7" i="2"/>
  <c r="BC48" i="2"/>
  <c r="BC60" i="2"/>
  <c r="BE17" i="2"/>
  <c r="BB84" i="2"/>
  <c r="BD11" i="2"/>
  <c r="AC51" i="3"/>
  <c r="S10" i="6" s="1"/>
  <c r="BA59" i="2"/>
  <c r="BB30" i="2"/>
  <c r="BA71" i="2"/>
  <c r="BA47" i="2"/>
  <c r="BA46" i="2"/>
  <c r="BB29" i="2"/>
  <c r="BA70" i="2"/>
  <c r="BA58" i="2"/>
  <c r="AZ82" i="2"/>
  <c r="AC37" i="3"/>
  <c r="AZ83" i="2"/>
  <c r="AZ88" i="2"/>
  <c r="BB35" i="2"/>
  <c r="BA76" i="2"/>
  <c r="BA64" i="2"/>
  <c r="BA52" i="2"/>
  <c r="AL10" i="5"/>
  <c r="AJ13" i="5"/>
  <c r="AI16" i="5"/>
  <c r="AM7" i="6" s="1"/>
  <c r="AF21" i="5"/>
  <c r="AE24" i="5"/>
  <c r="BQ31" i="2"/>
  <c r="BP18" i="2"/>
  <c r="BQ28" i="2"/>
  <c r="AD3" i="6"/>
  <c r="AC4" i="6"/>
  <c r="AF11" i="5"/>
  <c r="AE15" i="5"/>
  <c r="AI8" i="6" s="1"/>
  <c r="AN223" i="1" l="1"/>
  <c r="AM266" i="1"/>
  <c r="AM271" i="1" s="1"/>
  <c r="AM240" i="1"/>
  <c r="AM253" i="1"/>
  <c r="AM228" i="1"/>
  <c r="BS32" i="2"/>
  <c r="T258" i="1"/>
  <c r="AK34" i="4"/>
  <c r="T259" i="1"/>
  <c r="AK35" i="4"/>
  <c r="BS33" i="2"/>
  <c r="T260" i="1"/>
  <c r="AK36" i="4"/>
  <c r="BS34" i="2"/>
  <c r="BS22" i="2"/>
  <c r="AE247" i="1"/>
  <c r="AV24" i="4"/>
  <c r="AE246" i="1"/>
  <c r="AV23" i="4"/>
  <c r="BS21" i="2"/>
  <c r="BS20" i="2"/>
  <c r="AE245" i="1"/>
  <c r="AV22" i="4"/>
  <c r="AE235" i="1"/>
  <c r="AV12" i="4"/>
  <c r="AE233" i="1"/>
  <c r="AV10" i="4"/>
  <c r="AE234" i="1"/>
  <c r="AV11" i="4"/>
  <c r="AB40" i="4"/>
  <c r="O9" i="6" s="1"/>
  <c r="AD31" i="4"/>
  <c r="M255" i="1"/>
  <c r="M230" i="1"/>
  <c r="AD7" i="4"/>
  <c r="L236" i="1"/>
  <c r="AC13" i="4"/>
  <c r="M231" i="1"/>
  <c r="AD8" i="4"/>
  <c r="M261" i="1"/>
  <c r="AD37" i="4"/>
  <c r="M242" i="1"/>
  <c r="AD19" i="4"/>
  <c r="M241" i="1"/>
  <c r="AD18" i="4"/>
  <c r="M229" i="1"/>
  <c r="AD6" i="4"/>
  <c r="AE20" i="4"/>
  <c r="N243" i="1"/>
  <c r="N248" i="1"/>
  <c r="AE25" i="4"/>
  <c r="M256" i="1"/>
  <c r="AD32" i="4"/>
  <c r="L232" i="1"/>
  <c r="AC9" i="4"/>
  <c r="M244" i="1"/>
  <c r="AD21" i="4"/>
  <c r="M257" i="1"/>
  <c r="AD33" i="4"/>
  <c r="M254" i="1"/>
  <c r="AD30" i="4"/>
  <c r="AE49" i="3"/>
  <c r="AE35" i="3"/>
  <c r="AE44" i="3"/>
  <c r="AH42" i="3"/>
  <c r="AE43" i="3"/>
  <c r="AU47" i="3"/>
  <c r="AG45" i="3"/>
  <c r="AU48" i="3"/>
  <c r="AU32" i="3"/>
  <c r="AU46" i="3"/>
  <c r="AE30" i="3"/>
  <c r="AE29" i="3"/>
  <c r="AU34" i="3"/>
  <c r="AH28" i="3"/>
  <c r="AU33" i="3"/>
  <c r="AG31" i="3"/>
  <c r="BQ85" i="2"/>
  <c r="BQ86" i="2"/>
  <c r="BQ87" i="2"/>
  <c r="BR63" i="2"/>
  <c r="BR75" i="2"/>
  <c r="BR61" i="2"/>
  <c r="BR73" i="2"/>
  <c r="BR62" i="2"/>
  <c r="BR74" i="2"/>
  <c r="BS8" i="2"/>
  <c r="BR49" i="2"/>
  <c r="BS9" i="2"/>
  <c r="BR50" i="2"/>
  <c r="BS10" i="2"/>
  <c r="BR51" i="2"/>
  <c r="BQ3" i="2"/>
  <c r="BP2" i="2"/>
  <c r="BE5" i="2"/>
  <c r="BF6" i="2"/>
  <c r="BO4" i="2"/>
  <c r="BD81" i="2"/>
  <c r="BF19" i="2"/>
  <c r="BF16" i="2"/>
  <c r="BE45" i="2"/>
  <c r="BE57" i="2"/>
  <c r="BE69" i="2"/>
  <c r="BF17" i="2"/>
  <c r="BE11" i="2"/>
  <c r="BC84" i="2"/>
  <c r="BD48" i="2"/>
  <c r="BE7" i="2"/>
  <c r="BD60" i="2"/>
  <c r="BD72" i="2"/>
  <c r="BF23" i="2"/>
  <c r="BC29" i="2"/>
  <c r="BB70" i="2"/>
  <c r="BB46" i="2"/>
  <c r="BB58" i="2"/>
  <c r="BC35" i="2"/>
  <c r="BB76" i="2"/>
  <c r="BB64" i="2"/>
  <c r="BB52" i="2"/>
  <c r="BA82" i="2"/>
  <c r="BA83" i="2"/>
  <c r="AD37" i="3"/>
  <c r="AD51" i="3"/>
  <c r="T10" i="6" s="1"/>
  <c r="BC30" i="2"/>
  <c r="BB59" i="2"/>
  <c r="BB47" i="2"/>
  <c r="BB71" i="2"/>
  <c r="BA88" i="2"/>
  <c r="AK13" i="5"/>
  <c r="AJ16" i="5"/>
  <c r="AN7" i="6" s="1"/>
  <c r="AM10" i="5"/>
  <c r="AG21" i="5"/>
  <c r="AF24" i="5"/>
  <c r="BR31" i="2"/>
  <c r="BR28" i="2"/>
  <c r="BQ18" i="2"/>
  <c r="AE3" i="6"/>
  <c r="AD4" i="6"/>
  <c r="AG11" i="5"/>
  <c r="AF15" i="5"/>
  <c r="AJ8" i="6" s="1"/>
  <c r="AO223" i="1" l="1"/>
  <c r="AN266" i="1"/>
  <c r="AN271" i="1" s="1"/>
  <c r="AN253" i="1"/>
  <c r="AN228" i="1"/>
  <c r="AN240" i="1"/>
  <c r="U259" i="1"/>
  <c r="AL35" i="4"/>
  <c r="BT33" i="2"/>
  <c r="BT34" i="2"/>
  <c r="U258" i="1"/>
  <c r="AL34" i="4"/>
  <c r="U260" i="1"/>
  <c r="AL36" i="4"/>
  <c r="BT32" i="2"/>
  <c r="BT22" i="2"/>
  <c r="AF246" i="1"/>
  <c r="AW23" i="4"/>
  <c r="AF245" i="1"/>
  <c r="AW22" i="4"/>
  <c r="AF247" i="1"/>
  <c r="AW24" i="4"/>
  <c r="BT20" i="2"/>
  <c r="BT21" i="2"/>
  <c r="AF234" i="1"/>
  <c r="AW11" i="4"/>
  <c r="AF233" i="1"/>
  <c r="AW10" i="4"/>
  <c r="AF235" i="1"/>
  <c r="AW12" i="4"/>
  <c r="AC40" i="4"/>
  <c r="P9" i="6" s="1"/>
  <c r="N256" i="1"/>
  <c r="AE32" i="4"/>
  <c r="AE33" i="4"/>
  <c r="N257" i="1"/>
  <c r="O248" i="1"/>
  <c r="AF25" i="4"/>
  <c r="N242" i="1"/>
  <c r="AE19" i="4"/>
  <c r="N229" i="1"/>
  <c r="AE6" i="4"/>
  <c r="N254" i="1"/>
  <c r="AE30" i="4"/>
  <c r="AF20" i="4"/>
  <c r="O243" i="1"/>
  <c r="N230" i="1"/>
  <c r="AE7" i="4"/>
  <c r="M232" i="1"/>
  <c r="AD9" i="4"/>
  <c r="M236" i="1"/>
  <c r="AD13" i="4"/>
  <c r="N244" i="1"/>
  <c r="AE21" i="4"/>
  <c r="N261" i="1"/>
  <c r="AE37" i="4"/>
  <c r="N255" i="1"/>
  <c r="AE31" i="4"/>
  <c r="N231" i="1"/>
  <c r="AE8" i="4"/>
  <c r="N241" i="1"/>
  <c r="AE18" i="4"/>
  <c r="AF49" i="3"/>
  <c r="AF35" i="3"/>
  <c r="AV48" i="3"/>
  <c r="AF43" i="3"/>
  <c r="AI42" i="3"/>
  <c r="AV46" i="3"/>
  <c r="AF44" i="3"/>
  <c r="AV47" i="3"/>
  <c r="AH45" i="3"/>
  <c r="AI28" i="3"/>
  <c r="AV32" i="3"/>
  <c r="AV34" i="3"/>
  <c r="AF29" i="3"/>
  <c r="AF30" i="3"/>
  <c r="AH31" i="3"/>
  <c r="AV33" i="3"/>
  <c r="BR87" i="2"/>
  <c r="BR86" i="2"/>
  <c r="BR85" i="2"/>
  <c r="BS63" i="2"/>
  <c r="BS75" i="2"/>
  <c r="BS61" i="2"/>
  <c r="BS73" i="2"/>
  <c r="BS62" i="2"/>
  <c r="BS74" i="2"/>
  <c r="BT10" i="2"/>
  <c r="BS51" i="2"/>
  <c r="BT9" i="2"/>
  <c r="BS50" i="2"/>
  <c r="BT8" i="2"/>
  <c r="BS49" i="2"/>
  <c r="BR3" i="2"/>
  <c r="BQ2" i="2"/>
  <c r="BG16" i="2"/>
  <c r="BF45" i="2"/>
  <c r="BF69" i="2"/>
  <c r="BF57" i="2"/>
  <c r="BP4" i="2"/>
  <c r="BE81" i="2"/>
  <c r="BG19" i="2"/>
  <c r="BG6" i="2"/>
  <c r="BF5" i="2"/>
  <c r="BD84" i="2"/>
  <c r="BG23" i="2"/>
  <c r="BF11" i="2"/>
  <c r="BF7" i="2"/>
  <c r="BE48" i="2"/>
  <c r="BE72" i="2"/>
  <c r="BE60" i="2"/>
  <c r="BG17" i="2"/>
  <c r="BB88" i="2"/>
  <c r="BB83" i="2"/>
  <c r="BD35" i="2"/>
  <c r="BC52" i="2"/>
  <c r="BC64" i="2"/>
  <c r="BC76" i="2"/>
  <c r="BD30" i="2"/>
  <c r="BC71" i="2"/>
  <c r="BC47" i="2"/>
  <c r="BC59" i="2"/>
  <c r="AE37" i="3"/>
  <c r="BB82" i="2"/>
  <c r="AE51" i="3"/>
  <c r="U10" i="6" s="1"/>
  <c r="BC46" i="2"/>
  <c r="BD29" i="2"/>
  <c r="BC70" i="2"/>
  <c r="BC58" i="2"/>
  <c r="AN10" i="5"/>
  <c r="AL13" i="5"/>
  <c r="AK16" i="5"/>
  <c r="AO7" i="6" s="1"/>
  <c r="AH21" i="5"/>
  <c r="AG24" i="5"/>
  <c r="BS28" i="2"/>
  <c r="BS31" i="2"/>
  <c r="BR18" i="2"/>
  <c r="AF3" i="6"/>
  <c r="AE4" i="6"/>
  <c r="AH11" i="5"/>
  <c r="AG15" i="5"/>
  <c r="AK8" i="6" s="1"/>
  <c r="AP223" i="1" l="1"/>
  <c r="AO266" i="1"/>
  <c r="AO271" i="1" s="1"/>
  <c r="AO253" i="1"/>
  <c r="AO228" i="1"/>
  <c r="AO240" i="1"/>
  <c r="BU34" i="2"/>
  <c r="V258" i="1"/>
  <c r="AM34" i="4"/>
  <c r="BU33" i="2"/>
  <c r="BU32" i="2"/>
  <c r="V260" i="1"/>
  <c r="AM36" i="4"/>
  <c r="V259" i="1"/>
  <c r="AM35" i="4"/>
  <c r="BU20" i="2"/>
  <c r="BU21" i="2"/>
  <c r="AG246" i="1"/>
  <c r="AX23" i="4"/>
  <c r="BU22" i="2"/>
  <c r="AG247" i="1"/>
  <c r="AX24" i="4"/>
  <c r="AG245" i="1"/>
  <c r="AX22" i="4"/>
  <c r="AG235" i="1"/>
  <c r="AX12" i="4"/>
  <c r="AG233" i="1"/>
  <c r="AX10" i="4"/>
  <c r="AG234" i="1"/>
  <c r="AX11" i="4"/>
  <c r="AD40" i="4"/>
  <c r="Q9" i="6" s="1"/>
  <c r="O242" i="1"/>
  <c r="AF19" i="4"/>
  <c r="O244" i="1"/>
  <c r="AF21" i="4"/>
  <c r="O231" i="1"/>
  <c r="AF8" i="4"/>
  <c r="N236" i="1"/>
  <c r="AE13" i="4"/>
  <c r="O257" i="1"/>
  <c r="AF33" i="4"/>
  <c r="O230" i="1"/>
  <c r="AF7" i="4"/>
  <c r="AG20" i="4"/>
  <c r="P243" i="1"/>
  <c r="O254" i="1"/>
  <c r="AF30" i="4"/>
  <c r="O255" i="1"/>
  <c r="AF31" i="4"/>
  <c r="N232" i="1"/>
  <c r="AE9" i="4"/>
  <c r="O261" i="1"/>
  <c r="AF37" i="4"/>
  <c r="O241" i="1"/>
  <c r="AF18" i="4"/>
  <c r="P248" i="1"/>
  <c r="AG25" i="4"/>
  <c r="O229" i="1"/>
  <c r="AF6" i="4"/>
  <c r="O256" i="1"/>
  <c r="AF32" i="4"/>
  <c r="AG49" i="3"/>
  <c r="AG35" i="3"/>
  <c r="AG44" i="3"/>
  <c r="AW47" i="3"/>
  <c r="AI45" i="3"/>
  <c r="AW48" i="3"/>
  <c r="AG43" i="3"/>
  <c r="AW32" i="3"/>
  <c r="AW46" i="3"/>
  <c r="AJ42" i="3"/>
  <c r="AJ28" i="3"/>
  <c r="AW34" i="3"/>
  <c r="AG29" i="3"/>
  <c r="AI31" i="3"/>
  <c r="AW33" i="3"/>
  <c r="AG30" i="3"/>
  <c r="BS85" i="2"/>
  <c r="BS86" i="2"/>
  <c r="BS87" i="2"/>
  <c r="BT63" i="2"/>
  <c r="BT75" i="2"/>
  <c r="BT61" i="2"/>
  <c r="BT73" i="2"/>
  <c r="BT62" i="2"/>
  <c r="BT74" i="2"/>
  <c r="BU8" i="2"/>
  <c r="BT49" i="2"/>
  <c r="BU9" i="2"/>
  <c r="BT50" i="2"/>
  <c r="BU10" i="2"/>
  <c r="BT51" i="2"/>
  <c r="BS3" i="2"/>
  <c r="BR2" i="2"/>
  <c r="BH6" i="2"/>
  <c r="BQ4" i="2"/>
  <c r="BH19" i="2"/>
  <c r="BF81" i="2"/>
  <c r="BG5" i="2"/>
  <c r="BH16" i="2"/>
  <c r="BG45" i="2"/>
  <c r="BG57" i="2"/>
  <c r="BG69" i="2"/>
  <c r="BF60" i="2"/>
  <c r="BF72" i="2"/>
  <c r="BG7" i="2"/>
  <c r="BF48" i="2"/>
  <c r="BG11" i="2"/>
  <c r="BH17" i="2"/>
  <c r="BH23" i="2"/>
  <c r="BE84" i="2"/>
  <c r="BE29" i="2"/>
  <c r="BD58" i="2"/>
  <c r="BD46" i="2"/>
  <c r="BD70" i="2"/>
  <c r="BE35" i="2"/>
  <c r="BD76" i="2"/>
  <c r="BD52" i="2"/>
  <c r="BD64" i="2"/>
  <c r="BC82" i="2"/>
  <c r="BD71" i="2"/>
  <c r="BD59" i="2"/>
  <c r="BD47" i="2"/>
  <c r="BE30" i="2"/>
  <c r="AF51" i="3"/>
  <c r="V10" i="6" s="1"/>
  <c r="BC88" i="2"/>
  <c r="BC83" i="2"/>
  <c r="AF37" i="3"/>
  <c r="AM13" i="5"/>
  <c r="AL16" i="5"/>
  <c r="AP7" i="6" s="1"/>
  <c r="AO10" i="5"/>
  <c r="AI21" i="5"/>
  <c r="AH24" i="5"/>
  <c r="BS18" i="2"/>
  <c r="BT28" i="2"/>
  <c r="BT31" i="2"/>
  <c r="AG3" i="6"/>
  <c r="AF4" i="6"/>
  <c r="AI11" i="5"/>
  <c r="AH15" i="5"/>
  <c r="AL8" i="6" s="1"/>
  <c r="AQ223" i="1" l="1"/>
  <c r="AP266" i="1"/>
  <c r="AP271" i="1" s="1"/>
  <c r="AP228" i="1"/>
  <c r="AP253" i="1"/>
  <c r="AP240" i="1"/>
  <c r="BV32" i="2"/>
  <c r="BV33" i="2"/>
  <c r="W258" i="1"/>
  <c r="AN34" i="4"/>
  <c r="W259" i="1"/>
  <c r="AN35" i="4"/>
  <c r="W260" i="1"/>
  <c r="AN36" i="4"/>
  <c r="BV34" i="2"/>
  <c r="AH247" i="1"/>
  <c r="AY24" i="4"/>
  <c r="BV22" i="2"/>
  <c r="AH245" i="1"/>
  <c r="AY22" i="4"/>
  <c r="BV21" i="2"/>
  <c r="BV20" i="2"/>
  <c r="AH246" i="1"/>
  <c r="AY23" i="4"/>
  <c r="AH234" i="1"/>
  <c r="AY11" i="4"/>
  <c r="AH233" i="1"/>
  <c r="AY10" i="4"/>
  <c r="AH235" i="1"/>
  <c r="AY12" i="4"/>
  <c r="AE40" i="4"/>
  <c r="R9" i="6" s="1"/>
  <c r="P261" i="1"/>
  <c r="AG37" i="4"/>
  <c r="P231" i="1"/>
  <c r="AG8" i="4"/>
  <c r="P229" i="1"/>
  <c r="AG6" i="4"/>
  <c r="Q248" i="1"/>
  <c r="AH25" i="4"/>
  <c r="AG31" i="4"/>
  <c r="P255" i="1"/>
  <c r="P230" i="1"/>
  <c r="AG7" i="4"/>
  <c r="P244" i="1"/>
  <c r="AG21" i="4"/>
  <c r="P256" i="1"/>
  <c r="AG32" i="4"/>
  <c r="AH20" i="4"/>
  <c r="Q243" i="1"/>
  <c r="O232" i="1"/>
  <c r="AF9" i="4"/>
  <c r="O236" i="1"/>
  <c r="AF13" i="4"/>
  <c r="P241" i="1"/>
  <c r="AG18" i="4"/>
  <c r="P254" i="1"/>
  <c r="AG30" i="4"/>
  <c r="AG33" i="4"/>
  <c r="P257" i="1"/>
  <c r="P242" i="1"/>
  <c r="AG19" i="4"/>
  <c r="AH49" i="3"/>
  <c r="AH35" i="3"/>
  <c r="AK42" i="3"/>
  <c r="AH44" i="3"/>
  <c r="AJ45" i="3"/>
  <c r="AX46" i="3"/>
  <c r="AX34" i="3"/>
  <c r="AX48" i="3"/>
  <c r="AH43" i="3"/>
  <c r="AX47" i="3"/>
  <c r="AK28" i="3"/>
  <c r="AH30" i="3"/>
  <c r="AJ31" i="3"/>
  <c r="AX32" i="3"/>
  <c r="AH29" i="3"/>
  <c r="AX33" i="3"/>
  <c r="BT87" i="2"/>
  <c r="BT86" i="2"/>
  <c r="BT85" i="2"/>
  <c r="BU61" i="2"/>
  <c r="BU73" i="2"/>
  <c r="BU63" i="2"/>
  <c r="BU75" i="2"/>
  <c r="BU62" i="2"/>
  <c r="BU74" i="2"/>
  <c r="BV10" i="2"/>
  <c r="BU51" i="2"/>
  <c r="BV9" i="2"/>
  <c r="BU50" i="2"/>
  <c r="BV8" i="2"/>
  <c r="BU49" i="2"/>
  <c r="BT3" i="2"/>
  <c r="BS2" i="2"/>
  <c r="BG81" i="2"/>
  <c r="BI16" i="2"/>
  <c r="BH69" i="2"/>
  <c r="BH45" i="2"/>
  <c r="BH57" i="2"/>
  <c r="BI19" i="2"/>
  <c r="BH5" i="2"/>
  <c r="BR4" i="2"/>
  <c r="BI6" i="2"/>
  <c r="BF84" i="2"/>
  <c r="BI17" i="2"/>
  <c r="BH11" i="2"/>
  <c r="BI23" i="2"/>
  <c r="BH7" i="2"/>
  <c r="BG48" i="2"/>
  <c r="BG60" i="2"/>
  <c r="BG72" i="2"/>
  <c r="BF30" i="2"/>
  <c r="BE59" i="2"/>
  <c r="BE71" i="2"/>
  <c r="BE47" i="2"/>
  <c r="BD83" i="2"/>
  <c r="BD88" i="2"/>
  <c r="BF35" i="2"/>
  <c r="BE76" i="2"/>
  <c r="BE64" i="2"/>
  <c r="BE52" i="2"/>
  <c r="AG51" i="3"/>
  <c r="W10" i="6" s="1"/>
  <c r="BD82" i="2"/>
  <c r="AG37" i="3"/>
  <c r="BE58" i="2"/>
  <c r="BE70" i="2"/>
  <c r="BF29" i="2"/>
  <c r="BE46" i="2"/>
  <c r="AP10" i="5"/>
  <c r="AN13" i="5"/>
  <c r="AM16" i="5"/>
  <c r="AQ7" i="6" s="1"/>
  <c r="AJ21" i="5"/>
  <c r="AI24" i="5"/>
  <c r="BU28" i="2"/>
  <c r="BU31" i="2"/>
  <c r="BT18" i="2"/>
  <c r="AH3" i="6"/>
  <c r="AG4" i="6"/>
  <c r="AJ11" i="5"/>
  <c r="AI15" i="5"/>
  <c r="AM8" i="6" s="1"/>
  <c r="AR223" i="1" l="1"/>
  <c r="AQ266" i="1"/>
  <c r="AQ271" i="1" s="1"/>
  <c r="AQ253" i="1"/>
  <c r="AQ228" i="1"/>
  <c r="AQ240" i="1"/>
  <c r="X259" i="1"/>
  <c r="AO35" i="4"/>
  <c r="X258" i="1"/>
  <c r="AO34" i="4"/>
  <c r="BW34" i="2"/>
  <c r="BW33" i="2"/>
  <c r="X260" i="1"/>
  <c r="AO36" i="4"/>
  <c r="BW32" i="2"/>
  <c r="BW20" i="2"/>
  <c r="BW21" i="2"/>
  <c r="AI247" i="1"/>
  <c r="AZ24" i="4"/>
  <c r="AI245" i="1"/>
  <c r="AZ22" i="4"/>
  <c r="AI246" i="1"/>
  <c r="AZ23" i="4"/>
  <c r="BW22" i="2"/>
  <c r="AI233" i="1"/>
  <c r="AZ10" i="4"/>
  <c r="AI235" i="1"/>
  <c r="AZ12" i="4"/>
  <c r="AI234" i="1"/>
  <c r="AZ11" i="4"/>
  <c r="AF40" i="4"/>
  <c r="S9" i="6" s="1"/>
  <c r="Q241" i="1"/>
  <c r="AH18" i="4"/>
  <c r="P236" i="1"/>
  <c r="AG13" i="4"/>
  <c r="P232" i="1"/>
  <c r="AG9" i="4"/>
  <c r="Q230" i="1"/>
  <c r="AH7" i="4"/>
  <c r="R248" i="1"/>
  <c r="AI25" i="4"/>
  <c r="Q244" i="1"/>
  <c r="AH21" i="4"/>
  <c r="R243" i="1"/>
  <c r="AI20" i="4"/>
  <c r="Q255" i="1"/>
  <c r="AH31" i="4"/>
  <c r="Q231" i="1"/>
  <c r="AH8" i="4"/>
  <c r="Q256" i="1"/>
  <c r="AH32" i="4"/>
  <c r="Q242" i="1"/>
  <c r="AH19" i="4"/>
  <c r="AH33" i="4"/>
  <c r="Q257" i="1"/>
  <c r="Q254" i="1"/>
  <c r="AH30" i="4"/>
  <c r="AH6" i="4"/>
  <c r="Q229" i="1"/>
  <c r="Q261" i="1"/>
  <c r="AH37" i="4"/>
  <c r="AI35" i="3"/>
  <c r="AI49" i="3"/>
  <c r="AY48" i="3"/>
  <c r="AK45" i="3"/>
  <c r="AY46" i="3"/>
  <c r="AI43" i="3"/>
  <c r="AI30" i="3"/>
  <c r="AI44" i="3"/>
  <c r="AL42" i="3"/>
  <c r="AY47" i="3"/>
  <c r="AI29" i="3"/>
  <c r="AY34" i="3"/>
  <c r="AY33" i="3"/>
  <c r="AK31" i="3"/>
  <c r="AY32" i="3"/>
  <c r="AL28" i="3"/>
  <c r="BU85" i="2"/>
  <c r="BU87" i="2"/>
  <c r="BU86" i="2"/>
  <c r="BV63" i="2"/>
  <c r="BV75" i="2"/>
  <c r="BV61" i="2"/>
  <c r="BV73" i="2"/>
  <c r="BV62" i="2"/>
  <c r="BV74" i="2"/>
  <c r="BW8" i="2"/>
  <c r="BV49" i="2"/>
  <c r="BW9" i="2"/>
  <c r="BV50" i="2"/>
  <c r="BW10" i="2"/>
  <c r="BV51" i="2"/>
  <c r="BU3" i="2"/>
  <c r="BT2" i="2"/>
  <c r="BH81" i="2"/>
  <c r="BS4" i="2"/>
  <c r="BJ16" i="2"/>
  <c r="BI57" i="2"/>
  <c r="BI45" i="2"/>
  <c r="BI69" i="2"/>
  <c r="BI5" i="2"/>
  <c r="BJ6" i="2"/>
  <c r="BJ19" i="2"/>
  <c r="BJ23" i="2"/>
  <c r="BI11" i="2"/>
  <c r="BJ17" i="2"/>
  <c r="BG84" i="2"/>
  <c r="BH72" i="2"/>
  <c r="BI7" i="2"/>
  <c r="BH48" i="2"/>
  <c r="BH60" i="2"/>
  <c r="AH37" i="3"/>
  <c r="BE83" i="2"/>
  <c r="BE88" i="2"/>
  <c r="AH51" i="3"/>
  <c r="X10" i="6" s="1"/>
  <c r="BG35" i="2"/>
  <c r="BF76" i="2"/>
  <c r="BF52" i="2"/>
  <c r="BF64" i="2"/>
  <c r="BE82" i="2"/>
  <c r="BF70" i="2"/>
  <c r="BG29" i="2"/>
  <c r="BF58" i="2"/>
  <c r="BF46" i="2"/>
  <c r="BG30" i="2"/>
  <c r="BF59" i="2"/>
  <c r="BF47" i="2"/>
  <c r="BF71" i="2"/>
  <c r="AO13" i="5"/>
  <c r="AN16" i="5"/>
  <c r="AR7" i="6" s="1"/>
  <c r="AQ10" i="5"/>
  <c r="AK21" i="5"/>
  <c r="AJ24" i="5"/>
  <c r="BU18" i="2"/>
  <c r="BV31" i="2"/>
  <c r="BV28" i="2"/>
  <c r="AH4" i="6"/>
  <c r="AI3" i="6"/>
  <c r="AK11" i="5"/>
  <c r="AJ15" i="5"/>
  <c r="AN8" i="6" s="1"/>
  <c r="AS223" i="1" l="1"/>
  <c r="AR266" i="1"/>
  <c r="AR271" i="1" s="1"/>
  <c r="AR240" i="1"/>
  <c r="AR253" i="1"/>
  <c r="AR228" i="1"/>
  <c r="BX34" i="2"/>
  <c r="BX32" i="2"/>
  <c r="BX33" i="2"/>
  <c r="Y258" i="1"/>
  <c r="AP34" i="4"/>
  <c r="Y260" i="1"/>
  <c r="AP36" i="4"/>
  <c r="Y259" i="1"/>
  <c r="AP35" i="4"/>
  <c r="AJ246" i="1"/>
  <c r="BA23" i="4"/>
  <c r="AJ247" i="1"/>
  <c r="BA24" i="4"/>
  <c r="BX22" i="2"/>
  <c r="BX21" i="2"/>
  <c r="BX20" i="2"/>
  <c r="AJ245" i="1"/>
  <c r="BA22" i="4"/>
  <c r="AJ235" i="1"/>
  <c r="BA12" i="4"/>
  <c r="AJ234" i="1"/>
  <c r="BA11" i="4"/>
  <c r="AJ233" i="1"/>
  <c r="BA10" i="4"/>
  <c r="AG40" i="4"/>
  <c r="T9" i="6" s="1"/>
  <c r="R261" i="1"/>
  <c r="AI37" i="4"/>
  <c r="S243" i="1"/>
  <c r="AJ20" i="4"/>
  <c r="R255" i="1"/>
  <c r="AI31" i="4"/>
  <c r="R242" i="1"/>
  <c r="AI19" i="4"/>
  <c r="R256" i="1"/>
  <c r="AI32" i="4"/>
  <c r="R244" i="1"/>
  <c r="AI21" i="4"/>
  <c r="Q236" i="1"/>
  <c r="AH13" i="4"/>
  <c r="R230" i="1"/>
  <c r="AI7" i="4"/>
  <c r="R229" i="1"/>
  <c r="AI6" i="4"/>
  <c r="Q232" i="1"/>
  <c r="AH9" i="4"/>
  <c r="AI30" i="4"/>
  <c r="R254" i="1"/>
  <c r="AI33" i="4"/>
  <c r="R257" i="1"/>
  <c r="R231" i="1"/>
  <c r="AI8" i="4"/>
  <c r="S248" i="1"/>
  <c r="AJ25" i="4"/>
  <c r="R241" i="1"/>
  <c r="AI18" i="4"/>
  <c r="AJ49" i="3"/>
  <c r="AJ35" i="3"/>
  <c r="AJ43" i="3"/>
  <c r="AL45" i="3"/>
  <c r="AZ34" i="3"/>
  <c r="AZ48" i="3"/>
  <c r="AZ47" i="3"/>
  <c r="AJ44" i="3"/>
  <c r="AM42" i="3"/>
  <c r="AZ46" i="3"/>
  <c r="AZ32" i="3"/>
  <c r="AM28" i="3"/>
  <c r="AL31" i="3"/>
  <c r="AJ30" i="3"/>
  <c r="AJ29" i="3"/>
  <c r="AZ33" i="3"/>
  <c r="BV87" i="2"/>
  <c r="BV85" i="2"/>
  <c r="BV86" i="2"/>
  <c r="BW61" i="2"/>
  <c r="BW73" i="2"/>
  <c r="BW63" i="2"/>
  <c r="BW75" i="2"/>
  <c r="BW62" i="2"/>
  <c r="BW74" i="2"/>
  <c r="BX10" i="2"/>
  <c r="BW51" i="2"/>
  <c r="BX9" i="2"/>
  <c r="BW50" i="2"/>
  <c r="BX8" i="2"/>
  <c r="BW49" i="2"/>
  <c r="BV3" i="2"/>
  <c r="BU2" i="2"/>
  <c r="BK16" i="2"/>
  <c r="BJ69" i="2"/>
  <c r="BJ45" i="2"/>
  <c r="BJ57" i="2"/>
  <c r="BJ5" i="2"/>
  <c r="BK6" i="2"/>
  <c r="BI81" i="2"/>
  <c r="BT4" i="2"/>
  <c r="BK19" i="2"/>
  <c r="BK17" i="2"/>
  <c r="BJ7" i="2"/>
  <c r="BI72" i="2"/>
  <c r="BI60" i="2"/>
  <c r="BI48" i="2"/>
  <c r="BH84" i="2"/>
  <c r="BJ11" i="2"/>
  <c r="BK23" i="2"/>
  <c r="AI37" i="3"/>
  <c r="BG59" i="2"/>
  <c r="BH30" i="2"/>
  <c r="BG71" i="2"/>
  <c r="BG47" i="2"/>
  <c r="BG70" i="2"/>
  <c r="BG46" i="2"/>
  <c r="BH29" i="2"/>
  <c r="BG58" i="2"/>
  <c r="BF88" i="2"/>
  <c r="BF82" i="2"/>
  <c r="BH35" i="2"/>
  <c r="BG76" i="2"/>
  <c r="BG64" i="2"/>
  <c r="BG52" i="2"/>
  <c r="BF83" i="2"/>
  <c r="AI51" i="3"/>
  <c r="Y10" i="6" s="1"/>
  <c r="AR10" i="5"/>
  <c r="AP13" i="5"/>
  <c r="AO16" i="5"/>
  <c r="AS7" i="6" s="1"/>
  <c r="AL21" i="5"/>
  <c r="AK24" i="5"/>
  <c r="BW28" i="2"/>
  <c r="BW31" i="2"/>
  <c r="BV18" i="2"/>
  <c r="AJ3" i="6"/>
  <c r="AI4" i="6"/>
  <c r="AL11" i="5"/>
  <c r="AK15" i="5"/>
  <c r="AO8" i="6" s="1"/>
  <c r="AT223" i="1" l="1"/>
  <c r="AS266" i="1"/>
  <c r="AS271" i="1" s="1"/>
  <c r="AS240" i="1"/>
  <c r="AS253" i="1"/>
  <c r="AS228" i="1"/>
  <c r="BY33" i="2"/>
  <c r="Z258" i="1"/>
  <c r="AQ34" i="4"/>
  <c r="BY32" i="2"/>
  <c r="Z259" i="1"/>
  <c r="AQ35" i="4"/>
  <c r="Z260" i="1"/>
  <c r="AQ36" i="4"/>
  <c r="BY34" i="2"/>
  <c r="BY20" i="2"/>
  <c r="AK246" i="1"/>
  <c r="BB23" i="4"/>
  <c r="BY22" i="2"/>
  <c r="AK245" i="1"/>
  <c r="BB22" i="4"/>
  <c r="AK247" i="1"/>
  <c r="BB24" i="4"/>
  <c r="BY21" i="2"/>
  <c r="AK234" i="1"/>
  <c r="BB11" i="4"/>
  <c r="AK235" i="1"/>
  <c r="BB12" i="4"/>
  <c r="AK233" i="1"/>
  <c r="BB10" i="4"/>
  <c r="AH40" i="4"/>
  <c r="U9" i="6" s="1"/>
  <c r="S230" i="1"/>
  <c r="AJ7" i="4"/>
  <c r="R236" i="1"/>
  <c r="AI13" i="4"/>
  <c r="R232" i="1"/>
  <c r="AI9" i="4"/>
  <c r="S244" i="1"/>
  <c r="AJ21" i="4"/>
  <c r="T243" i="1"/>
  <c r="AK20" i="4"/>
  <c r="S242" i="1"/>
  <c r="AJ19" i="4"/>
  <c r="AJ31" i="4"/>
  <c r="S255" i="1"/>
  <c r="T248" i="1"/>
  <c r="AK25" i="4"/>
  <c r="S231" i="1"/>
  <c r="AJ8" i="4"/>
  <c r="AJ30" i="4"/>
  <c r="S254" i="1"/>
  <c r="S241" i="1"/>
  <c r="AJ18" i="4"/>
  <c r="S257" i="1"/>
  <c r="AJ33" i="4"/>
  <c r="S229" i="1"/>
  <c r="AJ6" i="4"/>
  <c r="S256" i="1"/>
  <c r="AJ32" i="4"/>
  <c r="S261" i="1"/>
  <c r="AJ37" i="4"/>
  <c r="AK49" i="3"/>
  <c r="AK35" i="3"/>
  <c r="AM45" i="3"/>
  <c r="AK44" i="3"/>
  <c r="AN42" i="3"/>
  <c r="BA32" i="3"/>
  <c r="BA46" i="3"/>
  <c r="BA47" i="3"/>
  <c r="BA48" i="3"/>
  <c r="AK43" i="3"/>
  <c r="AM31" i="3"/>
  <c r="AK30" i="3"/>
  <c r="BA33" i="3"/>
  <c r="AK29" i="3"/>
  <c r="AN28" i="3"/>
  <c r="BA34" i="3"/>
  <c r="BW85" i="2"/>
  <c r="BW87" i="2"/>
  <c r="BW86" i="2"/>
  <c r="BX63" i="2"/>
  <c r="BX75" i="2"/>
  <c r="BX61" i="2"/>
  <c r="BX73" i="2"/>
  <c r="BX62" i="2"/>
  <c r="BX74" i="2"/>
  <c r="BY8" i="2"/>
  <c r="BX49" i="2"/>
  <c r="BY9" i="2"/>
  <c r="BX50" i="2"/>
  <c r="BY10" i="2"/>
  <c r="BX51" i="2"/>
  <c r="BW3" i="2"/>
  <c r="BV2" i="2"/>
  <c r="BL6" i="2"/>
  <c r="BK5" i="2"/>
  <c r="BU4" i="2"/>
  <c r="BJ81" i="2"/>
  <c r="BL19" i="2"/>
  <c r="BL16" i="2"/>
  <c r="BK45" i="2"/>
  <c r="BK57" i="2"/>
  <c r="BK69" i="2"/>
  <c r="BI84" i="2"/>
  <c r="BL23" i="2"/>
  <c r="BK11" i="2"/>
  <c r="BK7" i="2"/>
  <c r="BJ72" i="2"/>
  <c r="BJ48" i="2"/>
  <c r="BJ60" i="2"/>
  <c r="BL17" i="2"/>
  <c r="BH46" i="2"/>
  <c r="BH58" i="2"/>
  <c r="BH70" i="2"/>
  <c r="BI29" i="2"/>
  <c r="BG82" i="2"/>
  <c r="AJ37" i="3"/>
  <c r="AJ51" i="3"/>
  <c r="Z10" i="6" s="1"/>
  <c r="BG83" i="2"/>
  <c r="BI35" i="2"/>
  <c r="BH52" i="2"/>
  <c r="BH64" i="2"/>
  <c r="BH76" i="2"/>
  <c r="BG88" i="2"/>
  <c r="BH59" i="2"/>
  <c r="BH47" i="2"/>
  <c r="BI30" i="2"/>
  <c r="BH71" i="2"/>
  <c r="AQ13" i="5"/>
  <c r="AP16" i="5"/>
  <c r="AT7" i="6" s="1"/>
  <c r="AS10" i="5"/>
  <c r="AM21" i="5"/>
  <c r="AL24" i="5"/>
  <c r="BX28" i="2"/>
  <c r="BW18" i="2"/>
  <c r="BX31" i="2"/>
  <c r="AK3" i="6"/>
  <c r="AJ4" i="6"/>
  <c r="AM11" i="5"/>
  <c r="AL15" i="5"/>
  <c r="AP8" i="6" s="1"/>
  <c r="AU223" i="1" l="1"/>
  <c r="AT266" i="1"/>
  <c r="AT271" i="1" s="1"/>
  <c r="AT240" i="1"/>
  <c r="AT253" i="1"/>
  <c r="AT228" i="1"/>
  <c r="AA259" i="1"/>
  <c r="AR35" i="4"/>
  <c r="BZ32" i="2"/>
  <c r="BZ34" i="2"/>
  <c r="AA258" i="1"/>
  <c r="AR34" i="4"/>
  <c r="AA260" i="1"/>
  <c r="AR36" i="4"/>
  <c r="BZ33" i="2"/>
  <c r="AL247" i="1"/>
  <c r="BC24" i="4"/>
  <c r="AL245" i="1"/>
  <c r="BC22" i="4"/>
  <c r="BZ20" i="2"/>
  <c r="BZ21" i="2"/>
  <c r="AL246" i="1"/>
  <c r="BC23" i="4"/>
  <c r="BZ22" i="2"/>
  <c r="AL233" i="1"/>
  <c r="BC10" i="4"/>
  <c r="AL235" i="1"/>
  <c r="BC12" i="4"/>
  <c r="AL234" i="1"/>
  <c r="BC11" i="4"/>
  <c r="AI40" i="4"/>
  <c r="V9" i="6" s="1"/>
  <c r="U248" i="1"/>
  <c r="AL25" i="4"/>
  <c r="T255" i="1"/>
  <c r="AK31" i="4"/>
  <c r="S232" i="1"/>
  <c r="AJ9" i="4"/>
  <c r="T256" i="1"/>
  <c r="AK32" i="4"/>
  <c r="T242" i="1"/>
  <c r="AK19" i="4"/>
  <c r="S236" i="1"/>
  <c r="AJ13" i="4"/>
  <c r="T257" i="1"/>
  <c r="AK33" i="4"/>
  <c r="T244" i="1"/>
  <c r="AK21" i="4"/>
  <c r="T241" i="1"/>
  <c r="AK18" i="4"/>
  <c r="AK30" i="4"/>
  <c r="T254" i="1"/>
  <c r="T229" i="1"/>
  <c r="AK6" i="4"/>
  <c r="T231" i="1"/>
  <c r="AK8" i="4"/>
  <c r="AL20" i="4"/>
  <c r="U243" i="1"/>
  <c r="T261" i="1"/>
  <c r="AK37" i="4"/>
  <c r="T230" i="1"/>
  <c r="AK7" i="4"/>
  <c r="AL49" i="3"/>
  <c r="AL35" i="3"/>
  <c r="BB48" i="3"/>
  <c r="AN45" i="3"/>
  <c r="BB47" i="3"/>
  <c r="AL43" i="3"/>
  <c r="AL44" i="3"/>
  <c r="AO42" i="3"/>
  <c r="BB46" i="3"/>
  <c r="BB34" i="3"/>
  <c r="AL30" i="3"/>
  <c r="BB32" i="3"/>
  <c r="AL29" i="3"/>
  <c r="BB33" i="3"/>
  <c r="AN31" i="3"/>
  <c r="AO28" i="3"/>
  <c r="BX87" i="2"/>
  <c r="BX86" i="2"/>
  <c r="BX85" i="2"/>
  <c r="BY63" i="2"/>
  <c r="BY75" i="2"/>
  <c r="BY61" i="2"/>
  <c r="BY73" i="2"/>
  <c r="BY62" i="2"/>
  <c r="BY74" i="2"/>
  <c r="BZ9" i="2"/>
  <c r="BY50" i="2"/>
  <c r="BZ10" i="2"/>
  <c r="BY51" i="2"/>
  <c r="BZ8" i="2"/>
  <c r="BY49" i="2"/>
  <c r="BX3" i="2"/>
  <c r="BW2" i="2"/>
  <c r="BV4" i="2"/>
  <c r="BM19" i="2"/>
  <c r="BM16" i="2"/>
  <c r="BL57" i="2"/>
  <c r="BL69" i="2"/>
  <c r="BL45" i="2"/>
  <c r="BK81" i="2"/>
  <c r="BL5" i="2"/>
  <c r="BM6" i="2"/>
  <c r="BL7" i="2"/>
  <c r="BK48" i="2"/>
  <c r="BK72" i="2"/>
  <c r="BK60" i="2"/>
  <c r="BL11" i="2"/>
  <c r="BM17" i="2"/>
  <c r="BJ84" i="2"/>
  <c r="BM23" i="2"/>
  <c r="AK51" i="3"/>
  <c r="AA10" i="6" s="1"/>
  <c r="AK37" i="3"/>
  <c r="BI71" i="2"/>
  <c r="BI47" i="2"/>
  <c r="BI59" i="2"/>
  <c r="BJ30" i="2"/>
  <c r="BH83" i="2"/>
  <c r="BH88" i="2"/>
  <c r="BJ35" i="2"/>
  <c r="BI52" i="2"/>
  <c r="BI64" i="2"/>
  <c r="BI76" i="2"/>
  <c r="BJ29" i="2"/>
  <c r="BI58" i="2"/>
  <c r="BI46" i="2"/>
  <c r="BI70" i="2"/>
  <c r="BH82" i="2"/>
  <c r="AT10" i="5"/>
  <c r="AR13" i="5"/>
  <c r="AQ16" i="5"/>
  <c r="AU7" i="6" s="1"/>
  <c r="AN21" i="5"/>
  <c r="AM24" i="5"/>
  <c r="BY31" i="2"/>
  <c r="BX18" i="2"/>
  <c r="BY28" i="2"/>
  <c r="AL3" i="6"/>
  <c r="AK4" i="6"/>
  <c r="AN11" i="5"/>
  <c r="AM15" i="5"/>
  <c r="AQ8" i="6" s="1"/>
  <c r="AV223" i="1" l="1"/>
  <c r="AU266" i="1"/>
  <c r="AU271" i="1" s="1"/>
  <c r="AU240" i="1"/>
  <c r="AU228" i="1"/>
  <c r="AU253" i="1"/>
  <c r="CA34" i="2"/>
  <c r="CA33" i="2"/>
  <c r="AB258" i="1"/>
  <c r="AS34" i="4"/>
  <c r="CA32" i="2"/>
  <c r="AB260" i="1"/>
  <c r="AS36" i="4"/>
  <c r="AB259" i="1"/>
  <c r="AS35" i="4"/>
  <c r="AM246" i="1"/>
  <c r="BD23" i="4"/>
  <c r="CA21" i="2"/>
  <c r="CA22" i="2"/>
  <c r="AM245" i="1"/>
  <c r="BD22" i="4"/>
  <c r="AM247" i="1"/>
  <c r="BD24" i="4"/>
  <c r="CA20" i="2"/>
  <c r="AM234" i="1"/>
  <c r="BD11" i="4"/>
  <c r="AM235" i="1"/>
  <c r="BD12" i="4"/>
  <c r="AM233" i="1"/>
  <c r="BD10" i="4"/>
  <c r="AJ40" i="4"/>
  <c r="W9" i="6" s="1"/>
  <c r="U244" i="1"/>
  <c r="AL21" i="4"/>
  <c r="U257" i="1"/>
  <c r="AL33" i="4"/>
  <c r="U261" i="1"/>
  <c r="AL37" i="4"/>
  <c r="U256" i="1"/>
  <c r="AL32" i="4"/>
  <c r="U230" i="1"/>
  <c r="AL7" i="4"/>
  <c r="T232" i="1"/>
  <c r="AK9" i="4"/>
  <c r="V243" i="1"/>
  <c r="AM20" i="4"/>
  <c r="T236" i="1"/>
  <c r="AK13" i="4"/>
  <c r="AL31" i="4"/>
  <c r="U255" i="1"/>
  <c r="U241" i="1"/>
  <c r="AL18" i="4"/>
  <c r="U231" i="1"/>
  <c r="AL8" i="4"/>
  <c r="U229" i="1"/>
  <c r="AL6" i="4"/>
  <c r="AL30" i="4"/>
  <c r="U254" i="1"/>
  <c r="U242" i="1"/>
  <c r="AL19" i="4"/>
  <c r="V248" i="1"/>
  <c r="AM25" i="4"/>
  <c r="AM49" i="3"/>
  <c r="AM35" i="3"/>
  <c r="AP42" i="3"/>
  <c r="BC34" i="3"/>
  <c r="BC48" i="3"/>
  <c r="AM43" i="3"/>
  <c r="AM44" i="3"/>
  <c r="BC32" i="3"/>
  <c r="BC46" i="3"/>
  <c r="BC47" i="3"/>
  <c r="AO45" i="3"/>
  <c r="AM29" i="3"/>
  <c r="AP28" i="3"/>
  <c r="AM30" i="3"/>
  <c r="AO31" i="3"/>
  <c r="BC33" i="3"/>
  <c r="BY87" i="2"/>
  <c r="BY85" i="2"/>
  <c r="BY86" i="2"/>
  <c r="BZ62" i="2"/>
  <c r="BZ74" i="2"/>
  <c r="BZ61" i="2"/>
  <c r="BZ73" i="2"/>
  <c r="BZ63" i="2"/>
  <c r="BZ75" i="2"/>
  <c r="CA10" i="2"/>
  <c r="BZ51" i="2"/>
  <c r="CA8" i="2"/>
  <c r="BZ49" i="2"/>
  <c r="CA9" i="2"/>
  <c r="BZ50" i="2"/>
  <c r="BY3" i="2"/>
  <c r="BX2" i="2"/>
  <c r="BM5" i="2"/>
  <c r="BN19" i="2"/>
  <c r="BL81" i="2"/>
  <c r="BN16" i="2"/>
  <c r="BM45" i="2"/>
  <c r="BM57" i="2"/>
  <c r="BM69" i="2"/>
  <c r="BN6" i="2"/>
  <c r="BW4" i="2"/>
  <c r="BN17" i="2"/>
  <c r="BM11" i="2"/>
  <c r="BN23" i="2"/>
  <c r="BK84" i="2"/>
  <c r="BL60" i="2"/>
  <c r="BM7" i="2"/>
  <c r="BL48" i="2"/>
  <c r="BL72" i="2"/>
  <c r="AL51" i="3"/>
  <c r="AB10" i="6" s="1"/>
  <c r="AL37" i="3"/>
  <c r="BI88" i="2"/>
  <c r="BI82" i="2"/>
  <c r="BK35" i="2"/>
  <c r="BJ76" i="2"/>
  <c r="BJ52" i="2"/>
  <c r="BJ64" i="2"/>
  <c r="BJ59" i="2"/>
  <c r="BJ71" i="2"/>
  <c r="BK30" i="2"/>
  <c r="BJ47" i="2"/>
  <c r="BI83" i="2"/>
  <c r="BJ70" i="2"/>
  <c r="BJ46" i="2"/>
  <c r="BK29" i="2"/>
  <c r="BJ58" i="2"/>
  <c r="AS13" i="5"/>
  <c r="AR16" i="5"/>
  <c r="AV7" i="6" s="1"/>
  <c r="AU10" i="5"/>
  <c r="AO21" i="5"/>
  <c r="AN24" i="5"/>
  <c r="BY18" i="2"/>
  <c r="BZ31" i="2"/>
  <c r="BZ28" i="2"/>
  <c r="AM3" i="6"/>
  <c r="AL4" i="6"/>
  <c r="AO11" i="5"/>
  <c r="AN15" i="5"/>
  <c r="AR8" i="6" s="1"/>
  <c r="AW223" i="1" l="1"/>
  <c r="AV266" i="1"/>
  <c r="AV271" i="1" s="1"/>
  <c r="AV253" i="1"/>
  <c r="AV228" i="1"/>
  <c r="AV240" i="1"/>
  <c r="CB32" i="2"/>
  <c r="AC258" i="1"/>
  <c r="AT34" i="4"/>
  <c r="CB33" i="2"/>
  <c r="AC259" i="1"/>
  <c r="AT35" i="4"/>
  <c r="AC260" i="1"/>
  <c r="AT36" i="4"/>
  <c r="CB34" i="2"/>
  <c r="AN246" i="1"/>
  <c r="BE23" i="4"/>
  <c r="CB22" i="2"/>
  <c r="CB20" i="2"/>
  <c r="CB21" i="2"/>
  <c r="AN247" i="1"/>
  <c r="BE24" i="4"/>
  <c r="AN245" i="1"/>
  <c r="BE22" i="4"/>
  <c r="AN235" i="1"/>
  <c r="BE12" i="4"/>
  <c r="AN233" i="1"/>
  <c r="BE10" i="4"/>
  <c r="AN234" i="1"/>
  <c r="BE11" i="4"/>
  <c r="AK40" i="4"/>
  <c r="X9" i="6" s="1"/>
  <c r="V242" i="1"/>
  <c r="AM19" i="4"/>
  <c r="V254" i="1"/>
  <c r="AM30" i="4"/>
  <c r="AM31" i="4"/>
  <c r="V255" i="1"/>
  <c r="AM33" i="4"/>
  <c r="V257" i="1"/>
  <c r="AN20" i="4"/>
  <c r="W243" i="1"/>
  <c r="V230" i="1"/>
  <c r="AM7" i="4"/>
  <c r="W248" i="1"/>
  <c r="AN25" i="4"/>
  <c r="V261" i="1"/>
  <c r="AM37" i="4"/>
  <c r="V241" i="1"/>
  <c r="AM18" i="4"/>
  <c r="V244" i="1"/>
  <c r="AM21" i="4"/>
  <c r="V231" i="1"/>
  <c r="AM8" i="4"/>
  <c r="U232" i="1"/>
  <c r="AL9" i="4"/>
  <c r="V229" i="1"/>
  <c r="AM6" i="4"/>
  <c r="U236" i="1"/>
  <c r="AL13" i="4"/>
  <c r="V256" i="1"/>
  <c r="AM32" i="4"/>
  <c r="AN49" i="3"/>
  <c r="AN35" i="3"/>
  <c r="AN44" i="3"/>
  <c r="BD46" i="3"/>
  <c r="AQ42" i="3"/>
  <c r="BD47" i="3"/>
  <c r="AP45" i="3"/>
  <c r="AN43" i="3"/>
  <c r="BD48" i="3"/>
  <c r="AN30" i="3"/>
  <c r="BD34" i="3"/>
  <c r="BD32" i="3"/>
  <c r="AP31" i="3"/>
  <c r="AQ28" i="3"/>
  <c r="AN29" i="3"/>
  <c r="BD33" i="3"/>
  <c r="BZ86" i="2"/>
  <c r="BZ85" i="2"/>
  <c r="BZ87" i="2"/>
  <c r="CA63" i="2"/>
  <c r="CA75" i="2"/>
  <c r="CA62" i="2"/>
  <c r="CA74" i="2"/>
  <c r="CA61" i="2"/>
  <c r="CA73" i="2"/>
  <c r="CB8" i="2"/>
  <c r="CA49" i="2"/>
  <c r="CB9" i="2"/>
  <c r="CA50" i="2"/>
  <c r="CB10" i="2"/>
  <c r="CA51" i="2"/>
  <c r="BZ3" i="2"/>
  <c r="BY2" i="2"/>
  <c r="BO6" i="2"/>
  <c r="BO16" i="2"/>
  <c r="BN69" i="2"/>
  <c r="BN45" i="2"/>
  <c r="BN57" i="2"/>
  <c r="BX4" i="2"/>
  <c r="BO19" i="2"/>
  <c r="BM81" i="2"/>
  <c r="BN5" i="2"/>
  <c r="BO23" i="2"/>
  <c r="BL84" i="2"/>
  <c r="BN11" i="2"/>
  <c r="BM60" i="2"/>
  <c r="BM72" i="2"/>
  <c r="BN7" i="2"/>
  <c r="BM48" i="2"/>
  <c r="BO17" i="2"/>
  <c r="AM51" i="3"/>
  <c r="AC10" i="6" s="1"/>
  <c r="BJ83" i="2"/>
  <c r="BK71" i="2"/>
  <c r="BL30" i="2"/>
  <c r="BK47" i="2"/>
  <c r="BK59" i="2"/>
  <c r="BJ82" i="2"/>
  <c r="BK70" i="2"/>
  <c r="BK58" i="2"/>
  <c r="BK46" i="2"/>
  <c r="BL29" i="2"/>
  <c r="BL35" i="2"/>
  <c r="BK52" i="2"/>
  <c r="BK76" i="2"/>
  <c r="BK64" i="2"/>
  <c r="AM37" i="3"/>
  <c r="BJ88" i="2"/>
  <c r="AV10" i="5"/>
  <c r="AT13" i="5"/>
  <c r="AS16" i="5"/>
  <c r="AW7" i="6" s="1"/>
  <c r="AP21" i="5"/>
  <c r="AO24" i="5"/>
  <c r="CA28" i="2"/>
  <c r="CA31" i="2"/>
  <c r="BZ18" i="2"/>
  <c r="AN3" i="6"/>
  <c r="AM4" i="6"/>
  <c r="AP11" i="5"/>
  <c r="AO15" i="5"/>
  <c r="AS8" i="6" s="1"/>
  <c r="AX223" i="1" l="1"/>
  <c r="AW266" i="1"/>
  <c r="AW271" i="1" s="1"/>
  <c r="AW253" i="1"/>
  <c r="AW228" i="1"/>
  <c r="AW240" i="1"/>
  <c r="AD259" i="1"/>
  <c r="AU35" i="4"/>
  <c r="CC33" i="2"/>
  <c r="CC34" i="2"/>
  <c r="AD258" i="1"/>
  <c r="AU34" i="4"/>
  <c r="AD260" i="1"/>
  <c r="AU36" i="4"/>
  <c r="CC32" i="2"/>
  <c r="AO247" i="1"/>
  <c r="BF24" i="4"/>
  <c r="CC21" i="2"/>
  <c r="CC20" i="2"/>
  <c r="AO245" i="1"/>
  <c r="BF22" i="4"/>
  <c r="CC22" i="2"/>
  <c r="AO246" i="1"/>
  <c r="BF23" i="4"/>
  <c r="AO234" i="1"/>
  <c r="BF11" i="4"/>
  <c r="AO233" i="1"/>
  <c r="BF10" i="4"/>
  <c r="AO235" i="1"/>
  <c r="BF12" i="4"/>
  <c r="AL40" i="4"/>
  <c r="Y9" i="6" s="1"/>
  <c r="W256" i="1"/>
  <c r="AN32" i="4"/>
  <c r="X248" i="1"/>
  <c r="AO25" i="4"/>
  <c r="V236" i="1"/>
  <c r="AM13" i="4"/>
  <c r="W244" i="1"/>
  <c r="AN21" i="4"/>
  <c r="W230" i="1"/>
  <c r="AN7" i="4"/>
  <c r="W261" i="1"/>
  <c r="AN37" i="4"/>
  <c r="W255" i="1"/>
  <c r="AN31" i="4"/>
  <c r="AN30" i="4"/>
  <c r="W254" i="1"/>
  <c r="V232" i="1"/>
  <c r="AM9" i="4"/>
  <c r="W231" i="1"/>
  <c r="AN8" i="4"/>
  <c r="W229" i="1"/>
  <c r="AN6" i="4"/>
  <c r="W241" i="1"/>
  <c r="AN18" i="4"/>
  <c r="AO20" i="4"/>
  <c r="X243" i="1"/>
  <c r="AN33" i="4"/>
  <c r="W257" i="1"/>
  <c r="W242" i="1"/>
  <c r="AN19" i="4"/>
  <c r="AO35" i="3"/>
  <c r="AO49" i="3"/>
  <c r="AQ45" i="3"/>
  <c r="BE46" i="3"/>
  <c r="AR42" i="3"/>
  <c r="AO44" i="3"/>
  <c r="BE34" i="3"/>
  <c r="BE48" i="3"/>
  <c r="AO43" i="3"/>
  <c r="BE47" i="3"/>
  <c r="AO29" i="3"/>
  <c r="AQ31" i="3"/>
  <c r="AO30" i="3"/>
  <c r="BE32" i="3"/>
  <c r="AR28" i="3"/>
  <c r="BE33" i="3"/>
  <c r="CA87" i="2"/>
  <c r="CA86" i="2"/>
  <c r="CA85" i="2"/>
  <c r="CB61" i="2"/>
  <c r="CB73" i="2"/>
  <c r="CB63" i="2"/>
  <c r="CB75" i="2"/>
  <c r="CB62" i="2"/>
  <c r="CB74" i="2"/>
  <c r="CC10" i="2"/>
  <c r="CB51" i="2"/>
  <c r="CC9" i="2"/>
  <c r="CB50" i="2"/>
  <c r="CC8" i="2"/>
  <c r="CB49" i="2"/>
  <c r="CA3" i="2"/>
  <c r="BZ2" i="2"/>
  <c r="BN81" i="2"/>
  <c r="BY4" i="2"/>
  <c r="BP19" i="2"/>
  <c r="BP16" i="2"/>
  <c r="BO57" i="2"/>
  <c r="BO69" i="2"/>
  <c r="BO45" i="2"/>
  <c r="BO5" i="2"/>
  <c r="BP6" i="2"/>
  <c r="BO11" i="2"/>
  <c r="BP17" i="2"/>
  <c r="BN72" i="2"/>
  <c r="BN60" i="2"/>
  <c r="BN48" i="2"/>
  <c r="BO7" i="2"/>
  <c r="BM84" i="2"/>
  <c r="BP23" i="2"/>
  <c r="AN37" i="3"/>
  <c r="BK83" i="2"/>
  <c r="BL46" i="2"/>
  <c r="BL58" i="2"/>
  <c r="BM29" i="2"/>
  <c r="BL70" i="2"/>
  <c r="BL59" i="2"/>
  <c r="BL71" i="2"/>
  <c r="BM30" i="2"/>
  <c r="BL47" i="2"/>
  <c r="BK82" i="2"/>
  <c r="BK88" i="2"/>
  <c r="BM35" i="2"/>
  <c r="BL52" i="2"/>
  <c r="BL76" i="2"/>
  <c r="BL64" i="2"/>
  <c r="AN51" i="3"/>
  <c r="AD10" i="6" s="1"/>
  <c r="AU13" i="5"/>
  <c r="AT16" i="5"/>
  <c r="AX7" i="6" s="1"/>
  <c r="AW10" i="5"/>
  <c r="AQ21" i="5"/>
  <c r="AP24" i="5"/>
  <c r="CB28" i="2"/>
  <c r="CA18" i="2"/>
  <c r="CB31" i="2"/>
  <c r="AO3" i="6"/>
  <c r="AN4" i="6"/>
  <c r="AQ11" i="5"/>
  <c r="AP15" i="5"/>
  <c r="AT8" i="6" s="1"/>
  <c r="AY223" i="1" l="1"/>
  <c r="AX266" i="1"/>
  <c r="AX271" i="1" s="1"/>
  <c r="AX228" i="1"/>
  <c r="AX253" i="1"/>
  <c r="AX240" i="1"/>
  <c r="CD34" i="2"/>
  <c r="CD33" i="2"/>
  <c r="AE258" i="1"/>
  <c r="AV34" i="4"/>
  <c r="CD32" i="2"/>
  <c r="AE260" i="1"/>
  <c r="AV36" i="4"/>
  <c r="AE259" i="1"/>
  <c r="AV35" i="4"/>
  <c r="CD22" i="2"/>
  <c r="AP247" i="1"/>
  <c r="BG24" i="4"/>
  <c r="CD20" i="2"/>
  <c r="AP246" i="1"/>
  <c r="BG23" i="4"/>
  <c r="CD21" i="2"/>
  <c r="AP245" i="1"/>
  <c r="BG22" i="4"/>
  <c r="AP235" i="1"/>
  <c r="BG12" i="4"/>
  <c r="AP233" i="1"/>
  <c r="BG10" i="4"/>
  <c r="AP234" i="1"/>
  <c r="BG11" i="4"/>
  <c r="AM40" i="4"/>
  <c r="Z9" i="6" s="1"/>
  <c r="X241" i="1"/>
  <c r="AO18" i="4"/>
  <c r="X229" i="1"/>
  <c r="AO6" i="4"/>
  <c r="X231" i="1"/>
  <c r="AO8" i="4"/>
  <c r="X261" i="1"/>
  <c r="AO37" i="4"/>
  <c r="X244" i="1"/>
  <c r="AO21" i="4"/>
  <c r="AO31" i="4"/>
  <c r="X255" i="1"/>
  <c r="AO33" i="4"/>
  <c r="X257" i="1"/>
  <c r="AP20" i="4"/>
  <c r="Y243" i="1"/>
  <c r="Y248" i="1"/>
  <c r="AP25" i="4"/>
  <c r="W232" i="1"/>
  <c r="AN9" i="4"/>
  <c r="X230" i="1"/>
  <c r="AO7" i="4"/>
  <c r="X242" i="1"/>
  <c r="AO19" i="4"/>
  <c r="W236" i="1"/>
  <c r="AN13" i="4"/>
  <c r="X254" i="1"/>
  <c r="AO30" i="4"/>
  <c r="X256" i="1"/>
  <c r="AO32" i="4"/>
  <c r="AP49" i="3"/>
  <c r="AP35" i="3"/>
  <c r="BF46" i="3"/>
  <c r="AR45" i="3"/>
  <c r="AS42" i="3"/>
  <c r="AP44" i="3"/>
  <c r="BF47" i="3"/>
  <c r="AP43" i="3"/>
  <c r="BF48" i="3"/>
  <c r="BF34" i="3"/>
  <c r="AS28" i="3"/>
  <c r="AP30" i="3"/>
  <c r="BF32" i="3"/>
  <c r="AR31" i="3"/>
  <c r="AP29" i="3"/>
  <c r="BF33" i="3"/>
  <c r="CB85" i="2"/>
  <c r="CB86" i="2"/>
  <c r="CB87" i="2"/>
  <c r="CC63" i="2"/>
  <c r="CC75" i="2"/>
  <c r="CC61" i="2"/>
  <c r="CC73" i="2"/>
  <c r="CC62" i="2"/>
  <c r="CC74" i="2"/>
  <c r="CD8" i="2"/>
  <c r="CC49" i="2"/>
  <c r="CD9" i="2"/>
  <c r="CC50" i="2"/>
  <c r="CD10" i="2"/>
  <c r="CC51" i="2"/>
  <c r="CB3" i="2"/>
  <c r="CA2" i="2"/>
  <c r="BO81" i="2"/>
  <c r="BZ4" i="2"/>
  <c r="BQ16" i="2"/>
  <c r="BP57" i="2"/>
  <c r="BP69" i="2"/>
  <c r="BP45" i="2"/>
  <c r="BQ19" i="2"/>
  <c r="BP5" i="2"/>
  <c r="BQ6" i="2"/>
  <c r="BP7" i="2"/>
  <c r="BO60" i="2"/>
  <c r="BO72" i="2"/>
  <c r="BO48" i="2"/>
  <c r="BQ23" i="2"/>
  <c r="BN84" i="2"/>
  <c r="BQ17" i="2"/>
  <c r="BP11" i="2"/>
  <c r="AO51" i="3"/>
  <c r="AE10" i="6" s="1"/>
  <c r="BN29" i="2"/>
  <c r="BM70" i="2"/>
  <c r="BM46" i="2"/>
  <c r="BM58" i="2"/>
  <c r="BL82" i="2"/>
  <c r="BL88" i="2"/>
  <c r="BL83" i="2"/>
  <c r="AO37" i="3"/>
  <c r="BN35" i="2"/>
  <c r="BM64" i="2"/>
  <c r="BM52" i="2"/>
  <c r="BM76" i="2"/>
  <c r="BN30" i="2"/>
  <c r="BM59" i="2"/>
  <c r="BM71" i="2"/>
  <c r="BM47" i="2"/>
  <c r="AX10" i="5"/>
  <c r="AV13" i="5"/>
  <c r="AU16" i="5"/>
  <c r="AY7" i="6" s="1"/>
  <c r="AR21" i="5"/>
  <c r="AQ24" i="5"/>
  <c r="CC28" i="2"/>
  <c r="CC31" i="2"/>
  <c r="CB18" i="2"/>
  <c r="AP3" i="6"/>
  <c r="AO4" i="6"/>
  <c r="AR11" i="5"/>
  <c r="AQ15" i="5"/>
  <c r="AU8" i="6" s="1"/>
  <c r="AZ223" i="1" l="1"/>
  <c r="AY266" i="1"/>
  <c r="AY271" i="1" s="1"/>
  <c r="AY228" i="1"/>
  <c r="AY253" i="1"/>
  <c r="AY240" i="1"/>
  <c r="AF258" i="1"/>
  <c r="AW34" i="4"/>
  <c r="CE32" i="2"/>
  <c r="CE33" i="2"/>
  <c r="AF259" i="1"/>
  <c r="AW35" i="4"/>
  <c r="AF260" i="1"/>
  <c r="AW36" i="4"/>
  <c r="CE34" i="2"/>
  <c r="CE22" i="2"/>
  <c r="CE21" i="2"/>
  <c r="CE20" i="2"/>
  <c r="AQ245" i="1"/>
  <c r="BH22" i="4"/>
  <c r="AQ247" i="1"/>
  <c r="BH24" i="4"/>
  <c r="AQ246" i="1"/>
  <c r="BH23" i="4"/>
  <c r="AQ233" i="1"/>
  <c r="BH10" i="4"/>
  <c r="AQ235" i="1"/>
  <c r="BH12" i="4"/>
  <c r="AQ234" i="1"/>
  <c r="BH11" i="4"/>
  <c r="AN40" i="4"/>
  <c r="AA9" i="6" s="1"/>
  <c r="Y230" i="1"/>
  <c r="AP7" i="4"/>
  <c r="Y255" i="1"/>
  <c r="AP31" i="4"/>
  <c r="X236" i="1"/>
  <c r="AO13" i="4"/>
  <c r="Z248" i="1"/>
  <c r="AQ25" i="4"/>
  <c r="AP6" i="4"/>
  <c r="Y229" i="1"/>
  <c r="Y261" i="1"/>
  <c r="AP37" i="4"/>
  <c r="Y256" i="1"/>
  <c r="AP32" i="4"/>
  <c r="AP30" i="4"/>
  <c r="Y254" i="1"/>
  <c r="Z243" i="1"/>
  <c r="AQ20" i="4"/>
  <c r="Y244" i="1"/>
  <c r="AP21" i="4"/>
  <c r="Y257" i="1"/>
  <c r="AP33" i="4"/>
  <c r="Y231" i="1"/>
  <c r="AP8" i="4"/>
  <c r="X232" i="1"/>
  <c r="AO9" i="4"/>
  <c r="Y242" i="1"/>
  <c r="AP19" i="4"/>
  <c r="Y241" i="1"/>
  <c r="AP18" i="4"/>
  <c r="AQ49" i="3"/>
  <c r="AQ35" i="3"/>
  <c r="AT42" i="3"/>
  <c r="BG48" i="3"/>
  <c r="AQ43" i="3"/>
  <c r="AS45" i="3"/>
  <c r="BG46" i="3"/>
  <c r="AQ44" i="3"/>
  <c r="BG47" i="3"/>
  <c r="AQ30" i="3"/>
  <c r="AS31" i="3"/>
  <c r="BG32" i="3"/>
  <c r="AQ29" i="3"/>
  <c r="BG33" i="3"/>
  <c r="AT28" i="3"/>
  <c r="BG34" i="3"/>
  <c r="CC87" i="2"/>
  <c r="CC85" i="2"/>
  <c r="CC86" i="2"/>
  <c r="CD61" i="2"/>
  <c r="CD73" i="2"/>
  <c r="CD63" i="2"/>
  <c r="CD75" i="2"/>
  <c r="CD62" i="2"/>
  <c r="CD74" i="2"/>
  <c r="CE9" i="2"/>
  <c r="CD50" i="2"/>
  <c r="CE10" i="2"/>
  <c r="CD51" i="2"/>
  <c r="CE8" i="2"/>
  <c r="CD49" i="2"/>
  <c r="CC3" i="2"/>
  <c r="CB2" i="2"/>
  <c r="BR19" i="2"/>
  <c r="BQ5" i="2"/>
  <c r="BP81" i="2"/>
  <c r="BR16" i="2"/>
  <c r="BQ69" i="2"/>
  <c r="BQ57" i="2"/>
  <c r="BQ45" i="2"/>
  <c r="CA4" i="2"/>
  <c r="BR6" i="2"/>
  <c r="AP51" i="3"/>
  <c r="AF10" i="6" s="1"/>
  <c r="BR23" i="2"/>
  <c r="BQ11" i="2"/>
  <c r="BR17" i="2"/>
  <c r="BO84" i="2"/>
  <c r="BP60" i="2"/>
  <c r="BP72" i="2"/>
  <c r="BQ7" i="2"/>
  <c r="BP48" i="2"/>
  <c r="AP37" i="3"/>
  <c r="BO35" i="2"/>
  <c r="BN64" i="2"/>
  <c r="BN52" i="2"/>
  <c r="BN76" i="2"/>
  <c r="BN47" i="2"/>
  <c r="BN71" i="2"/>
  <c r="BN59" i="2"/>
  <c r="BO30" i="2"/>
  <c r="BM83" i="2"/>
  <c r="BM82" i="2"/>
  <c r="BM88" i="2"/>
  <c r="BO29" i="2"/>
  <c r="BN58" i="2"/>
  <c r="BN70" i="2"/>
  <c r="BN46" i="2"/>
  <c r="AW13" i="5"/>
  <c r="AV16" i="5"/>
  <c r="AZ7" i="6" s="1"/>
  <c r="AY10" i="5"/>
  <c r="AS21" i="5"/>
  <c r="AR24" i="5"/>
  <c r="CD28" i="2"/>
  <c r="CC18" i="2"/>
  <c r="CD31" i="2"/>
  <c r="AQ3" i="6"/>
  <c r="AP4" i="6"/>
  <c r="AS11" i="5"/>
  <c r="AR15" i="5"/>
  <c r="AV8" i="6" s="1"/>
  <c r="BA223" i="1" l="1"/>
  <c r="AZ266" i="1"/>
  <c r="AZ271" i="1" s="1"/>
  <c r="AZ240" i="1"/>
  <c r="AZ253" i="1"/>
  <c r="AZ228" i="1"/>
  <c r="CF33" i="2"/>
  <c r="CF32" i="2"/>
  <c r="AG259" i="1"/>
  <c r="AX35" i="4"/>
  <c r="CF34" i="2"/>
  <c r="AG260" i="1"/>
  <c r="AX36" i="4"/>
  <c r="AG258" i="1"/>
  <c r="AX34" i="4"/>
  <c r="CF22" i="2"/>
  <c r="AR247" i="1"/>
  <c r="BI24" i="4"/>
  <c r="CF20" i="2"/>
  <c r="AR246" i="1"/>
  <c r="BI23" i="4"/>
  <c r="CF21" i="2"/>
  <c r="AR245" i="1"/>
  <c r="BI22" i="4"/>
  <c r="AR235" i="1"/>
  <c r="BI12" i="4"/>
  <c r="AR234" i="1"/>
  <c r="BI11" i="4"/>
  <c r="AR233" i="1"/>
  <c r="BI10" i="4"/>
  <c r="AO40" i="4"/>
  <c r="AB9" i="6" s="1"/>
  <c r="Z241" i="1"/>
  <c r="AQ18" i="4"/>
  <c r="Z244" i="1"/>
  <c r="AQ21" i="4"/>
  <c r="Z261" i="1"/>
  <c r="AQ37" i="4"/>
  <c r="AA248" i="1"/>
  <c r="AR25" i="4"/>
  <c r="AQ33" i="4"/>
  <c r="Z257" i="1"/>
  <c r="Y232" i="1"/>
  <c r="AP9" i="4"/>
  <c r="AR20" i="4"/>
  <c r="AA243" i="1"/>
  <c r="AQ6" i="4"/>
  <c r="Z229" i="1"/>
  <c r="AQ31" i="4"/>
  <c r="Z255" i="1"/>
  <c r="Z256" i="1"/>
  <c r="AQ32" i="4"/>
  <c r="Y236" i="1"/>
  <c r="AP13" i="4"/>
  <c r="Z242" i="1"/>
  <c r="AQ19" i="4"/>
  <c r="Z231" i="1"/>
  <c r="AQ8" i="4"/>
  <c r="AQ30" i="4"/>
  <c r="Z254" i="1"/>
  <c r="Z230" i="1"/>
  <c r="AQ7" i="4"/>
  <c r="AR35" i="3"/>
  <c r="AR49" i="3"/>
  <c r="AT45" i="3"/>
  <c r="AU42" i="3"/>
  <c r="AR43" i="3"/>
  <c r="BH47" i="3"/>
  <c r="BH48" i="3"/>
  <c r="AR44" i="3"/>
  <c r="BH32" i="3"/>
  <c r="BH46" i="3"/>
  <c r="AR29" i="3"/>
  <c r="BH34" i="3"/>
  <c r="AU28" i="3"/>
  <c r="BH33" i="3"/>
  <c r="AT31" i="3"/>
  <c r="AR30" i="3"/>
  <c r="CD85" i="2"/>
  <c r="CD87" i="2"/>
  <c r="CD86" i="2"/>
  <c r="CE61" i="2"/>
  <c r="CE73" i="2"/>
  <c r="CE62" i="2"/>
  <c r="CE74" i="2"/>
  <c r="CE63" i="2"/>
  <c r="CE75" i="2"/>
  <c r="CF8" i="2"/>
  <c r="CE49" i="2"/>
  <c r="CF10" i="2"/>
  <c r="CE51" i="2"/>
  <c r="CF9" i="2"/>
  <c r="CE50" i="2"/>
  <c r="CD3" i="2"/>
  <c r="CC2" i="2"/>
  <c r="CB4" i="2"/>
  <c r="BQ81" i="2"/>
  <c r="BS16" i="2"/>
  <c r="BR69" i="2"/>
  <c r="BR45" i="2"/>
  <c r="BR57" i="2"/>
  <c r="BR5" i="2"/>
  <c r="BS6" i="2"/>
  <c r="BS19" i="2"/>
  <c r="AQ51" i="3"/>
  <c r="AG10" i="6" s="1"/>
  <c r="BP84" i="2"/>
  <c r="BS17" i="2"/>
  <c r="BQ48" i="2"/>
  <c r="BQ60" i="2"/>
  <c r="BQ72" i="2"/>
  <c r="BR7" i="2"/>
  <c r="BR11" i="2"/>
  <c r="BS23" i="2"/>
  <c r="AQ37" i="3"/>
  <c r="BN82" i="2"/>
  <c r="BN83" i="2"/>
  <c r="BO46" i="2"/>
  <c r="BO70" i="2"/>
  <c r="BO58" i="2"/>
  <c r="BP29" i="2"/>
  <c r="BN88" i="2"/>
  <c r="BO47" i="2"/>
  <c r="BO71" i="2"/>
  <c r="BO59" i="2"/>
  <c r="BP30" i="2"/>
  <c r="BP35" i="2"/>
  <c r="BO64" i="2"/>
  <c r="BO76" i="2"/>
  <c r="BO52" i="2"/>
  <c r="AZ10" i="5"/>
  <c r="AX13" i="5"/>
  <c r="AW16" i="5"/>
  <c r="BA7" i="6" s="1"/>
  <c r="AT21" i="5"/>
  <c r="AS24" i="5"/>
  <c r="CE31" i="2"/>
  <c r="CD18" i="2"/>
  <c r="CE28" i="2"/>
  <c r="AR3" i="6"/>
  <c r="AQ4" i="6"/>
  <c r="AT11" i="5"/>
  <c r="AS15" i="5"/>
  <c r="AW8" i="6" s="1"/>
  <c r="BB223" i="1" l="1"/>
  <c r="BA266" i="1"/>
  <c r="BA271" i="1" s="1"/>
  <c r="BA240" i="1"/>
  <c r="BA253" i="1"/>
  <c r="BA228" i="1"/>
  <c r="AH259" i="1"/>
  <c r="AY35" i="4"/>
  <c r="CG34" i="2"/>
  <c r="CG32" i="2"/>
  <c r="AH258" i="1"/>
  <c r="AY34" i="4"/>
  <c r="AH260" i="1"/>
  <c r="AY36" i="4"/>
  <c r="CG33" i="2"/>
  <c r="CG21" i="2"/>
  <c r="AS246" i="1"/>
  <c r="BJ23" i="4"/>
  <c r="CG22" i="2"/>
  <c r="AS245" i="1"/>
  <c r="BJ22" i="4"/>
  <c r="AS247" i="1"/>
  <c r="BJ24" i="4"/>
  <c r="CG20" i="2"/>
  <c r="AS233" i="1"/>
  <c r="BJ10" i="4"/>
  <c r="AS234" i="1"/>
  <c r="BJ11" i="4"/>
  <c r="AS235" i="1"/>
  <c r="BJ12" i="4"/>
  <c r="AP40" i="4"/>
  <c r="AC9" i="6" s="1"/>
  <c r="AB243" i="1"/>
  <c r="AS20" i="4"/>
  <c r="AA256" i="1"/>
  <c r="AR32" i="4"/>
  <c r="Z232" i="1"/>
  <c r="AQ9" i="4"/>
  <c r="Z236" i="1"/>
  <c r="AQ13" i="4"/>
  <c r="AA231" i="1"/>
  <c r="AR8" i="4"/>
  <c r="AA255" i="1"/>
  <c r="AR31" i="4"/>
  <c r="AA257" i="1"/>
  <c r="AR33" i="4"/>
  <c r="AA244" i="1"/>
  <c r="AR21" i="4"/>
  <c r="AA230" i="1"/>
  <c r="AR7" i="4"/>
  <c r="AB248" i="1"/>
  <c r="AS25" i="4"/>
  <c r="AA254" i="1"/>
  <c r="AR30" i="4"/>
  <c r="AA261" i="1"/>
  <c r="AR37" i="4"/>
  <c r="AA242" i="1"/>
  <c r="AR19" i="4"/>
  <c r="AR6" i="4"/>
  <c r="AA229" i="1"/>
  <c r="AA241" i="1"/>
  <c r="AR18" i="4"/>
  <c r="AS49" i="3"/>
  <c r="AS35" i="3"/>
  <c r="BI47" i="3"/>
  <c r="AS44" i="3"/>
  <c r="BI48" i="3"/>
  <c r="AS43" i="3"/>
  <c r="AU45" i="3"/>
  <c r="BI46" i="3"/>
  <c r="AV42" i="3"/>
  <c r="AS29" i="3"/>
  <c r="AV28" i="3"/>
  <c r="AU31" i="3"/>
  <c r="BI34" i="3"/>
  <c r="CE86" i="2"/>
  <c r="BI33" i="3"/>
  <c r="BI32" i="3"/>
  <c r="AS30" i="3"/>
  <c r="CE85" i="2"/>
  <c r="CE87" i="2"/>
  <c r="CF61" i="2"/>
  <c r="CF73" i="2"/>
  <c r="CF62" i="2"/>
  <c r="CF74" i="2"/>
  <c r="CF63" i="2"/>
  <c r="CF75" i="2"/>
  <c r="CG9" i="2"/>
  <c r="CF50" i="2"/>
  <c r="CG10" i="2"/>
  <c r="CF51" i="2"/>
  <c r="CG8" i="2"/>
  <c r="CF49" i="2"/>
  <c r="CE3" i="2"/>
  <c r="CD2" i="2"/>
  <c r="BT6" i="2"/>
  <c r="BS5" i="2"/>
  <c r="BR81" i="2"/>
  <c r="BT16" i="2"/>
  <c r="BS45" i="2"/>
  <c r="BS57" i="2"/>
  <c r="BS69" i="2"/>
  <c r="BT19" i="2"/>
  <c r="CC4" i="2"/>
  <c r="BQ84" i="2"/>
  <c r="BT23" i="2"/>
  <c r="BT17" i="2"/>
  <c r="BS11" i="2"/>
  <c r="BS7" i="2"/>
  <c r="BR72" i="2"/>
  <c r="BR48" i="2"/>
  <c r="BR60" i="2"/>
  <c r="AR51" i="3"/>
  <c r="AH10" i="6" s="1"/>
  <c r="BO83" i="2"/>
  <c r="BO88" i="2"/>
  <c r="BO82" i="2"/>
  <c r="BQ35" i="2"/>
  <c r="BP52" i="2"/>
  <c r="BP64" i="2"/>
  <c r="BP76" i="2"/>
  <c r="BP46" i="2"/>
  <c r="BP70" i="2"/>
  <c r="BQ29" i="2"/>
  <c r="BP58" i="2"/>
  <c r="AR37" i="3"/>
  <c r="BP47" i="2"/>
  <c r="BQ30" i="2"/>
  <c r="BP59" i="2"/>
  <c r="BP71" i="2"/>
  <c r="AY13" i="5"/>
  <c r="AX16" i="5"/>
  <c r="BB7" i="6" s="1"/>
  <c r="BA10" i="5"/>
  <c r="AU21" i="5"/>
  <c r="AT24" i="5"/>
  <c r="CF28" i="2"/>
  <c r="CF31" i="2"/>
  <c r="CE18" i="2"/>
  <c r="AS3" i="6"/>
  <c r="AR4" i="6"/>
  <c r="AU11" i="5"/>
  <c r="AT15" i="5"/>
  <c r="AX8" i="6" s="1"/>
  <c r="BC223" i="1" l="1"/>
  <c r="BB266" i="1"/>
  <c r="BB271" i="1" s="1"/>
  <c r="BB240" i="1"/>
  <c r="BB253" i="1"/>
  <c r="BB228" i="1"/>
  <c r="AI258" i="1"/>
  <c r="AZ34" i="4"/>
  <c r="CH32" i="2"/>
  <c r="CH34" i="2"/>
  <c r="CH33" i="2"/>
  <c r="AI260" i="1"/>
  <c r="AZ36" i="4"/>
  <c r="AI259" i="1"/>
  <c r="AZ35" i="4"/>
  <c r="AT247" i="1"/>
  <c r="BK24" i="4"/>
  <c r="CH21" i="2"/>
  <c r="CH22" i="2"/>
  <c r="CH20" i="2"/>
  <c r="AT246" i="1"/>
  <c r="BK23" i="4"/>
  <c r="AT245" i="1"/>
  <c r="BK22" i="4"/>
  <c r="AT235" i="1"/>
  <c r="BK12" i="4"/>
  <c r="AT234" i="1"/>
  <c r="BK11" i="4"/>
  <c r="AT233" i="1"/>
  <c r="BK10" i="4"/>
  <c r="AQ40" i="4"/>
  <c r="AD9" i="6" s="1"/>
  <c r="AB241" i="1"/>
  <c r="AS18" i="4"/>
  <c r="AB257" i="1"/>
  <c r="AS33" i="4"/>
  <c r="AC248" i="1"/>
  <c r="AT25" i="4"/>
  <c r="AB255" i="1"/>
  <c r="AS31" i="4"/>
  <c r="AB256" i="1"/>
  <c r="AS32" i="4"/>
  <c r="AB242" i="1"/>
  <c r="AS19" i="4"/>
  <c r="AB244" i="1"/>
  <c r="AS21" i="4"/>
  <c r="AS30" i="4"/>
  <c r="AB254" i="1"/>
  <c r="AB230" i="1"/>
  <c r="AS7" i="4"/>
  <c r="AB231" i="1"/>
  <c r="AS8" i="4"/>
  <c r="AC243" i="1"/>
  <c r="AT20" i="4"/>
  <c r="AA236" i="1"/>
  <c r="AR13" i="4"/>
  <c r="AB229" i="1"/>
  <c r="AS6" i="4"/>
  <c r="AA232" i="1"/>
  <c r="AR9" i="4"/>
  <c r="AB261" i="1"/>
  <c r="AS37" i="4"/>
  <c r="AT49" i="3"/>
  <c r="AT35" i="3"/>
  <c r="BJ46" i="3"/>
  <c r="AT44" i="3"/>
  <c r="BJ47" i="3"/>
  <c r="AV45" i="3"/>
  <c r="AT43" i="3"/>
  <c r="BJ48" i="3"/>
  <c r="AW42" i="3"/>
  <c r="BJ32" i="3"/>
  <c r="BJ33" i="3"/>
  <c r="AT29" i="3"/>
  <c r="AT30" i="3"/>
  <c r="AV31" i="3"/>
  <c r="AW28" i="3"/>
  <c r="BJ34" i="3"/>
  <c r="CF85" i="2"/>
  <c r="CF87" i="2"/>
  <c r="CF86" i="2"/>
  <c r="CG62" i="2"/>
  <c r="CG74" i="2"/>
  <c r="CG61" i="2"/>
  <c r="CG73" i="2"/>
  <c r="CG63" i="2"/>
  <c r="CG75" i="2"/>
  <c r="CH10" i="2"/>
  <c r="CG51" i="2"/>
  <c r="CH8" i="2"/>
  <c r="CG49" i="2"/>
  <c r="CH9" i="2"/>
  <c r="CG50" i="2"/>
  <c r="CF3" i="2"/>
  <c r="CE2" i="2"/>
  <c r="BU19" i="2"/>
  <c r="BU16" i="2"/>
  <c r="BT57" i="2"/>
  <c r="BT69" i="2"/>
  <c r="BT45" i="2"/>
  <c r="CD4" i="2"/>
  <c r="BT5" i="2"/>
  <c r="BS81" i="2"/>
  <c r="BU6" i="2"/>
  <c r="BT11" i="2"/>
  <c r="BU17" i="2"/>
  <c r="BU23" i="2"/>
  <c r="BS60" i="2"/>
  <c r="BS72" i="2"/>
  <c r="BT7" i="2"/>
  <c r="BS48" i="2"/>
  <c r="BR84" i="2"/>
  <c r="AS37" i="3"/>
  <c r="AS51" i="3"/>
  <c r="AI10" i="6" s="1"/>
  <c r="BP82" i="2"/>
  <c r="BQ71" i="2"/>
  <c r="BQ47" i="2"/>
  <c r="BR30" i="2"/>
  <c r="BQ59" i="2"/>
  <c r="BP88" i="2"/>
  <c r="BP83" i="2"/>
  <c r="BR35" i="2"/>
  <c r="BQ52" i="2"/>
  <c r="BQ64" i="2"/>
  <c r="BQ76" i="2"/>
  <c r="BQ70" i="2"/>
  <c r="BQ58" i="2"/>
  <c r="BQ46" i="2"/>
  <c r="BR29" i="2"/>
  <c r="BB10" i="5"/>
  <c r="AZ13" i="5"/>
  <c r="AY16" i="5"/>
  <c r="BC7" i="6" s="1"/>
  <c r="AV21" i="5"/>
  <c r="AV24" i="5" s="1"/>
  <c r="AU24" i="5"/>
  <c r="CG28" i="2"/>
  <c r="CF18" i="2"/>
  <c r="CG31" i="2"/>
  <c r="AT3" i="6"/>
  <c r="AS4" i="6"/>
  <c r="AV11" i="5"/>
  <c r="AU15" i="5"/>
  <c r="AY8" i="6" s="1"/>
  <c r="BD223" i="1" l="1"/>
  <c r="BC266" i="1"/>
  <c r="BC271" i="1" s="1"/>
  <c r="BC240" i="1"/>
  <c r="BC228" i="1"/>
  <c r="BC253" i="1"/>
  <c r="CI34" i="2"/>
  <c r="CI33" i="2"/>
  <c r="AJ259" i="1"/>
  <c r="BA35" i="4"/>
  <c r="CI32" i="2"/>
  <c r="AJ260" i="1"/>
  <c r="BA36" i="4"/>
  <c r="AJ258" i="1"/>
  <c r="BA34" i="4"/>
  <c r="AU246" i="1"/>
  <c r="BL23" i="4"/>
  <c r="AU245" i="1"/>
  <c r="BL22" i="4"/>
  <c r="CI21" i="2"/>
  <c r="AU247" i="1"/>
  <c r="BL24" i="4"/>
  <c r="CI20" i="2"/>
  <c r="CI22" i="2"/>
  <c r="AU235" i="1"/>
  <c r="BL12" i="4"/>
  <c r="AU233" i="1"/>
  <c r="BL10" i="4"/>
  <c r="AU234" i="1"/>
  <c r="BL11" i="4"/>
  <c r="AR40" i="4"/>
  <c r="AE9" i="6" s="1"/>
  <c r="AB236" i="1"/>
  <c r="AS13" i="4"/>
  <c r="AT31" i="4"/>
  <c r="AC255" i="1"/>
  <c r="AC244" i="1"/>
  <c r="AT21" i="4"/>
  <c r="AD248" i="1"/>
  <c r="AU25" i="4"/>
  <c r="AB232" i="1"/>
  <c r="AS9" i="4"/>
  <c r="AC231" i="1"/>
  <c r="AT8" i="4"/>
  <c r="AC242" i="1"/>
  <c r="AT19" i="4"/>
  <c r="AC257" i="1"/>
  <c r="AT33" i="4"/>
  <c r="AC261" i="1"/>
  <c r="AT37" i="4"/>
  <c r="AD243" i="1"/>
  <c r="AU20" i="4"/>
  <c r="AC229" i="1"/>
  <c r="AT6" i="4"/>
  <c r="AC230" i="1"/>
  <c r="AT7" i="4"/>
  <c r="AC254" i="1"/>
  <c r="AT30" i="4"/>
  <c r="AC256" i="1"/>
  <c r="AT32" i="4"/>
  <c r="AC241" i="1"/>
  <c r="AT18" i="4"/>
  <c r="AU49" i="3"/>
  <c r="AU35" i="3"/>
  <c r="AU44" i="3"/>
  <c r="BK48" i="3"/>
  <c r="AW45" i="3"/>
  <c r="AU29" i="3"/>
  <c r="AU43" i="3"/>
  <c r="AX28" i="3"/>
  <c r="AX42" i="3"/>
  <c r="BK46" i="3"/>
  <c r="BK33" i="3"/>
  <c r="BK47" i="3"/>
  <c r="AW31" i="3"/>
  <c r="AU30" i="3"/>
  <c r="BK32" i="3"/>
  <c r="BK34" i="3"/>
  <c r="CG85" i="2"/>
  <c r="CG86" i="2"/>
  <c r="CG87" i="2"/>
  <c r="CH63" i="2"/>
  <c r="CH75" i="2"/>
  <c r="CH62" i="2"/>
  <c r="CH74" i="2"/>
  <c r="CH61" i="2"/>
  <c r="CH73" i="2"/>
  <c r="CI9" i="2"/>
  <c r="CH50" i="2"/>
  <c r="CI8" i="2"/>
  <c r="CH49" i="2"/>
  <c r="CI10" i="2"/>
  <c r="CH51" i="2"/>
  <c r="CG3" i="2"/>
  <c r="CF2" i="2"/>
  <c r="BT81" i="2"/>
  <c r="CE4" i="2"/>
  <c r="BU5" i="2"/>
  <c r="BV16" i="2"/>
  <c r="BU45" i="2"/>
  <c r="BU57" i="2"/>
  <c r="BU69" i="2"/>
  <c r="BV6" i="2"/>
  <c r="BV19" i="2"/>
  <c r="BV23" i="2"/>
  <c r="BS84" i="2"/>
  <c r="BV17" i="2"/>
  <c r="BT48" i="2"/>
  <c r="BU7" i="2"/>
  <c r="BT60" i="2"/>
  <c r="BT72" i="2"/>
  <c r="BU11" i="2"/>
  <c r="BS29" i="2"/>
  <c r="BR46" i="2"/>
  <c r="BR58" i="2"/>
  <c r="BR70" i="2"/>
  <c r="BQ88" i="2"/>
  <c r="BQ82" i="2"/>
  <c r="BR71" i="2"/>
  <c r="BR47" i="2"/>
  <c r="BR59" i="2"/>
  <c r="BS30" i="2"/>
  <c r="BQ83" i="2"/>
  <c r="BS35" i="2"/>
  <c r="BR64" i="2"/>
  <c r="BR76" i="2"/>
  <c r="BR52" i="2"/>
  <c r="AT37" i="3"/>
  <c r="AT51" i="3"/>
  <c r="AJ10" i="6" s="1"/>
  <c r="BA13" i="5"/>
  <c r="AZ16" i="5"/>
  <c r="BD7" i="6" s="1"/>
  <c r="BC10" i="5"/>
  <c r="AW21" i="5"/>
  <c r="AW24" i="5" s="1"/>
  <c r="CG18" i="2"/>
  <c r="CH28" i="2"/>
  <c r="CH31" i="2"/>
  <c r="AU3" i="6"/>
  <c r="AT4" i="6"/>
  <c r="AW11" i="5"/>
  <c r="AV15" i="5"/>
  <c r="AZ8" i="6" s="1"/>
  <c r="AX21" i="5" l="1"/>
  <c r="BE223" i="1"/>
  <c r="BD266" i="1"/>
  <c r="BD271" i="1" s="1"/>
  <c r="BD253" i="1"/>
  <c r="BD228" i="1"/>
  <c r="BD240" i="1"/>
  <c r="AS40" i="4"/>
  <c r="AF9" i="6" s="1"/>
  <c r="AK259" i="1"/>
  <c r="BB35" i="4"/>
  <c r="AK258" i="1"/>
  <c r="BB34" i="4"/>
  <c r="CJ32" i="2"/>
  <c r="CJ33" i="2"/>
  <c r="AK260" i="1"/>
  <c r="BB36" i="4"/>
  <c r="CJ34" i="2"/>
  <c r="AV246" i="1"/>
  <c r="BM23" i="4"/>
  <c r="AV247" i="1"/>
  <c r="BM24" i="4"/>
  <c r="CJ21" i="2"/>
  <c r="CJ22" i="2"/>
  <c r="AV245" i="1"/>
  <c r="BM22" i="4"/>
  <c r="CJ20" i="2"/>
  <c r="AV234" i="1"/>
  <c r="BM11" i="4"/>
  <c r="AV233" i="1"/>
  <c r="BM10" i="4"/>
  <c r="AV235" i="1"/>
  <c r="BM12" i="4"/>
  <c r="AD257" i="1"/>
  <c r="AU33" i="4"/>
  <c r="AD241" i="1"/>
  <c r="AU18" i="4"/>
  <c r="AD229" i="1"/>
  <c r="AU6" i="4"/>
  <c r="AD255" i="1"/>
  <c r="AU31" i="4"/>
  <c r="AE243" i="1"/>
  <c r="AV20" i="4"/>
  <c r="AD231" i="1"/>
  <c r="AU8" i="4"/>
  <c r="AE248" i="1"/>
  <c r="AV25" i="4"/>
  <c r="AD244" i="1"/>
  <c r="AU21" i="4"/>
  <c r="AU30" i="4"/>
  <c r="AD254" i="1"/>
  <c r="AD256" i="1"/>
  <c r="AU32" i="4"/>
  <c r="AD261" i="1"/>
  <c r="AU37" i="4"/>
  <c r="AC232" i="1"/>
  <c r="AT9" i="4"/>
  <c r="AC236" i="1"/>
  <c r="AT13" i="4"/>
  <c r="AD230" i="1"/>
  <c r="AU7" i="4"/>
  <c r="AD242" i="1"/>
  <c r="AU19" i="4"/>
  <c r="AV49" i="3"/>
  <c r="AV35" i="3"/>
  <c r="BL48" i="3"/>
  <c r="AY42" i="3"/>
  <c r="AV43" i="3"/>
  <c r="BL46" i="3"/>
  <c r="AX45" i="3"/>
  <c r="AV44" i="3"/>
  <c r="BL33" i="3"/>
  <c r="BL47" i="3"/>
  <c r="AV30" i="3"/>
  <c r="BL32" i="3"/>
  <c r="AY28" i="3"/>
  <c r="AV29" i="3"/>
  <c r="BL34" i="3"/>
  <c r="AX31" i="3"/>
  <c r="CH87" i="2"/>
  <c r="CH85" i="2"/>
  <c r="CH86" i="2"/>
  <c r="CI62" i="2"/>
  <c r="CI74" i="2"/>
  <c r="CI63" i="2"/>
  <c r="CI75" i="2"/>
  <c r="CI61" i="2"/>
  <c r="CI73" i="2"/>
  <c r="CJ10" i="2"/>
  <c r="CI51" i="2"/>
  <c r="CJ8" i="2"/>
  <c r="CI49" i="2"/>
  <c r="CJ9" i="2"/>
  <c r="CI50" i="2"/>
  <c r="CH3" i="2"/>
  <c r="CG2" i="2"/>
  <c r="BW6" i="2"/>
  <c r="BV5" i="2"/>
  <c r="CF4" i="2"/>
  <c r="BU81" i="2"/>
  <c r="BW16" i="2"/>
  <c r="BV45" i="2"/>
  <c r="BV57" i="2"/>
  <c r="BV69" i="2"/>
  <c r="BW19" i="2"/>
  <c r="BT84" i="2"/>
  <c r="BW17" i="2"/>
  <c r="BV11" i="2"/>
  <c r="BV7" i="2"/>
  <c r="BU48" i="2"/>
  <c r="BU72" i="2"/>
  <c r="BU60" i="2"/>
  <c r="BW23" i="2"/>
  <c r="AU51" i="3"/>
  <c r="AK10" i="6" s="1"/>
  <c r="BS47" i="2"/>
  <c r="BS71" i="2"/>
  <c r="BS59" i="2"/>
  <c r="BT30" i="2"/>
  <c r="BR83" i="2"/>
  <c r="BR88" i="2"/>
  <c r="BT35" i="2"/>
  <c r="BS64" i="2"/>
  <c r="BS76" i="2"/>
  <c r="BS52" i="2"/>
  <c r="BR82" i="2"/>
  <c r="AU37" i="3"/>
  <c r="BS58" i="2"/>
  <c r="BT29" i="2"/>
  <c r="BS46" i="2"/>
  <c r="BS70" i="2"/>
  <c r="BD10" i="5"/>
  <c r="BB13" i="5"/>
  <c r="BA16" i="5"/>
  <c r="BE7" i="6" s="1"/>
  <c r="AY21" i="5"/>
  <c r="AX24" i="5"/>
  <c r="CI31" i="2"/>
  <c r="CH18" i="2"/>
  <c r="CI28" i="2"/>
  <c r="AV3" i="6"/>
  <c r="AU4" i="6"/>
  <c r="AX11" i="5"/>
  <c r="AW15" i="5"/>
  <c r="BA8" i="6" s="1"/>
  <c r="BF223" i="1" l="1"/>
  <c r="BE266" i="1"/>
  <c r="BE271" i="1" s="1"/>
  <c r="BE253" i="1"/>
  <c r="BE228" i="1"/>
  <c r="BE240" i="1"/>
  <c r="CK32" i="2"/>
  <c r="AL258" i="1"/>
  <c r="BC34" i="4"/>
  <c r="CK33" i="2"/>
  <c r="CK34" i="2"/>
  <c r="AL260" i="1"/>
  <c r="BC36" i="4"/>
  <c r="AL259" i="1"/>
  <c r="BC35" i="4"/>
  <c r="AW246" i="1"/>
  <c r="BN23" i="4"/>
  <c r="CK22" i="2"/>
  <c r="AW245" i="1"/>
  <c r="BN22" i="4"/>
  <c r="CK21" i="2"/>
  <c r="CK20" i="2"/>
  <c r="AW247" i="1"/>
  <c r="BN24" i="4"/>
  <c r="AW233" i="1"/>
  <c r="BN10" i="4"/>
  <c r="AW235" i="1"/>
  <c r="BN12" i="4"/>
  <c r="AW234" i="1"/>
  <c r="BN11" i="4"/>
  <c r="AT40" i="4"/>
  <c r="AG9" i="6" s="1"/>
  <c r="AW49" i="3"/>
  <c r="AE261" i="1"/>
  <c r="AV37" i="4"/>
  <c r="AV6" i="4"/>
  <c r="AE229" i="1"/>
  <c r="AE230" i="1"/>
  <c r="AV7" i="4"/>
  <c r="AE256" i="1"/>
  <c r="AV32" i="4"/>
  <c r="AD232" i="1"/>
  <c r="AU9" i="4"/>
  <c r="AE254" i="1"/>
  <c r="AV30" i="4"/>
  <c r="AE231" i="1"/>
  <c r="AV8" i="4"/>
  <c r="AE241" i="1"/>
  <c r="AV18" i="4"/>
  <c r="AE244" i="1"/>
  <c r="AV21" i="4"/>
  <c r="AD236" i="1"/>
  <c r="AU13" i="4"/>
  <c r="AV31" i="4"/>
  <c r="AE255" i="1"/>
  <c r="AE242" i="1"/>
  <c r="AV19" i="4"/>
  <c r="AF248" i="1"/>
  <c r="AW25" i="4"/>
  <c r="AW20" i="4"/>
  <c r="AF243" i="1"/>
  <c r="AE257" i="1"/>
  <c r="AV33" i="4"/>
  <c r="AW35" i="3"/>
  <c r="AZ42" i="3"/>
  <c r="BM33" i="3"/>
  <c r="BM47" i="3"/>
  <c r="AY45" i="3"/>
  <c r="AW44" i="3"/>
  <c r="AW43" i="3"/>
  <c r="BM46" i="3"/>
  <c r="BM48" i="3"/>
  <c r="AW29" i="3"/>
  <c r="AZ28" i="3"/>
  <c r="BM34" i="3"/>
  <c r="AY31" i="3"/>
  <c r="AW30" i="3"/>
  <c r="BM32" i="3"/>
  <c r="CI86" i="2"/>
  <c r="CI85" i="2"/>
  <c r="CI87" i="2"/>
  <c r="CJ63" i="2"/>
  <c r="CJ75" i="2"/>
  <c r="CJ62" i="2"/>
  <c r="CJ74" i="2"/>
  <c r="CJ61" i="2"/>
  <c r="CJ73" i="2"/>
  <c r="CK9" i="2"/>
  <c r="CJ50" i="2"/>
  <c r="CK8" i="2"/>
  <c r="CJ49" i="2"/>
  <c r="CK10" i="2"/>
  <c r="CJ51" i="2"/>
  <c r="CI3" i="2"/>
  <c r="CH2" i="2"/>
  <c r="BV81" i="2"/>
  <c r="CG4" i="2"/>
  <c r="BX16" i="2"/>
  <c r="BW69" i="2"/>
  <c r="BW57" i="2"/>
  <c r="BW45" i="2"/>
  <c r="BW5" i="2"/>
  <c r="BX19" i="2"/>
  <c r="BX6" i="2"/>
  <c r="BV72" i="2"/>
  <c r="BW7" i="2"/>
  <c r="BV48" i="2"/>
  <c r="BV60" i="2"/>
  <c r="BW11" i="2"/>
  <c r="BX23" i="2"/>
  <c r="BX17" i="2"/>
  <c r="BU84" i="2"/>
  <c r="BS88" i="2"/>
  <c r="BU35" i="2"/>
  <c r="BT76" i="2"/>
  <c r="BT64" i="2"/>
  <c r="BT52" i="2"/>
  <c r="AV37" i="3"/>
  <c r="BT71" i="2"/>
  <c r="BT59" i="2"/>
  <c r="BU30" i="2"/>
  <c r="BT47" i="2"/>
  <c r="AV51" i="3"/>
  <c r="AL10" i="6" s="1"/>
  <c r="BT58" i="2"/>
  <c r="BU29" i="2"/>
  <c r="BT46" i="2"/>
  <c r="BT70" i="2"/>
  <c r="BS82" i="2"/>
  <c r="BS83" i="2"/>
  <c r="BC13" i="5"/>
  <c r="BB16" i="5"/>
  <c r="BF7" i="6" s="1"/>
  <c r="BE10" i="5"/>
  <c r="AZ21" i="5"/>
  <c r="AY24" i="5"/>
  <c r="CJ28" i="2"/>
  <c r="CI18" i="2"/>
  <c r="CJ31" i="2"/>
  <c r="AW3" i="6"/>
  <c r="AV4" i="6"/>
  <c r="AY11" i="5"/>
  <c r="AX15" i="5"/>
  <c r="BB8" i="6" s="1"/>
  <c r="BG223" i="1" l="1"/>
  <c r="BF266" i="1"/>
  <c r="BF271" i="1" s="1"/>
  <c r="BF253" i="1"/>
  <c r="BF228" i="1"/>
  <c r="BF240" i="1"/>
  <c r="CL33" i="2"/>
  <c r="AM258" i="1"/>
  <c r="BD34" i="4"/>
  <c r="CL34" i="2"/>
  <c r="AM259" i="1"/>
  <c r="BD35" i="4"/>
  <c r="AM260" i="1"/>
  <c r="BD36" i="4"/>
  <c r="CL32" i="2"/>
  <c r="CL20" i="2"/>
  <c r="CL21" i="2"/>
  <c r="AX246" i="1"/>
  <c r="BO23" i="4"/>
  <c r="AX245" i="1"/>
  <c r="BO22" i="4"/>
  <c r="AX247" i="1"/>
  <c r="BO24" i="4"/>
  <c r="CL22" i="2"/>
  <c r="AX234" i="1"/>
  <c r="BO11" i="4"/>
  <c r="AX235" i="1"/>
  <c r="BO12" i="4"/>
  <c r="AX233" i="1"/>
  <c r="BO10" i="4"/>
  <c r="AX49" i="3"/>
  <c r="AU40" i="4"/>
  <c r="AH9" i="6" s="1"/>
  <c r="AF231" i="1"/>
  <c r="AW8" i="4"/>
  <c r="AE236" i="1"/>
  <c r="AV13" i="4"/>
  <c r="AF255" i="1"/>
  <c r="AW31" i="4"/>
  <c r="AW30" i="4"/>
  <c r="AF254" i="1"/>
  <c r="AG248" i="1"/>
  <c r="AX25" i="4"/>
  <c r="AF244" i="1"/>
  <c r="AW21" i="4"/>
  <c r="AF256" i="1"/>
  <c r="AW32" i="4"/>
  <c r="AF257" i="1"/>
  <c r="AW33" i="4"/>
  <c r="AF230" i="1"/>
  <c r="AW7" i="4"/>
  <c r="AF229" i="1"/>
  <c r="AW6" i="4"/>
  <c r="AE232" i="1"/>
  <c r="AV9" i="4"/>
  <c r="AF261" i="1"/>
  <c r="AW37" i="4"/>
  <c r="AG243" i="1"/>
  <c r="AX20" i="4"/>
  <c r="AF242" i="1"/>
  <c r="AW19" i="4"/>
  <c r="AF241" i="1"/>
  <c r="AW18" i="4"/>
  <c r="AX35" i="3"/>
  <c r="AX43" i="3"/>
  <c r="AZ45" i="3"/>
  <c r="BN34" i="3"/>
  <c r="BN48" i="3"/>
  <c r="AX30" i="3"/>
  <c r="AX44" i="3"/>
  <c r="BN46" i="3"/>
  <c r="BA28" i="3"/>
  <c r="BA42" i="3"/>
  <c r="BN47" i="3"/>
  <c r="BN33" i="3"/>
  <c r="AX29" i="3"/>
  <c r="AZ31" i="3"/>
  <c r="BN32" i="3"/>
  <c r="CJ87" i="2"/>
  <c r="CJ85" i="2"/>
  <c r="CJ86" i="2"/>
  <c r="CK62" i="2"/>
  <c r="CK74" i="2"/>
  <c r="CK63" i="2"/>
  <c r="CK75" i="2"/>
  <c r="CK61" i="2"/>
  <c r="CK73" i="2"/>
  <c r="CL10" i="2"/>
  <c r="CK51" i="2"/>
  <c r="CL8" i="2"/>
  <c r="CK49" i="2"/>
  <c r="CL9" i="2"/>
  <c r="CK50" i="2"/>
  <c r="CJ3" i="2"/>
  <c r="CI2" i="2"/>
  <c r="BX5" i="2"/>
  <c r="CH4" i="2"/>
  <c r="BY16" i="2"/>
  <c r="BX57" i="2"/>
  <c r="BX69" i="2"/>
  <c r="BX45" i="2"/>
  <c r="BY19" i="2"/>
  <c r="BW81" i="2"/>
  <c r="BY6" i="2"/>
  <c r="BY23" i="2"/>
  <c r="BV84" i="2"/>
  <c r="BY17" i="2"/>
  <c r="BX7" i="2"/>
  <c r="BW72" i="2"/>
  <c r="BW60" i="2"/>
  <c r="BW48" i="2"/>
  <c r="BX11" i="2"/>
  <c r="AW51" i="3"/>
  <c r="AM10" i="6" s="1"/>
  <c r="AW37" i="3"/>
  <c r="BT88" i="2"/>
  <c r="BT82" i="2"/>
  <c r="BT83" i="2"/>
  <c r="BV30" i="2"/>
  <c r="BU59" i="2"/>
  <c r="BU71" i="2"/>
  <c r="BU47" i="2"/>
  <c r="BV35" i="2"/>
  <c r="BU52" i="2"/>
  <c r="BU76" i="2"/>
  <c r="BU64" i="2"/>
  <c r="BU58" i="2"/>
  <c r="BV29" i="2"/>
  <c r="BU70" i="2"/>
  <c r="BU46" i="2"/>
  <c r="BF10" i="5"/>
  <c r="BD13" i="5"/>
  <c r="BC16" i="5"/>
  <c r="BG7" i="6" s="1"/>
  <c r="BA21" i="5"/>
  <c r="AZ24" i="5"/>
  <c r="CK28" i="2"/>
  <c r="CK31" i="2"/>
  <c r="CJ18" i="2"/>
  <c r="AX3" i="6"/>
  <c r="AW4" i="6"/>
  <c r="AZ11" i="5"/>
  <c r="AY15" i="5"/>
  <c r="BC8" i="6" s="1"/>
  <c r="BH223" i="1" l="1"/>
  <c r="BG266" i="1"/>
  <c r="BG271" i="1" s="1"/>
  <c r="BG253" i="1"/>
  <c r="BG228" i="1"/>
  <c r="BG240" i="1"/>
  <c r="CM34" i="2"/>
  <c r="CM32" i="2"/>
  <c r="AN259" i="1"/>
  <c r="BE35" i="4"/>
  <c r="AN258" i="1"/>
  <c r="BE34" i="4"/>
  <c r="AN260" i="1"/>
  <c r="BE36" i="4"/>
  <c r="CM33" i="2"/>
  <c r="CM20" i="2"/>
  <c r="AY245" i="1"/>
  <c r="BP22" i="4"/>
  <c r="AY246" i="1"/>
  <c r="BP23" i="4"/>
  <c r="CM22" i="2"/>
  <c r="CM21" i="2"/>
  <c r="AY247" i="1"/>
  <c r="BP24" i="4"/>
  <c r="AY235" i="1"/>
  <c r="BP12" i="4"/>
  <c r="AY233" i="1"/>
  <c r="BP10" i="4"/>
  <c r="AY234" i="1"/>
  <c r="BP11" i="4"/>
  <c r="AV40" i="4"/>
  <c r="AI9" i="6" s="1"/>
  <c r="AG241" i="1"/>
  <c r="AX18" i="4"/>
  <c r="AG244" i="1"/>
  <c r="AX21" i="4"/>
  <c r="AG256" i="1"/>
  <c r="AX32" i="4"/>
  <c r="AG242" i="1"/>
  <c r="AX19" i="4"/>
  <c r="AY20" i="4"/>
  <c r="AH243" i="1"/>
  <c r="AG230" i="1"/>
  <c r="AX7" i="4"/>
  <c r="AH248" i="1"/>
  <c r="AY25" i="4"/>
  <c r="AF236" i="1"/>
  <c r="AW13" i="4"/>
  <c r="AG255" i="1"/>
  <c r="AX31" i="4"/>
  <c r="AF232" i="1"/>
  <c r="AW9" i="4"/>
  <c r="AG229" i="1"/>
  <c r="AX6" i="4"/>
  <c r="AG261" i="1"/>
  <c r="AX37" i="4"/>
  <c r="AG257" i="1"/>
  <c r="AX33" i="4"/>
  <c r="AX30" i="4"/>
  <c r="AG254" i="1"/>
  <c r="AG231" i="1"/>
  <c r="AX8" i="4"/>
  <c r="AY49" i="3"/>
  <c r="AY35" i="3"/>
  <c r="BO48" i="3"/>
  <c r="BO47" i="3"/>
  <c r="BB42" i="3"/>
  <c r="AY29" i="3"/>
  <c r="AY43" i="3"/>
  <c r="BO46" i="3"/>
  <c r="BA31" i="3"/>
  <c r="BA45" i="3"/>
  <c r="AY30" i="3"/>
  <c r="AY44" i="3"/>
  <c r="BO34" i="3"/>
  <c r="BO32" i="3"/>
  <c r="BB28" i="3"/>
  <c r="BO33" i="3"/>
  <c r="CK86" i="2"/>
  <c r="CK87" i="2"/>
  <c r="CK85" i="2"/>
  <c r="CL62" i="2"/>
  <c r="CL74" i="2"/>
  <c r="CL63" i="2"/>
  <c r="CL75" i="2"/>
  <c r="CL61" i="2"/>
  <c r="CL73" i="2"/>
  <c r="CM9" i="2"/>
  <c r="CL50" i="2"/>
  <c r="CM8" i="2"/>
  <c r="CL49" i="2"/>
  <c r="CM10" i="2"/>
  <c r="CL51" i="2"/>
  <c r="CK3" i="2"/>
  <c r="CJ2" i="2"/>
  <c r="BZ16" i="2"/>
  <c r="BY45" i="2"/>
  <c r="BY69" i="2"/>
  <c r="BY57" i="2"/>
  <c r="BZ19" i="2"/>
  <c r="BX81" i="2"/>
  <c r="CI4" i="2"/>
  <c r="BZ6" i="2"/>
  <c r="BY5" i="2"/>
  <c r="BX72" i="2"/>
  <c r="BY7" i="2"/>
  <c r="BX48" i="2"/>
  <c r="BX60" i="2"/>
  <c r="BZ17" i="2"/>
  <c r="BY11" i="2"/>
  <c r="BW84" i="2"/>
  <c r="BZ23" i="2"/>
  <c r="BU82" i="2"/>
  <c r="BW35" i="2"/>
  <c r="BV76" i="2"/>
  <c r="BV52" i="2"/>
  <c r="BV64" i="2"/>
  <c r="BU83" i="2"/>
  <c r="AX51" i="3"/>
  <c r="AN10" i="6" s="1"/>
  <c r="BV58" i="2"/>
  <c r="BV70" i="2"/>
  <c r="BV46" i="2"/>
  <c r="BW29" i="2"/>
  <c r="AX37" i="3"/>
  <c r="BU88" i="2"/>
  <c r="BW30" i="2"/>
  <c r="BV47" i="2"/>
  <c r="BV71" i="2"/>
  <c r="BV59" i="2"/>
  <c r="BE13" i="5"/>
  <c r="BD16" i="5"/>
  <c r="BH7" i="6" s="1"/>
  <c r="BG10" i="5"/>
  <c r="BB21" i="5"/>
  <c r="BA24" i="5"/>
  <c r="CK18" i="2"/>
  <c r="CL28" i="2"/>
  <c r="CL31" i="2"/>
  <c r="AY3" i="6"/>
  <c r="AX4" i="6"/>
  <c r="BA11" i="5"/>
  <c r="AZ15" i="5"/>
  <c r="BD8" i="6" s="1"/>
  <c r="BI223" i="1" l="1"/>
  <c r="BH266" i="1"/>
  <c r="BH271" i="1" s="1"/>
  <c r="BH240" i="1"/>
  <c r="BH253" i="1"/>
  <c r="BH228" i="1"/>
  <c r="AO258" i="1"/>
  <c r="BF34" i="4"/>
  <c r="AO259" i="1"/>
  <c r="BF35" i="4"/>
  <c r="CN32" i="2"/>
  <c r="CN33" i="2"/>
  <c r="AO260" i="1"/>
  <c r="BF36" i="4"/>
  <c r="CN34" i="2"/>
  <c r="CN22" i="2"/>
  <c r="CN20" i="2"/>
  <c r="AZ246" i="1"/>
  <c r="BQ23" i="4"/>
  <c r="AZ247" i="1"/>
  <c r="BQ24" i="4"/>
  <c r="AZ245" i="1"/>
  <c r="BQ22" i="4"/>
  <c r="CN21" i="2"/>
  <c r="AZ233" i="1"/>
  <c r="BQ10" i="4"/>
  <c r="AZ235" i="1"/>
  <c r="BQ12" i="4"/>
  <c r="AZ234" i="1"/>
  <c r="BQ11" i="4"/>
  <c r="AW40" i="4"/>
  <c r="AJ9" i="6" s="1"/>
  <c r="AH256" i="1"/>
  <c r="AY32" i="4"/>
  <c r="AH230" i="1"/>
  <c r="AY7" i="4"/>
  <c r="AH242" i="1"/>
  <c r="AY19" i="4"/>
  <c r="AH231" i="1"/>
  <c r="AY8" i="4"/>
  <c r="AH254" i="1"/>
  <c r="AY30" i="4"/>
  <c r="AH257" i="1"/>
  <c r="AY33" i="4"/>
  <c r="AH255" i="1"/>
  <c r="AY31" i="4"/>
  <c r="AZ20" i="4"/>
  <c r="AI243" i="1"/>
  <c r="AH244" i="1"/>
  <c r="AY21" i="4"/>
  <c r="AI248" i="1"/>
  <c r="AZ25" i="4"/>
  <c r="AG232" i="1"/>
  <c r="AX9" i="4"/>
  <c r="AG236" i="1"/>
  <c r="AX13" i="4"/>
  <c r="AH229" i="1"/>
  <c r="AY6" i="4"/>
  <c r="AH261" i="1"/>
  <c r="AY37" i="4"/>
  <c r="AH241" i="1"/>
  <c r="AY18" i="4"/>
  <c r="AZ49" i="3"/>
  <c r="BP48" i="3"/>
  <c r="AZ35" i="3"/>
  <c r="AZ44" i="3"/>
  <c r="BC42" i="3"/>
  <c r="BP47" i="3"/>
  <c r="BP46" i="3"/>
  <c r="BB45" i="3"/>
  <c r="AZ29" i="3"/>
  <c r="AZ43" i="3"/>
  <c r="BP33" i="3"/>
  <c r="BC28" i="3"/>
  <c r="CL87" i="2"/>
  <c r="BP34" i="3"/>
  <c r="BB31" i="3"/>
  <c r="AZ30" i="3"/>
  <c r="BP32" i="3"/>
  <c r="CL86" i="2"/>
  <c r="CL85" i="2"/>
  <c r="CM62" i="2"/>
  <c r="CM74" i="2"/>
  <c r="CM63" i="2"/>
  <c r="CM75" i="2"/>
  <c r="CM61" i="2"/>
  <c r="CM73" i="2"/>
  <c r="CN10" i="2"/>
  <c r="CM51" i="2"/>
  <c r="CN8" i="2"/>
  <c r="CM49" i="2"/>
  <c r="CN9" i="2"/>
  <c r="CM50" i="2"/>
  <c r="CL3" i="2"/>
  <c r="CK2" i="2"/>
  <c r="CJ4" i="2"/>
  <c r="BY81" i="2"/>
  <c r="CA6" i="2"/>
  <c r="CA19" i="2"/>
  <c r="BZ5" i="2"/>
  <c r="CA16" i="2"/>
  <c r="BZ69" i="2"/>
  <c r="BZ45" i="2"/>
  <c r="BZ57" i="2"/>
  <c r="BZ11" i="2"/>
  <c r="CA23" i="2"/>
  <c r="CA17" i="2"/>
  <c r="BX84" i="2"/>
  <c r="BZ7" i="2"/>
  <c r="BY60" i="2"/>
  <c r="BY48" i="2"/>
  <c r="BY72" i="2"/>
  <c r="BW46" i="2"/>
  <c r="BX29" i="2"/>
  <c r="BW58" i="2"/>
  <c r="BW70" i="2"/>
  <c r="BV82" i="2"/>
  <c r="BV83" i="2"/>
  <c r="BV88" i="2"/>
  <c r="BW71" i="2"/>
  <c r="BW47" i="2"/>
  <c r="BX30" i="2"/>
  <c r="BW59" i="2"/>
  <c r="BX35" i="2"/>
  <c r="BW64" i="2"/>
  <c r="BW76" i="2"/>
  <c r="BW52" i="2"/>
  <c r="AY37" i="3"/>
  <c r="AY51" i="3"/>
  <c r="AO10" i="6" s="1"/>
  <c r="BH10" i="5"/>
  <c r="BF13" i="5"/>
  <c r="BE16" i="5"/>
  <c r="BI7" i="6" s="1"/>
  <c r="BC21" i="5"/>
  <c r="BB24" i="5"/>
  <c r="CM28" i="2"/>
  <c r="CL18" i="2"/>
  <c r="CM31" i="2"/>
  <c r="AZ3" i="6"/>
  <c r="AY4" i="6"/>
  <c r="BB11" i="5"/>
  <c r="BA15" i="5"/>
  <c r="BE8" i="6" s="1"/>
  <c r="BJ223" i="1" l="1"/>
  <c r="BI266" i="1"/>
  <c r="BI271" i="1" s="1"/>
  <c r="BI240" i="1"/>
  <c r="BI253" i="1"/>
  <c r="BI228" i="1"/>
  <c r="CO33" i="2"/>
  <c r="CO32" i="2"/>
  <c r="CO34" i="2"/>
  <c r="AP259" i="1"/>
  <c r="BG35" i="4"/>
  <c r="AP260" i="1"/>
  <c r="BG36" i="4"/>
  <c r="AP258" i="1"/>
  <c r="BG34" i="4"/>
  <c r="BA245" i="1"/>
  <c r="BR22" i="4"/>
  <c r="BA247" i="1"/>
  <c r="BR24" i="4"/>
  <c r="CO21" i="2"/>
  <c r="CO20" i="2"/>
  <c r="CO22" i="2"/>
  <c r="BA246" i="1"/>
  <c r="BR23" i="4"/>
  <c r="BA235" i="1"/>
  <c r="BR12" i="4"/>
  <c r="BA234" i="1"/>
  <c r="BR11" i="4"/>
  <c r="BA233" i="1"/>
  <c r="BR10" i="4"/>
  <c r="AX40" i="4"/>
  <c r="AK9" i="6" s="1"/>
  <c r="AH232" i="1"/>
  <c r="AY9" i="4"/>
  <c r="AJ248" i="1"/>
  <c r="BA25" i="4"/>
  <c r="AI257" i="1"/>
  <c r="AZ33" i="4"/>
  <c r="AI230" i="1"/>
  <c r="AZ7" i="4"/>
  <c r="AI241" i="1"/>
  <c r="AZ18" i="4"/>
  <c r="AI242" i="1"/>
  <c r="AZ19" i="4"/>
  <c r="AI261" i="1"/>
  <c r="AZ37" i="4"/>
  <c r="AZ6" i="4"/>
  <c r="AI229" i="1"/>
  <c r="AI231" i="1"/>
  <c r="AZ8" i="4"/>
  <c r="AI244" i="1"/>
  <c r="AZ21" i="4"/>
  <c r="AI254" i="1"/>
  <c r="AZ30" i="4"/>
  <c r="AZ31" i="4"/>
  <c r="AI255" i="1"/>
  <c r="AH236" i="1"/>
  <c r="AY13" i="4"/>
  <c r="AJ243" i="1"/>
  <c r="BA20" i="4"/>
  <c r="AI256" i="1"/>
  <c r="AZ32" i="4"/>
  <c r="BA49" i="3"/>
  <c r="BA35" i="3"/>
  <c r="BD42" i="3"/>
  <c r="BA44" i="3"/>
  <c r="BQ48" i="3"/>
  <c r="BA43" i="3"/>
  <c r="BQ33" i="3"/>
  <c r="BQ47" i="3"/>
  <c r="BC45" i="3"/>
  <c r="BQ46" i="3"/>
  <c r="BA30" i="3"/>
  <c r="BD28" i="3"/>
  <c r="BC31" i="3"/>
  <c r="BQ34" i="3"/>
  <c r="BA29" i="3"/>
  <c r="BQ32" i="3"/>
  <c r="CM86" i="2"/>
  <c r="CM85" i="2"/>
  <c r="CM87" i="2"/>
  <c r="CN63" i="2"/>
  <c r="CN75" i="2"/>
  <c r="CN62" i="2"/>
  <c r="CN74" i="2"/>
  <c r="CN61" i="2"/>
  <c r="CN73" i="2"/>
  <c r="CO9" i="2"/>
  <c r="CN50" i="2"/>
  <c r="CO8" i="2"/>
  <c r="CN49" i="2"/>
  <c r="CO10" i="2"/>
  <c r="CN51" i="2"/>
  <c r="CM3" i="2"/>
  <c r="CL2" i="2"/>
  <c r="BZ81" i="2"/>
  <c r="CA5" i="2"/>
  <c r="CB16" i="2"/>
  <c r="CA45" i="2"/>
  <c r="CA57" i="2"/>
  <c r="CA69" i="2"/>
  <c r="CB19" i="2"/>
  <c r="CB6" i="2"/>
  <c r="CK4" i="2"/>
  <c r="CB17" i="2"/>
  <c r="CB23" i="2"/>
  <c r="BZ60" i="2"/>
  <c r="BZ72" i="2"/>
  <c r="BZ48" i="2"/>
  <c r="CA7" i="2"/>
  <c r="BY84" i="2"/>
  <c r="CA11" i="2"/>
  <c r="AZ37" i="3"/>
  <c r="BW88" i="2"/>
  <c r="BY35" i="2"/>
  <c r="BX76" i="2"/>
  <c r="BX64" i="2"/>
  <c r="BX52" i="2"/>
  <c r="BX70" i="2"/>
  <c r="BX46" i="2"/>
  <c r="BY29" i="2"/>
  <c r="BX58" i="2"/>
  <c r="BW82" i="2"/>
  <c r="BY30" i="2"/>
  <c r="BX71" i="2"/>
  <c r="BX47" i="2"/>
  <c r="BX59" i="2"/>
  <c r="BW83" i="2"/>
  <c r="AZ51" i="3"/>
  <c r="AP10" i="6" s="1"/>
  <c r="BG13" i="5"/>
  <c r="BF16" i="5"/>
  <c r="BJ7" i="6" s="1"/>
  <c r="BI10" i="5"/>
  <c r="BD21" i="5"/>
  <c r="BC24" i="5"/>
  <c r="CN28" i="2"/>
  <c r="CN31" i="2"/>
  <c r="CM18" i="2"/>
  <c r="BA3" i="6"/>
  <c r="AZ4" i="6"/>
  <c r="BC11" i="5"/>
  <c r="BB15" i="5"/>
  <c r="BF8" i="6" s="1"/>
  <c r="BK223" i="1" l="1"/>
  <c r="BJ266" i="1"/>
  <c r="BJ271" i="1" s="1"/>
  <c r="BJ240" i="1"/>
  <c r="BJ253" i="1"/>
  <c r="BJ228" i="1"/>
  <c r="AY40" i="4"/>
  <c r="AL9" i="6" s="1"/>
  <c r="CP34" i="2"/>
  <c r="AQ259" i="1"/>
  <c r="BH35" i="4"/>
  <c r="CP32" i="2"/>
  <c r="AQ258" i="1"/>
  <c r="BH34" i="4"/>
  <c r="AQ260" i="1"/>
  <c r="BH36" i="4"/>
  <c r="CP33" i="2"/>
  <c r="CP22" i="2"/>
  <c r="BB245" i="1"/>
  <c r="BS22" i="4"/>
  <c r="CP20" i="2"/>
  <c r="BB246" i="1"/>
  <c r="BS23" i="4"/>
  <c r="BB247" i="1"/>
  <c r="BS24" i="4"/>
  <c r="CP21" i="2"/>
  <c r="BB234" i="1"/>
  <c r="BS11" i="4"/>
  <c r="BB233" i="1"/>
  <c r="BS10" i="4"/>
  <c r="BB235" i="1"/>
  <c r="BS12" i="4"/>
  <c r="AJ256" i="1"/>
  <c r="BA32" i="4"/>
  <c r="BB20" i="4"/>
  <c r="AK243" i="1"/>
  <c r="BA33" i="4"/>
  <c r="AJ257" i="1"/>
  <c r="AJ244" i="1"/>
  <c r="BA21" i="4"/>
  <c r="AJ242" i="1"/>
  <c r="BA19" i="4"/>
  <c r="AK248" i="1"/>
  <c r="BB25" i="4"/>
  <c r="AJ229" i="1"/>
  <c r="BA6" i="4"/>
  <c r="AJ230" i="1"/>
  <c r="BA7" i="4"/>
  <c r="AJ254" i="1"/>
  <c r="BA30" i="4"/>
  <c r="AI236" i="1"/>
  <c r="AZ13" i="4"/>
  <c r="AJ261" i="1"/>
  <c r="BA37" i="4"/>
  <c r="BA31" i="4"/>
  <c r="AJ255" i="1"/>
  <c r="AJ231" i="1"/>
  <c r="BA8" i="4"/>
  <c r="AJ241" i="1"/>
  <c r="BA18" i="4"/>
  <c r="AI232" i="1"/>
  <c r="AZ9" i="4"/>
  <c r="BB49" i="3"/>
  <c r="BB35" i="3"/>
  <c r="BB43" i="3"/>
  <c r="BR47" i="3"/>
  <c r="BR48" i="3"/>
  <c r="BE42" i="3"/>
  <c r="BB44" i="3"/>
  <c r="BD45" i="3"/>
  <c r="BR46" i="3"/>
  <c r="BR33" i="3"/>
  <c r="BR32" i="3"/>
  <c r="BB29" i="3"/>
  <c r="BE28" i="3"/>
  <c r="CN87" i="2"/>
  <c r="BR34" i="3"/>
  <c r="BB30" i="3"/>
  <c r="BD31" i="3"/>
  <c r="CN85" i="2"/>
  <c r="CN86" i="2"/>
  <c r="CO62" i="2"/>
  <c r="CO74" i="2"/>
  <c r="CO63" i="2"/>
  <c r="CO75" i="2"/>
  <c r="CO61" i="2"/>
  <c r="CO73" i="2"/>
  <c r="CP10" i="2"/>
  <c r="CO51" i="2"/>
  <c r="CP8" i="2"/>
  <c r="CO49" i="2"/>
  <c r="CP9" i="2"/>
  <c r="CO50" i="2"/>
  <c r="CN3" i="2"/>
  <c r="CM2" i="2"/>
  <c r="CL4" i="2"/>
  <c r="CC16" i="2"/>
  <c r="CB69" i="2"/>
  <c r="CB45" i="2"/>
  <c r="CB57" i="2"/>
  <c r="CC6" i="2"/>
  <c r="CB5" i="2"/>
  <c r="CA81" i="2"/>
  <c r="CC19" i="2"/>
  <c r="CA48" i="2"/>
  <c r="CA72" i="2"/>
  <c r="CB7" i="2"/>
  <c r="CA60" i="2"/>
  <c r="CB11" i="2"/>
  <c r="CC23" i="2"/>
  <c r="BZ84" i="2"/>
  <c r="CC17" i="2"/>
  <c r="BA51" i="3"/>
  <c r="AQ10" i="6" s="1"/>
  <c r="BA37" i="3"/>
  <c r="BZ35" i="2"/>
  <c r="BY76" i="2"/>
  <c r="BY52" i="2"/>
  <c r="BY64" i="2"/>
  <c r="BY46" i="2"/>
  <c r="BY70" i="2"/>
  <c r="BY58" i="2"/>
  <c r="BZ29" i="2"/>
  <c r="BX83" i="2"/>
  <c r="BX82" i="2"/>
  <c r="BX88" i="2"/>
  <c r="BY59" i="2"/>
  <c r="BY71" i="2"/>
  <c r="BY47" i="2"/>
  <c r="BZ30" i="2"/>
  <c r="BJ10" i="5"/>
  <c r="BH13" i="5"/>
  <c r="BG16" i="5"/>
  <c r="BK7" i="6" s="1"/>
  <c r="BE21" i="5"/>
  <c r="BD24" i="5"/>
  <c r="CO28" i="2"/>
  <c r="CN18" i="2"/>
  <c r="CO31" i="2"/>
  <c r="BB3" i="6"/>
  <c r="BA4" i="6"/>
  <c r="BD11" i="5"/>
  <c r="BC15" i="5"/>
  <c r="BG8" i="6" s="1"/>
  <c r="BK266" i="1" l="1"/>
  <c r="BK271" i="1" s="1"/>
  <c r="BK240" i="1"/>
  <c r="BK253" i="1"/>
  <c r="BK228" i="1"/>
  <c r="AR258" i="1"/>
  <c r="BI34" i="4"/>
  <c r="CQ32" i="2"/>
  <c r="AR259" i="1"/>
  <c r="BI35" i="4"/>
  <c r="CQ33" i="2"/>
  <c r="AR260" i="1"/>
  <c r="BI36" i="4"/>
  <c r="CQ34" i="2"/>
  <c r="BC247" i="1"/>
  <c r="BT24" i="4"/>
  <c r="BC246" i="1"/>
  <c r="BT23" i="4"/>
  <c r="CQ20" i="2"/>
  <c r="CQ21" i="2"/>
  <c r="BC245" i="1"/>
  <c r="BT22" i="4"/>
  <c r="CQ22" i="2"/>
  <c r="BC233" i="1"/>
  <c r="BT10" i="4"/>
  <c r="BC235" i="1"/>
  <c r="BT12" i="4"/>
  <c r="BC234" i="1"/>
  <c r="BT11" i="4"/>
  <c r="AZ40" i="4"/>
  <c r="AM9" i="6" s="1"/>
  <c r="AK230" i="1"/>
  <c r="BB7" i="4"/>
  <c r="AK261" i="1"/>
  <c r="BB37" i="4"/>
  <c r="AK241" i="1"/>
  <c r="BB18" i="4"/>
  <c r="AJ236" i="1"/>
  <c r="BA13" i="4"/>
  <c r="AL248" i="1"/>
  <c r="BC25" i="4"/>
  <c r="AK229" i="1"/>
  <c r="BB6" i="4"/>
  <c r="BC20" i="4"/>
  <c r="AL243" i="1"/>
  <c r="AK231" i="1"/>
  <c r="BB8" i="4"/>
  <c r="AK244" i="1"/>
  <c r="BB21" i="4"/>
  <c r="BB33" i="4"/>
  <c r="AK257" i="1"/>
  <c r="BB31" i="4"/>
  <c r="AK255" i="1"/>
  <c r="BB30" i="4"/>
  <c r="AK254" i="1"/>
  <c r="AK242" i="1"/>
  <c r="BB19" i="4"/>
  <c r="AK256" i="1"/>
  <c r="BB32" i="4"/>
  <c r="AJ232" i="1"/>
  <c r="BA9" i="4"/>
  <c r="BC35" i="3"/>
  <c r="BC49" i="3"/>
  <c r="BC43" i="3"/>
  <c r="BS48" i="3"/>
  <c r="BE45" i="3"/>
  <c r="BS33" i="3"/>
  <c r="BS47" i="3"/>
  <c r="BF42" i="3"/>
  <c r="BS46" i="3"/>
  <c r="BC44" i="3"/>
  <c r="BC30" i="3"/>
  <c r="BE31" i="3"/>
  <c r="BC29" i="3"/>
  <c r="BF28" i="3"/>
  <c r="BS32" i="3"/>
  <c r="BS34" i="3"/>
  <c r="CO86" i="2"/>
  <c r="CO85" i="2"/>
  <c r="CO87" i="2"/>
  <c r="CP63" i="2"/>
  <c r="CP75" i="2"/>
  <c r="CP62" i="2"/>
  <c r="CP74" i="2"/>
  <c r="CP61" i="2"/>
  <c r="CP73" i="2"/>
  <c r="CQ9" i="2"/>
  <c r="CP50" i="2"/>
  <c r="CQ8" i="2"/>
  <c r="CP49" i="2"/>
  <c r="CQ10" i="2"/>
  <c r="CP51" i="2"/>
  <c r="CO3" i="2"/>
  <c r="CN2" i="2"/>
  <c r="CD16" i="2"/>
  <c r="CC69" i="2"/>
  <c r="CC45" i="2"/>
  <c r="CC57" i="2"/>
  <c r="CD6" i="2"/>
  <c r="CB81" i="2"/>
  <c r="CC5" i="2"/>
  <c r="CD19" i="2"/>
  <c r="CM4" i="2"/>
  <c r="CD23" i="2"/>
  <c r="CC11" i="2"/>
  <c r="CD17" i="2"/>
  <c r="CB72" i="2"/>
  <c r="CB48" i="2"/>
  <c r="CC7" i="2"/>
  <c r="CB60" i="2"/>
  <c r="CA84" i="2"/>
  <c r="BB51" i="3"/>
  <c r="AR10" i="6" s="1"/>
  <c r="BB37" i="3"/>
  <c r="BZ59" i="2"/>
  <c r="BZ71" i="2"/>
  <c r="CA30" i="2"/>
  <c r="BZ47" i="2"/>
  <c r="BY88" i="2"/>
  <c r="BY83" i="2"/>
  <c r="BY82" i="2"/>
  <c r="BZ70" i="2"/>
  <c r="BZ46" i="2"/>
  <c r="CA29" i="2"/>
  <c r="BZ58" i="2"/>
  <c r="CA35" i="2"/>
  <c r="BZ64" i="2"/>
  <c r="BZ76" i="2"/>
  <c r="BZ52" i="2"/>
  <c r="BI13" i="5"/>
  <c r="BH16" i="5"/>
  <c r="BL7" i="6" s="1"/>
  <c r="BK10" i="5"/>
  <c r="BF21" i="5"/>
  <c r="BE24" i="5"/>
  <c r="CP28" i="2"/>
  <c r="CO18" i="2"/>
  <c r="CP31" i="2"/>
  <c r="BC3" i="6"/>
  <c r="BB4" i="6"/>
  <c r="BE11" i="5"/>
  <c r="BD15" i="5"/>
  <c r="BH8" i="6" s="1"/>
  <c r="AS259" i="1" l="1"/>
  <c r="BJ35" i="4"/>
  <c r="CR32" i="2"/>
  <c r="CR33" i="2"/>
  <c r="CR34" i="2"/>
  <c r="AS260" i="1"/>
  <c r="BJ36" i="4"/>
  <c r="AS258" i="1"/>
  <c r="BJ34" i="4"/>
  <c r="BD245" i="1"/>
  <c r="BU22" i="4"/>
  <c r="CR21" i="2"/>
  <c r="CR20" i="2"/>
  <c r="CR22" i="2"/>
  <c r="BD246" i="1"/>
  <c r="BU23" i="4"/>
  <c r="BD247" i="1"/>
  <c r="BU24" i="4"/>
  <c r="BD235" i="1"/>
  <c r="BU12" i="4"/>
  <c r="BD234" i="1"/>
  <c r="BU11" i="4"/>
  <c r="BD233" i="1"/>
  <c r="BU10" i="4"/>
  <c r="BA40" i="4"/>
  <c r="AN9" i="6" s="1"/>
  <c r="AK236" i="1"/>
  <c r="BB13" i="4"/>
  <c r="BC31" i="4"/>
  <c r="AL255" i="1"/>
  <c r="AL257" i="1"/>
  <c r="BC33" i="4"/>
  <c r="BC30" i="4"/>
  <c r="AL254" i="1"/>
  <c r="AL231" i="1"/>
  <c r="BC8" i="4"/>
  <c r="AK232" i="1"/>
  <c r="BB9" i="4"/>
  <c r="AL256" i="1"/>
  <c r="BC32" i="4"/>
  <c r="BC6" i="4"/>
  <c r="AL229" i="1"/>
  <c r="AL261" i="1"/>
  <c r="BC37" i="4"/>
  <c r="AM243" i="1"/>
  <c r="BD20" i="4"/>
  <c r="AL241" i="1"/>
  <c r="BC18" i="4"/>
  <c r="AL242" i="1"/>
  <c r="BC19" i="4"/>
  <c r="AL244" i="1"/>
  <c r="BC21" i="4"/>
  <c r="AM248" i="1"/>
  <c r="BD25" i="4"/>
  <c r="AL230" i="1"/>
  <c r="BC7" i="4"/>
  <c r="BD35" i="3"/>
  <c r="BD49" i="3"/>
  <c r="BT48" i="3"/>
  <c r="BD44" i="3"/>
  <c r="BF45" i="3"/>
  <c r="BT46" i="3"/>
  <c r="BG42" i="3"/>
  <c r="BD43" i="3"/>
  <c r="BT47" i="3"/>
  <c r="BD30" i="3"/>
  <c r="BT33" i="3"/>
  <c r="BF31" i="3"/>
  <c r="CP87" i="2"/>
  <c r="BT34" i="3"/>
  <c r="BT32" i="3"/>
  <c r="BD29" i="3"/>
  <c r="BG28" i="3"/>
  <c r="CP85" i="2"/>
  <c r="CP86" i="2"/>
  <c r="CQ62" i="2"/>
  <c r="CQ74" i="2"/>
  <c r="CQ63" i="2"/>
  <c r="CQ75" i="2"/>
  <c r="CQ61" i="2"/>
  <c r="CQ73" i="2"/>
  <c r="CR10" i="2"/>
  <c r="CQ51" i="2"/>
  <c r="CR8" i="2"/>
  <c r="CQ49" i="2"/>
  <c r="CR9" i="2"/>
  <c r="CQ50" i="2"/>
  <c r="CP3" i="2"/>
  <c r="CO2" i="2"/>
  <c r="CE6" i="2"/>
  <c r="CE19" i="2"/>
  <c r="CN4" i="2"/>
  <c r="CC81" i="2"/>
  <c r="CD5" i="2"/>
  <c r="CE16" i="2"/>
  <c r="CD45" i="2"/>
  <c r="CD69" i="2"/>
  <c r="CD57" i="2"/>
  <c r="CB84" i="2"/>
  <c r="CE17" i="2"/>
  <c r="CD11" i="2"/>
  <c r="CC48" i="2"/>
  <c r="CC72" i="2"/>
  <c r="CC60" i="2"/>
  <c r="CD7" i="2"/>
  <c r="CE23" i="2"/>
  <c r="BC37" i="3"/>
  <c r="BZ88" i="2"/>
  <c r="CB35" i="2"/>
  <c r="CA76" i="2"/>
  <c r="CA64" i="2"/>
  <c r="CA52" i="2"/>
  <c r="CB30" i="2"/>
  <c r="CA59" i="2"/>
  <c r="CA71" i="2"/>
  <c r="CA47" i="2"/>
  <c r="BZ82" i="2"/>
  <c r="BC51" i="3"/>
  <c r="AS10" i="6" s="1"/>
  <c r="BZ83" i="2"/>
  <c r="CB29" i="2"/>
  <c r="CA58" i="2"/>
  <c r="CA70" i="2"/>
  <c r="CA46" i="2"/>
  <c r="BL10" i="5"/>
  <c r="BJ13" i="5"/>
  <c r="BI16" i="5"/>
  <c r="BM7" i="6" s="1"/>
  <c r="BG21" i="5"/>
  <c r="BF24" i="5"/>
  <c r="CQ31" i="2"/>
  <c r="CP18" i="2"/>
  <c r="CQ28" i="2"/>
  <c r="BD3" i="6"/>
  <c r="BC4" i="6"/>
  <c r="BF11" i="5"/>
  <c r="BE15" i="5"/>
  <c r="BI8" i="6" s="1"/>
  <c r="CS34" i="2" l="1"/>
  <c r="CS33" i="2"/>
  <c r="AT258" i="1"/>
  <c r="BK34" i="4"/>
  <c r="CS32" i="2"/>
  <c r="AT260" i="1"/>
  <c r="BK36" i="4"/>
  <c r="AT259" i="1"/>
  <c r="BK35" i="4"/>
  <c r="BE245" i="1"/>
  <c r="BV22" i="4"/>
  <c r="BE247" i="1"/>
  <c r="BV24" i="4"/>
  <c r="CS21" i="2"/>
  <c r="BE246" i="1"/>
  <c r="BV23" i="4"/>
  <c r="CS22" i="2"/>
  <c r="CS20" i="2"/>
  <c r="BE234" i="1"/>
  <c r="BV11" i="4"/>
  <c r="BE233" i="1"/>
  <c r="BV10" i="4"/>
  <c r="BE235" i="1"/>
  <c r="BV12" i="4"/>
  <c r="BB40" i="4"/>
  <c r="AO9" i="6" s="1"/>
  <c r="AM257" i="1"/>
  <c r="BD33" i="4"/>
  <c r="BD31" i="4"/>
  <c r="AM255" i="1"/>
  <c r="AN248" i="1"/>
  <c r="BE25" i="4"/>
  <c r="AM244" i="1"/>
  <c r="BD21" i="4"/>
  <c r="AN243" i="1"/>
  <c r="BE20" i="4"/>
  <c r="AL232" i="1"/>
  <c r="BC9" i="4"/>
  <c r="AM229" i="1"/>
  <c r="BD6" i="4"/>
  <c r="AM241" i="1"/>
  <c r="BD18" i="4"/>
  <c r="BD30" i="4"/>
  <c r="AM254" i="1"/>
  <c r="AM230" i="1"/>
  <c r="BD7" i="4"/>
  <c r="AM256" i="1"/>
  <c r="BD32" i="4"/>
  <c r="AM242" i="1"/>
  <c r="BD19" i="4"/>
  <c r="AM261" i="1"/>
  <c r="BD37" i="4"/>
  <c r="AM231" i="1"/>
  <c r="BD8" i="4"/>
  <c r="AL236" i="1"/>
  <c r="BC13" i="4"/>
  <c r="BE35" i="3"/>
  <c r="BE49" i="3"/>
  <c r="BH42" i="3"/>
  <c r="BU48" i="3"/>
  <c r="BU33" i="3"/>
  <c r="BU47" i="3"/>
  <c r="BE44" i="3"/>
  <c r="BE43" i="3"/>
  <c r="BU46" i="3"/>
  <c r="BG45" i="3"/>
  <c r="BG31" i="3"/>
  <c r="BE30" i="3"/>
  <c r="BH28" i="3"/>
  <c r="BU34" i="3"/>
  <c r="BU32" i="3"/>
  <c r="BE29" i="3"/>
  <c r="CQ86" i="2"/>
  <c r="CQ85" i="2"/>
  <c r="CQ87" i="2"/>
  <c r="CR63" i="2"/>
  <c r="CR75" i="2"/>
  <c r="CR62" i="2"/>
  <c r="CR74" i="2"/>
  <c r="CR61" i="2"/>
  <c r="CR73" i="2"/>
  <c r="CS9" i="2"/>
  <c r="CR50" i="2"/>
  <c r="CS8" i="2"/>
  <c r="CR49" i="2"/>
  <c r="CS10" i="2"/>
  <c r="CR51" i="2"/>
  <c r="CQ3" i="2"/>
  <c r="CP2" i="2"/>
  <c r="CD81" i="2"/>
  <c r="CF16" i="2"/>
  <c r="CE69" i="2"/>
  <c r="CE57" i="2"/>
  <c r="CE45" i="2"/>
  <c r="CO4" i="2"/>
  <c r="CF19" i="2"/>
  <c r="CE5" i="2"/>
  <c r="CF6" i="2"/>
  <c r="CC84" i="2"/>
  <c r="CE11" i="2"/>
  <c r="CF23" i="2"/>
  <c r="CF17" i="2"/>
  <c r="CD60" i="2"/>
  <c r="CE7" i="2"/>
  <c r="CD72" i="2"/>
  <c r="CD48" i="2"/>
  <c r="BD51" i="3"/>
  <c r="AT10" i="6" s="1"/>
  <c r="BD37" i="3"/>
  <c r="CC29" i="2"/>
  <c r="CB58" i="2"/>
  <c r="CB70" i="2"/>
  <c r="CB46" i="2"/>
  <c r="CA83" i="2"/>
  <c r="CC35" i="2"/>
  <c r="CB76" i="2"/>
  <c r="CB52" i="2"/>
  <c r="CB64" i="2"/>
  <c r="CA82" i="2"/>
  <c r="CA88" i="2"/>
  <c r="CC30" i="2"/>
  <c r="CB71" i="2"/>
  <c r="CB47" i="2"/>
  <c r="CB59" i="2"/>
  <c r="BK13" i="5"/>
  <c r="BJ16" i="5"/>
  <c r="BN7" i="6" s="1"/>
  <c r="BH21" i="5"/>
  <c r="BG24" i="5"/>
  <c r="CR31" i="2"/>
  <c r="CQ18" i="2"/>
  <c r="CR28" i="2"/>
  <c r="BE3" i="6"/>
  <c r="BD4" i="6"/>
  <c r="BG11" i="5"/>
  <c r="BF15" i="5"/>
  <c r="BJ8" i="6" s="1"/>
  <c r="CT32" i="2" l="1"/>
  <c r="AU258" i="1"/>
  <c r="BL34" i="4"/>
  <c r="CT33" i="2"/>
  <c r="AU259" i="1"/>
  <c r="BL35" i="4"/>
  <c r="AU260" i="1"/>
  <c r="BL36" i="4"/>
  <c r="CT34" i="2"/>
  <c r="BF245" i="1"/>
  <c r="BW22" i="4"/>
  <c r="BF246" i="1"/>
  <c r="BW23" i="4"/>
  <c r="CT20" i="2"/>
  <c r="BF247" i="1"/>
  <c r="BW24" i="4"/>
  <c r="CT22" i="2"/>
  <c r="CT21" i="2"/>
  <c r="BF235" i="1"/>
  <c r="BW12" i="4"/>
  <c r="BF233" i="1"/>
  <c r="BW10" i="4"/>
  <c r="BF234" i="1"/>
  <c r="BW11" i="4"/>
  <c r="BC40" i="4"/>
  <c r="AP9" i="6" s="1"/>
  <c r="AN229" i="1"/>
  <c r="BE6" i="4"/>
  <c r="AN231" i="1"/>
  <c r="BE8" i="4"/>
  <c r="BE30" i="4"/>
  <c r="AN254" i="1"/>
  <c r="AM232" i="1"/>
  <c r="BD9" i="4"/>
  <c r="BE31" i="4"/>
  <c r="AN255" i="1"/>
  <c r="AM236" i="1"/>
  <c r="BD13" i="4"/>
  <c r="AN230" i="1"/>
  <c r="BE7" i="4"/>
  <c r="AN261" i="1"/>
  <c r="BE37" i="4"/>
  <c r="AN244" i="1"/>
  <c r="BE21" i="4"/>
  <c r="AN256" i="1"/>
  <c r="BE32" i="4"/>
  <c r="AO243" i="1"/>
  <c r="BF20" i="4"/>
  <c r="AO248" i="1"/>
  <c r="BF25" i="4"/>
  <c r="AN242" i="1"/>
  <c r="BE19" i="4"/>
  <c r="AN241" i="1"/>
  <c r="BE18" i="4"/>
  <c r="BE33" i="4"/>
  <c r="AN257" i="1"/>
  <c r="BF49" i="3"/>
  <c r="BF35" i="3"/>
  <c r="BF43" i="3"/>
  <c r="BH45" i="3"/>
  <c r="BV47" i="3"/>
  <c r="BV34" i="3"/>
  <c r="BV48" i="3"/>
  <c r="BI28" i="3"/>
  <c r="BI42" i="3"/>
  <c r="BV46" i="3"/>
  <c r="BF44" i="3"/>
  <c r="BF29" i="3"/>
  <c r="BF30" i="3"/>
  <c r="BV32" i="3"/>
  <c r="BH31" i="3"/>
  <c r="BV33" i="3"/>
  <c r="CR87" i="2"/>
  <c r="CR85" i="2"/>
  <c r="CR86" i="2"/>
  <c r="CS62" i="2"/>
  <c r="CS74" i="2"/>
  <c r="CS63" i="2"/>
  <c r="CS75" i="2"/>
  <c r="CS61" i="2"/>
  <c r="CS73" i="2"/>
  <c r="CT10" i="2"/>
  <c r="CS51" i="2"/>
  <c r="CT8" i="2"/>
  <c r="CS49" i="2"/>
  <c r="CT9" i="2"/>
  <c r="CS50" i="2"/>
  <c r="CR3" i="2"/>
  <c r="CQ2" i="2"/>
  <c r="CE81" i="2"/>
  <c r="CG19" i="2"/>
  <c r="CF5" i="2"/>
  <c r="CG16" i="2"/>
  <c r="CF45" i="2"/>
  <c r="CF69" i="2"/>
  <c r="CF57" i="2"/>
  <c r="CG6" i="2"/>
  <c r="CP4" i="2"/>
  <c r="CG17" i="2"/>
  <c r="CG23" i="2"/>
  <c r="CD84" i="2"/>
  <c r="CF11" i="2"/>
  <c r="CE60" i="2"/>
  <c r="CE72" i="2"/>
  <c r="CE48" i="2"/>
  <c r="CF7" i="2"/>
  <c r="CC46" i="2"/>
  <c r="CD29" i="2"/>
  <c r="CC70" i="2"/>
  <c r="CC58" i="2"/>
  <c r="BE37" i="3"/>
  <c r="CC59" i="2"/>
  <c r="CC71" i="2"/>
  <c r="CC47" i="2"/>
  <c r="CD30" i="2"/>
  <c r="CD35" i="2"/>
  <c r="CC64" i="2"/>
  <c r="CC52" i="2"/>
  <c r="CC76" i="2"/>
  <c r="CB83" i="2"/>
  <c r="BE51" i="3"/>
  <c r="AU10" i="6" s="1"/>
  <c r="CB82" i="2"/>
  <c r="CB88" i="2"/>
  <c r="BL13" i="5"/>
  <c r="BL16" i="5" s="1"/>
  <c r="BK16" i="5"/>
  <c r="BO7" i="6" s="1"/>
  <c r="G7" i="6" s="1"/>
  <c r="BI21" i="5"/>
  <c r="BH24" i="5"/>
  <c r="CS28" i="2"/>
  <c r="CS31" i="2"/>
  <c r="CR18" i="2"/>
  <c r="BF3" i="6"/>
  <c r="BE4" i="6"/>
  <c r="BH11" i="5"/>
  <c r="BG15" i="5"/>
  <c r="BK8" i="6" s="1"/>
  <c r="AV259" i="1" l="1"/>
  <c r="BM35" i="4"/>
  <c r="CU33" i="2"/>
  <c r="AV258" i="1"/>
  <c r="BM34" i="4"/>
  <c r="CU34" i="2"/>
  <c r="AV260" i="1"/>
  <c r="BM36" i="4"/>
  <c r="CU32" i="2"/>
  <c r="BG245" i="1"/>
  <c r="BX22" i="4"/>
  <c r="CU22" i="2"/>
  <c r="CU21" i="2"/>
  <c r="BG246" i="1"/>
  <c r="BX23" i="4"/>
  <c r="BG247" i="1"/>
  <c r="BX24" i="4"/>
  <c r="CU20" i="2"/>
  <c r="BG234" i="1"/>
  <c r="BX11" i="4"/>
  <c r="BG233" i="1"/>
  <c r="BX10" i="4"/>
  <c r="BG235" i="1"/>
  <c r="BX12" i="4"/>
  <c r="BD40" i="4"/>
  <c r="AQ9" i="6" s="1"/>
  <c r="AP248" i="1"/>
  <c r="BG25" i="4"/>
  <c r="AO261" i="1"/>
  <c r="BF37" i="4"/>
  <c r="BG20" i="4"/>
  <c r="AP243" i="1"/>
  <c r="AO241" i="1"/>
  <c r="BF18" i="4"/>
  <c r="AO256" i="1"/>
  <c r="BF32" i="4"/>
  <c r="BF30" i="4"/>
  <c r="AO254" i="1"/>
  <c r="AO230" i="1"/>
  <c r="BF7" i="4"/>
  <c r="AN236" i="1"/>
  <c r="BE13" i="4"/>
  <c r="AO231" i="1"/>
  <c r="BF8" i="4"/>
  <c r="BF33" i="4"/>
  <c r="AO257" i="1"/>
  <c r="AO242" i="1"/>
  <c r="BF19" i="4"/>
  <c r="AO244" i="1"/>
  <c r="BF21" i="4"/>
  <c r="AO255" i="1"/>
  <c r="BF31" i="4"/>
  <c r="AN232" i="1"/>
  <c r="BE9" i="4"/>
  <c r="AO229" i="1"/>
  <c r="BF6" i="4"/>
  <c r="BG35" i="3"/>
  <c r="BG49" i="3"/>
  <c r="BI45" i="3"/>
  <c r="BW47" i="3"/>
  <c r="BG44" i="3"/>
  <c r="BW48" i="3"/>
  <c r="BJ42" i="3"/>
  <c r="BW46" i="3"/>
  <c r="BG43" i="3"/>
  <c r="BI31" i="3"/>
  <c r="BW34" i="3"/>
  <c r="BJ28" i="3"/>
  <c r="BW33" i="3"/>
  <c r="BG29" i="3"/>
  <c r="BG30" i="3"/>
  <c r="BW32" i="3"/>
  <c r="CS86" i="2"/>
  <c r="CS85" i="2"/>
  <c r="CS87" i="2"/>
  <c r="CT63" i="2"/>
  <c r="CT75" i="2"/>
  <c r="CT62" i="2"/>
  <c r="CT74" i="2"/>
  <c r="CT61" i="2"/>
  <c r="CT73" i="2"/>
  <c r="CU8" i="2"/>
  <c r="CT49" i="2"/>
  <c r="CU9" i="2"/>
  <c r="CT50" i="2"/>
  <c r="CU10" i="2"/>
  <c r="CT51" i="2"/>
  <c r="CS3" i="2"/>
  <c r="CR2" i="2"/>
  <c r="CH16" i="2"/>
  <c r="CG57" i="2"/>
  <c r="CG45" i="2"/>
  <c r="CG69" i="2"/>
  <c r="CH19" i="2"/>
  <c r="CG5" i="2"/>
  <c r="CH6" i="2"/>
  <c r="CQ4" i="2"/>
  <c r="CF81" i="2"/>
  <c r="CG11" i="2"/>
  <c r="CF60" i="2"/>
  <c r="CF72" i="2"/>
  <c r="CG7" i="2"/>
  <c r="CF48" i="2"/>
  <c r="CE84" i="2"/>
  <c r="CH23" i="2"/>
  <c r="CH17" i="2"/>
  <c r="BF51" i="3"/>
  <c r="AV10" i="6" s="1"/>
  <c r="BF37" i="3"/>
  <c r="CC88" i="2"/>
  <c r="CC83" i="2"/>
  <c r="CE35" i="2"/>
  <c r="CD52" i="2"/>
  <c r="CD76" i="2"/>
  <c r="CD64" i="2"/>
  <c r="CD58" i="2"/>
  <c r="CD70" i="2"/>
  <c r="CE29" i="2"/>
  <c r="CD46" i="2"/>
  <c r="CD59" i="2"/>
  <c r="CD47" i="2"/>
  <c r="CD71" i="2"/>
  <c r="CE30" i="2"/>
  <c r="CC82" i="2"/>
  <c r="BJ21" i="5"/>
  <c r="BI24" i="5"/>
  <c r="CT28" i="2"/>
  <c r="CT31" i="2"/>
  <c r="CS18" i="2"/>
  <c r="BG3" i="6"/>
  <c r="BF4" i="6"/>
  <c r="BI11" i="5"/>
  <c r="BH15" i="5"/>
  <c r="BL8" i="6" s="1"/>
  <c r="AW258" i="1" l="1"/>
  <c r="BN34" i="4"/>
  <c r="CV34" i="2"/>
  <c r="CV32" i="2"/>
  <c r="CV33" i="2"/>
  <c r="AW260" i="1"/>
  <c r="BN36" i="4"/>
  <c r="AW259" i="1"/>
  <c r="BN35" i="4"/>
  <c r="BH246" i="1"/>
  <c r="BY23" i="4"/>
  <c r="CV21" i="2"/>
  <c r="CV20" i="2"/>
  <c r="CV22" i="2"/>
  <c r="BH247" i="1"/>
  <c r="BY24" i="4"/>
  <c r="BH245" i="1"/>
  <c r="BY22" i="4"/>
  <c r="BH233" i="1"/>
  <c r="BY10" i="4"/>
  <c r="BH235" i="1"/>
  <c r="BY12" i="4"/>
  <c r="BH234" i="1"/>
  <c r="BY11" i="4"/>
  <c r="BE40" i="4"/>
  <c r="AR9" i="6" s="1"/>
  <c r="AO236" i="1"/>
  <c r="BF13" i="4"/>
  <c r="AO232" i="1"/>
  <c r="BF9" i="4"/>
  <c r="AP254" i="1"/>
  <c r="BG30" i="4"/>
  <c r="AP244" i="1"/>
  <c r="BG21" i="4"/>
  <c r="AP241" i="1"/>
  <c r="BG18" i="4"/>
  <c r="AP261" i="1"/>
  <c r="BG37" i="4"/>
  <c r="AP229" i="1"/>
  <c r="BG6" i="4"/>
  <c r="AP242" i="1"/>
  <c r="BG19" i="4"/>
  <c r="BG33" i="4"/>
  <c r="AP257" i="1"/>
  <c r="BG31" i="4"/>
  <c r="AP255" i="1"/>
  <c r="AP231" i="1"/>
  <c r="BG8" i="4"/>
  <c r="AQ243" i="1"/>
  <c r="BH20" i="4"/>
  <c r="AP230" i="1"/>
  <c r="BG7" i="4"/>
  <c r="AP256" i="1"/>
  <c r="BG32" i="4"/>
  <c r="AQ248" i="1"/>
  <c r="BH25" i="4"/>
  <c r="BH35" i="3"/>
  <c r="BH49" i="3"/>
  <c r="BH43" i="3"/>
  <c r="BJ45" i="3"/>
  <c r="BK42" i="3"/>
  <c r="BX46" i="3"/>
  <c r="BH44" i="3"/>
  <c r="BX34" i="3"/>
  <c r="BX48" i="3"/>
  <c r="BX47" i="3"/>
  <c r="BH30" i="3"/>
  <c r="BK28" i="3"/>
  <c r="BJ31" i="3"/>
  <c r="BX33" i="3"/>
  <c r="BH29" i="3"/>
  <c r="BX32" i="3"/>
  <c r="CT87" i="2"/>
  <c r="CT86" i="2"/>
  <c r="CT85" i="2"/>
  <c r="CU63" i="2"/>
  <c r="CU75" i="2"/>
  <c r="CU61" i="2"/>
  <c r="CU73" i="2"/>
  <c r="CU62" i="2"/>
  <c r="CU74" i="2"/>
  <c r="CV10" i="2"/>
  <c r="CU51" i="2"/>
  <c r="CV9" i="2"/>
  <c r="CU50" i="2"/>
  <c r="CV8" i="2"/>
  <c r="CU49" i="2"/>
  <c r="CT3" i="2"/>
  <c r="CS2" i="2"/>
  <c r="CI19" i="2"/>
  <c r="CH5" i="2"/>
  <c r="CR4" i="2"/>
  <c r="CG81" i="2"/>
  <c r="CI6" i="2"/>
  <c r="CI16" i="2"/>
  <c r="CH45" i="2"/>
  <c r="CH57" i="2"/>
  <c r="CH69" i="2"/>
  <c r="CF84" i="2"/>
  <c r="CI17" i="2"/>
  <c r="CH7" i="2"/>
  <c r="CG60" i="2"/>
  <c r="CG48" i="2"/>
  <c r="CG72" i="2"/>
  <c r="CI23" i="2"/>
  <c r="CH11" i="2"/>
  <c r="BG51" i="3"/>
  <c r="AW10" i="6" s="1"/>
  <c r="CE70" i="2"/>
  <c r="CF29" i="2"/>
  <c r="CE46" i="2"/>
  <c r="CE58" i="2"/>
  <c r="BG37" i="3"/>
  <c r="CE59" i="2"/>
  <c r="CF30" i="2"/>
  <c r="CE47" i="2"/>
  <c r="CE71" i="2"/>
  <c r="CD88" i="2"/>
  <c r="CD83" i="2"/>
  <c r="CD82" i="2"/>
  <c r="CF35" i="2"/>
  <c r="CE76" i="2"/>
  <c r="CE64" i="2"/>
  <c r="CE52" i="2"/>
  <c r="BK21" i="5"/>
  <c r="BJ24" i="5"/>
  <c r="CT18" i="2"/>
  <c r="CU28" i="2"/>
  <c r="CU31" i="2"/>
  <c r="BH3" i="6"/>
  <c r="BG4" i="6"/>
  <c r="BJ11" i="5"/>
  <c r="BI15" i="5"/>
  <c r="BM8" i="6" s="1"/>
  <c r="AX259" i="1" l="1"/>
  <c r="BO35" i="4"/>
  <c r="AX260" i="1"/>
  <c r="BO36" i="4"/>
  <c r="AX258" i="1"/>
  <c r="BO34" i="4"/>
  <c r="BI247" i="1"/>
  <c r="BZ24" i="4"/>
  <c r="BI246" i="1"/>
  <c r="BZ23" i="4"/>
  <c r="BI245" i="1"/>
  <c r="BZ22" i="4"/>
  <c r="CV74" i="2"/>
  <c r="BI235" i="1"/>
  <c r="BZ12" i="4"/>
  <c r="CV73" i="2"/>
  <c r="CV75" i="2"/>
  <c r="BI234" i="1"/>
  <c r="BZ11" i="4"/>
  <c r="BI233" i="1"/>
  <c r="BZ10" i="4"/>
  <c r="BF40" i="4"/>
  <c r="AS9" i="6" s="1"/>
  <c r="AR248" i="1"/>
  <c r="BI25" i="4"/>
  <c r="AQ255" i="1"/>
  <c r="BH31" i="4"/>
  <c r="BH30" i="4"/>
  <c r="AQ254" i="1"/>
  <c r="AQ256" i="1"/>
  <c r="BH32" i="4"/>
  <c r="AQ261" i="1"/>
  <c r="BH37" i="4"/>
  <c r="AQ242" i="1"/>
  <c r="BH19" i="4"/>
  <c r="AQ229" i="1"/>
  <c r="BH6" i="4"/>
  <c r="BH33" i="4"/>
  <c r="AQ257" i="1"/>
  <c r="AP232" i="1"/>
  <c r="BG9" i="4"/>
  <c r="AQ230" i="1"/>
  <c r="BH7" i="4"/>
  <c r="AR243" i="1"/>
  <c r="BI20" i="4"/>
  <c r="AQ244" i="1"/>
  <c r="BH21" i="4"/>
  <c r="AQ231" i="1"/>
  <c r="BH8" i="4"/>
  <c r="AQ241" i="1"/>
  <c r="BH18" i="4"/>
  <c r="AP236" i="1"/>
  <c r="BG13" i="4"/>
  <c r="BI49" i="3"/>
  <c r="BI35" i="3"/>
  <c r="BY46" i="3"/>
  <c r="BK45" i="3"/>
  <c r="BI44" i="3"/>
  <c r="BL42" i="3"/>
  <c r="BY48" i="3"/>
  <c r="BI43" i="3"/>
  <c r="BY47" i="3"/>
  <c r="BI30" i="3"/>
  <c r="BY34" i="3"/>
  <c r="CU85" i="2"/>
  <c r="BY32" i="3"/>
  <c r="BK31" i="3"/>
  <c r="BY33" i="3"/>
  <c r="BI29" i="3"/>
  <c r="BL28" i="3"/>
  <c r="CU86" i="2"/>
  <c r="CU87" i="2"/>
  <c r="CV50" i="2"/>
  <c r="CV62" i="2"/>
  <c r="CV49" i="2"/>
  <c r="CV61" i="2"/>
  <c r="CV51" i="2"/>
  <c r="CV63" i="2"/>
  <c r="CU3" i="2"/>
  <c r="CT2" i="2"/>
  <c r="CJ16" i="2"/>
  <c r="CI45" i="2"/>
  <c r="CI57" i="2"/>
  <c r="CI69" i="2"/>
  <c r="CS4" i="2"/>
  <c r="CJ6" i="2"/>
  <c r="CI5" i="2"/>
  <c r="CH81" i="2"/>
  <c r="CJ19" i="2"/>
  <c r="CG84" i="2"/>
  <c r="CH72" i="2"/>
  <c r="CI7" i="2"/>
  <c r="CH60" i="2"/>
  <c r="CH48" i="2"/>
  <c r="CI11" i="2"/>
  <c r="CJ17" i="2"/>
  <c r="CJ23" i="2"/>
  <c r="CE88" i="2"/>
  <c r="CG35" i="2"/>
  <c r="CF52" i="2"/>
  <c r="CF76" i="2"/>
  <c r="CF64" i="2"/>
  <c r="CE82" i="2"/>
  <c r="CE83" i="2"/>
  <c r="CF47" i="2"/>
  <c r="CF59" i="2"/>
  <c r="CF71" i="2"/>
  <c r="CG30" i="2"/>
  <c r="BH37" i="3"/>
  <c r="CF58" i="2"/>
  <c r="CF46" i="2"/>
  <c r="CF70" i="2"/>
  <c r="CG29" i="2"/>
  <c r="BH51" i="3"/>
  <c r="AX10" i="6" s="1"/>
  <c r="BL21" i="5"/>
  <c r="BL24" i="5" s="1"/>
  <c r="BK24" i="5"/>
  <c r="CV31" i="2"/>
  <c r="CU18" i="2"/>
  <c r="CV28" i="2"/>
  <c r="BI3" i="6"/>
  <c r="BH4" i="6"/>
  <c r="BK11" i="5"/>
  <c r="BJ15" i="5"/>
  <c r="BN8" i="6" s="1"/>
  <c r="AY258" i="1" l="1"/>
  <c r="BP34" i="4"/>
  <c r="AY260" i="1"/>
  <c r="BP36" i="4"/>
  <c r="AY259" i="1"/>
  <c r="BP35" i="4"/>
  <c r="BJ247" i="1"/>
  <c r="CA24" i="4"/>
  <c r="BJ246" i="1"/>
  <c r="CA23" i="4"/>
  <c r="BJ245" i="1"/>
  <c r="CA22" i="4"/>
  <c r="BJ235" i="1"/>
  <c r="CA12" i="4"/>
  <c r="BJ233" i="1"/>
  <c r="CA10" i="4"/>
  <c r="BJ234" i="1"/>
  <c r="CA11" i="4"/>
  <c r="BG40" i="4"/>
  <c r="AT9" i="6" s="1"/>
  <c r="AR256" i="1"/>
  <c r="BI32" i="4"/>
  <c r="AR229" i="1"/>
  <c r="BI6" i="4"/>
  <c r="AR241" i="1"/>
  <c r="BI18" i="4"/>
  <c r="AR242" i="1"/>
  <c r="BI19" i="4"/>
  <c r="AR231" i="1"/>
  <c r="BI8" i="4"/>
  <c r="AR255" i="1"/>
  <c r="BI31" i="4"/>
  <c r="AS243" i="1"/>
  <c r="BJ20" i="4"/>
  <c r="AR254" i="1"/>
  <c r="BI30" i="4"/>
  <c r="AQ232" i="1"/>
  <c r="BH9" i="4"/>
  <c r="AR261" i="1"/>
  <c r="BI37" i="4"/>
  <c r="AQ236" i="1"/>
  <c r="BH13" i="4"/>
  <c r="AR230" i="1"/>
  <c r="BI7" i="4"/>
  <c r="AR244" i="1"/>
  <c r="BI21" i="4"/>
  <c r="BI33" i="4"/>
  <c r="AR257" i="1"/>
  <c r="AS248" i="1"/>
  <c r="BJ25" i="4"/>
  <c r="BJ49" i="3"/>
  <c r="BJ35" i="3"/>
  <c r="BJ44" i="3"/>
  <c r="BZ46" i="3"/>
  <c r="BL31" i="3"/>
  <c r="BL45" i="3"/>
  <c r="BM42" i="3"/>
  <c r="BZ48" i="3"/>
  <c r="BJ43" i="3"/>
  <c r="BZ47" i="3"/>
  <c r="BJ30" i="3"/>
  <c r="BM28" i="3"/>
  <c r="BZ34" i="3"/>
  <c r="BZ32" i="3"/>
  <c r="BJ29" i="3"/>
  <c r="BZ33" i="3"/>
  <c r="CV86" i="2"/>
  <c r="CV87" i="2"/>
  <c r="CV85" i="2"/>
  <c r="CV3" i="2"/>
  <c r="CV2" i="2" s="1"/>
  <c r="CU2" i="2"/>
  <c r="CT4" i="2"/>
  <c r="CK6" i="2"/>
  <c r="CI81" i="2"/>
  <c r="CJ5" i="2"/>
  <c r="CK19" i="2"/>
  <c r="CK16" i="2"/>
  <c r="CJ57" i="2"/>
  <c r="CJ69" i="2"/>
  <c r="CJ45" i="2"/>
  <c r="CH84" i="2"/>
  <c r="CK23" i="2"/>
  <c r="CI48" i="2"/>
  <c r="CJ7" i="2"/>
  <c r="CI60" i="2"/>
  <c r="CI72" i="2"/>
  <c r="CK17" i="2"/>
  <c r="CJ11" i="2"/>
  <c r="BI51" i="3"/>
  <c r="AY10" i="6" s="1"/>
  <c r="CF83" i="2"/>
  <c r="BI37" i="3"/>
  <c r="CH35" i="2"/>
  <c r="CG76" i="2"/>
  <c r="CG52" i="2"/>
  <c r="CG64" i="2"/>
  <c r="CF88" i="2"/>
  <c r="CG59" i="2"/>
  <c r="CG71" i="2"/>
  <c r="CG47" i="2"/>
  <c r="CH30" i="2"/>
  <c r="CF82" i="2"/>
  <c r="CG46" i="2"/>
  <c r="CG70" i="2"/>
  <c r="CG58" i="2"/>
  <c r="CH29" i="2"/>
  <c r="CV18" i="2"/>
  <c r="BJ3" i="6"/>
  <c r="BI4" i="6"/>
  <c r="G11" i="6" s="1"/>
  <c r="BL11" i="5"/>
  <c r="BK15" i="5"/>
  <c r="BO8" i="6" s="1"/>
  <c r="G8" i="6" s="1"/>
  <c r="AZ259" i="1" l="1"/>
  <c r="BQ35" i="4"/>
  <c r="AZ260" i="1"/>
  <c r="BQ36" i="4"/>
  <c r="AZ258" i="1"/>
  <c r="BQ34" i="4"/>
  <c r="BK247" i="1"/>
  <c r="CC24" i="4" s="1"/>
  <c r="CB24" i="4"/>
  <c r="BK245" i="1"/>
  <c r="CC22" i="4" s="1"/>
  <c r="CB22" i="4"/>
  <c r="BK246" i="1"/>
  <c r="CC23" i="4" s="1"/>
  <c r="CB23" i="4"/>
  <c r="BK234" i="1"/>
  <c r="CC11" i="4" s="1"/>
  <c r="CB11" i="4"/>
  <c r="BK233" i="1"/>
  <c r="CC10" i="4" s="1"/>
  <c r="CB10" i="4"/>
  <c r="BK235" i="1"/>
  <c r="CC12" i="4" s="1"/>
  <c r="CB12" i="4"/>
  <c r="BH40" i="4"/>
  <c r="AU9" i="6" s="1"/>
  <c r="AS254" i="1"/>
  <c r="BJ30" i="4"/>
  <c r="AT248" i="1"/>
  <c r="BK25" i="4"/>
  <c r="AT243" i="1"/>
  <c r="BK20" i="4"/>
  <c r="AS241" i="1"/>
  <c r="BJ18" i="4"/>
  <c r="AS261" i="1"/>
  <c r="BJ37" i="4"/>
  <c r="AS255" i="1"/>
  <c r="BJ31" i="4"/>
  <c r="AS242" i="1"/>
  <c r="BJ19" i="4"/>
  <c r="AS257" i="1"/>
  <c r="BJ33" i="4"/>
  <c r="AS244" i="1"/>
  <c r="BJ21" i="4"/>
  <c r="AS229" i="1"/>
  <c r="BJ6" i="4"/>
  <c r="AS230" i="1"/>
  <c r="BJ7" i="4"/>
  <c r="AR232" i="1"/>
  <c r="BI9" i="4"/>
  <c r="AS231" i="1"/>
  <c r="BJ8" i="4"/>
  <c r="AR236" i="1"/>
  <c r="BI13" i="4"/>
  <c r="AS256" i="1"/>
  <c r="BJ32" i="4"/>
  <c r="BK49" i="3"/>
  <c r="BK35" i="3"/>
  <c r="BK43" i="3"/>
  <c r="BM45" i="3"/>
  <c r="BK44" i="3"/>
  <c r="BN42" i="3"/>
  <c r="BK29" i="3"/>
  <c r="BN28" i="3"/>
  <c r="BK30" i="3"/>
  <c r="BM31" i="3"/>
  <c r="CL16" i="2"/>
  <c r="CK45" i="2"/>
  <c r="CK57" i="2"/>
  <c r="CK69" i="2"/>
  <c r="CL6" i="2"/>
  <c r="CL19" i="2"/>
  <c r="CK5" i="2"/>
  <c r="CJ81" i="2"/>
  <c r="CU4" i="2"/>
  <c r="CI84" i="2"/>
  <c r="CK11" i="2"/>
  <c r="CK7" i="2"/>
  <c r="CJ48" i="2"/>
  <c r="CJ60" i="2"/>
  <c r="CJ72" i="2"/>
  <c r="CL23" i="2"/>
  <c r="CL17" i="2"/>
  <c r="CG88" i="2"/>
  <c r="BJ37" i="3"/>
  <c r="CG82" i="2"/>
  <c r="CI35" i="2"/>
  <c r="CH52" i="2"/>
  <c r="CH64" i="2"/>
  <c r="CH76" i="2"/>
  <c r="BJ51" i="3"/>
  <c r="AZ10" i="6" s="1"/>
  <c r="CG83" i="2"/>
  <c r="CH58" i="2"/>
  <c r="CH70" i="2"/>
  <c r="CH46" i="2"/>
  <c r="CI29" i="2"/>
  <c r="CH47" i="2"/>
  <c r="CI30" i="2"/>
  <c r="CH71" i="2"/>
  <c r="CH59" i="2"/>
  <c r="BL15" i="5"/>
  <c r="BK3" i="6"/>
  <c r="BJ4" i="6"/>
  <c r="BA258" i="1" l="1"/>
  <c r="BR34" i="4"/>
  <c r="BA260" i="1"/>
  <c r="BR36" i="4"/>
  <c r="BA259" i="1"/>
  <c r="BR35" i="4"/>
  <c r="BI40" i="4"/>
  <c r="AV9" i="6" s="1"/>
  <c r="BL20" i="4"/>
  <c r="AU243" i="1"/>
  <c r="BK31" i="4"/>
  <c r="AT255" i="1"/>
  <c r="AT241" i="1"/>
  <c r="BK18" i="4"/>
  <c r="AT230" i="1"/>
  <c r="BK7" i="4"/>
  <c r="AT231" i="1"/>
  <c r="BK8" i="4"/>
  <c r="AT244" i="1"/>
  <c r="BK21" i="4"/>
  <c r="AU248" i="1"/>
  <c r="BL25" i="4"/>
  <c r="AT242" i="1"/>
  <c r="BK19" i="4"/>
  <c r="AS236" i="1"/>
  <c r="BJ13" i="4"/>
  <c r="AT261" i="1"/>
  <c r="BK37" i="4"/>
  <c r="BK33" i="4"/>
  <c r="AT257" i="1"/>
  <c r="AT256" i="1"/>
  <c r="BK32" i="4"/>
  <c r="AT229" i="1"/>
  <c r="BK6" i="4"/>
  <c r="AS232" i="1"/>
  <c r="BJ9" i="4"/>
  <c r="BK30" i="4"/>
  <c r="AT254" i="1"/>
  <c r="BL49" i="3"/>
  <c r="BL35" i="3"/>
  <c r="BL44" i="3"/>
  <c r="BN45" i="3"/>
  <c r="BO42" i="3"/>
  <c r="BL43" i="3"/>
  <c r="BL29" i="3"/>
  <c r="BO28" i="3"/>
  <c r="BN31" i="3"/>
  <c r="BL30" i="3"/>
  <c r="CM19" i="2"/>
  <c r="CM6" i="2"/>
  <c r="CL5" i="2"/>
  <c r="CK81" i="2"/>
  <c r="CV4" i="2"/>
  <c r="CM16" i="2"/>
  <c r="CL69" i="2"/>
  <c r="CL45" i="2"/>
  <c r="CL57" i="2"/>
  <c r="CL11" i="2"/>
  <c r="CK48" i="2"/>
  <c r="CK60" i="2"/>
  <c r="CL7" i="2"/>
  <c r="CK72" i="2"/>
  <c r="BK37" i="3"/>
  <c r="CM17" i="2"/>
  <c r="CJ84" i="2"/>
  <c r="CM23" i="2"/>
  <c r="CH83" i="2"/>
  <c r="CJ29" i="2"/>
  <c r="CI46" i="2"/>
  <c r="CI70" i="2"/>
  <c r="CI58" i="2"/>
  <c r="CH82" i="2"/>
  <c r="CI59" i="2"/>
  <c r="CJ30" i="2"/>
  <c r="CI71" i="2"/>
  <c r="CI47" i="2"/>
  <c r="BK51" i="3"/>
  <c r="BA10" i="6" s="1"/>
  <c r="CH88" i="2"/>
  <c r="CJ35" i="2"/>
  <c r="CI52" i="2"/>
  <c r="CI64" i="2"/>
  <c r="CI76" i="2"/>
  <c r="BL3" i="6"/>
  <c r="BK4" i="6"/>
  <c r="BB259" i="1" l="1"/>
  <c r="BS35" i="4"/>
  <c r="BB260" i="1"/>
  <c r="BS36" i="4"/>
  <c r="BB258" i="1"/>
  <c r="BS34" i="4"/>
  <c r="BJ40" i="4"/>
  <c r="AW9" i="6" s="1"/>
  <c r="AU242" i="1"/>
  <c r="BL19" i="4"/>
  <c r="AU241" i="1"/>
  <c r="BL18" i="4"/>
  <c r="AT232" i="1"/>
  <c r="BK9" i="4"/>
  <c r="AU261" i="1"/>
  <c r="BL37" i="4"/>
  <c r="AU244" i="1"/>
  <c r="BL21" i="4"/>
  <c r="BL31" i="4"/>
  <c r="AU255" i="1"/>
  <c r="AU230" i="1"/>
  <c r="BL7" i="4"/>
  <c r="BL30" i="4"/>
  <c r="AU254" i="1"/>
  <c r="AV248" i="1"/>
  <c r="BM25" i="4"/>
  <c r="BL6" i="4"/>
  <c r="AU229" i="1"/>
  <c r="AT236" i="1"/>
  <c r="BK13" i="4"/>
  <c r="AU231" i="1"/>
  <c r="BL8" i="4"/>
  <c r="BM20" i="4"/>
  <c r="AV243" i="1"/>
  <c r="AU256" i="1"/>
  <c r="BL32" i="4"/>
  <c r="AU257" i="1"/>
  <c r="BL33" i="4"/>
  <c r="BM49" i="3"/>
  <c r="BM35" i="3"/>
  <c r="BM44" i="3"/>
  <c r="BM43" i="3"/>
  <c r="BP42" i="3"/>
  <c r="BO45" i="3"/>
  <c r="BP28" i="3"/>
  <c r="BM30" i="3"/>
  <c r="BO31" i="3"/>
  <c r="BM29" i="3"/>
  <c r="CL81" i="2"/>
  <c r="CN16" i="2"/>
  <c r="CM69" i="2"/>
  <c r="CM45" i="2"/>
  <c r="CM57" i="2"/>
  <c r="CM5" i="2"/>
  <c r="CN6" i="2"/>
  <c r="CN19" i="2"/>
  <c r="CN23" i="2"/>
  <c r="CL72" i="2"/>
  <c r="CL48" i="2"/>
  <c r="CM7" i="2"/>
  <c r="CL60" i="2"/>
  <c r="CK84" i="2"/>
  <c r="CN17" i="2"/>
  <c r="CM11" i="2"/>
  <c r="BL51" i="3"/>
  <c r="BB10" i="6" s="1"/>
  <c r="BL37" i="3"/>
  <c r="CI88" i="2"/>
  <c r="CK30" i="2"/>
  <c r="CJ71" i="2"/>
  <c r="CJ59" i="2"/>
  <c r="CJ47" i="2"/>
  <c r="CJ58" i="2"/>
  <c r="CK29" i="2"/>
  <c r="CJ46" i="2"/>
  <c r="CJ70" i="2"/>
  <c r="CI83" i="2"/>
  <c r="CK35" i="2"/>
  <c r="CJ52" i="2"/>
  <c r="CJ64" i="2"/>
  <c r="CJ76" i="2"/>
  <c r="CI82" i="2"/>
  <c r="BM3" i="6"/>
  <c r="BL4" i="6"/>
  <c r="BK40" i="4" l="1"/>
  <c r="AX9" i="6" s="1"/>
  <c r="BC258" i="1"/>
  <c r="BT34" i="4"/>
  <c r="BC260" i="1"/>
  <c r="BT36" i="4"/>
  <c r="BC259" i="1"/>
  <c r="BT35" i="4"/>
  <c r="AU232" i="1"/>
  <c r="BL9" i="4"/>
  <c r="AV256" i="1"/>
  <c r="BM32" i="4"/>
  <c r="BM31" i="4"/>
  <c r="AV255" i="1"/>
  <c r="AV231" i="1"/>
  <c r="BM8" i="4"/>
  <c r="AV261" i="1"/>
  <c r="BM37" i="4"/>
  <c r="AU236" i="1"/>
  <c r="BL13" i="4"/>
  <c r="AW243" i="1"/>
  <c r="BN20" i="4"/>
  <c r="AV241" i="1"/>
  <c r="BM18" i="4"/>
  <c r="AV229" i="1"/>
  <c r="BM6" i="4"/>
  <c r="AW248" i="1"/>
  <c r="BN25" i="4"/>
  <c r="BM33" i="4"/>
  <c r="AV257" i="1"/>
  <c r="AV230" i="1"/>
  <c r="BM7" i="4"/>
  <c r="AV254" i="1"/>
  <c r="BM30" i="4"/>
  <c r="AV244" i="1"/>
  <c r="BM21" i="4"/>
  <c r="AV242" i="1"/>
  <c r="BM19" i="4"/>
  <c r="BN35" i="3"/>
  <c r="BN49" i="3"/>
  <c r="BN44" i="3"/>
  <c r="BN43" i="3"/>
  <c r="BQ42" i="3"/>
  <c r="BP45" i="3"/>
  <c r="BM37" i="3"/>
  <c r="BQ28" i="3"/>
  <c r="BN29" i="3"/>
  <c r="BP31" i="3"/>
  <c r="BN30" i="3"/>
  <c r="CO19" i="2"/>
  <c r="CM81" i="2"/>
  <c r="CO6" i="2"/>
  <c r="CO16" i="2"/>
  <c r="CN45" i="2"/>
  <c r="CN69" i="2"/>
  <c r="CN57" i="2"/>
  <c r="CN5" i="2"/>
  <c r="CL84" i="2"/>
  <c r="CN11" i="2"/>
  <c r="CN7" i="2"/>
  <c r="CM48" i="2"/>
  <c r="CM72" i="2"/>
  <c r="CM60" i="2"/>
  <c r="CO17" i="2"/>
  <c r="CO23" i="2"/>
  <c r="CJ83" i="2"/>
  <c r="BM51" i="3"/>
  <c r="BC10" i="6" s="1"/>
  <c r="CK59" i="2"/>
  <c r="CK47" i="2"/>
  <c r="CK71" i="2"/>
  <c r="CL30" i="2"/>
  <c r="CJ88" i="2"/>
  <c r="CL35" i="2"/>
  <c r="CK64" i="2"/>
  <c r="CK52" i="2"/>
  <c r="CK76" i="2"/>
  <c r="CJ82" i="2"/>
  <c r="CL29" i="2"/>
  <c r="CK70" i="2"/>
  <c r="CK58" i="2"/>
  <c r="CK46" i="2"/>
  <c r="BN3" i="6"/>
  <c r="BM4" i="6"/>
  <c r="BD259" i="1" l="1"/>
  <c r="BU35" i="4"/>
  <c r="BD260" i="1"/>
  <c r="BU36" i="4"/>
  <c r="BD258" i="1"/>
  <c r="BU34" i="4"/>
  <c r="BL40" i="4"/>
  <c r="AY9" i="6" s="1"/>
  <c r="AW231" i="1"/>
  <c r="BN8" i="4"/>
  <c r="BN31" i="4"/>
  <c r="AW255" i="1"/>
  <c r="AW244" i="1"/>
  <c r="BN21" i="4"/>
  <c r="AV236" i="1"/>
  <c r="BM13" i="4"/>
  <c r="AW256" i="1"/>
  <c r="BN32" i="4"/>
  <c r="AX243" i="1"/>
  <c r="BO20" i="4"/>
  <c r="AX248" i="1"/>
  <c r="BO25" i="4"/>
  <c r="BN30" i="4"/>
  <c r="AW254" i="1"/>
  <c r="BN6" i="4"/>
  <c r="AW229" i="1"/>
  <c r="AW242" i="1"/>
  <c r="BN19" i="4"/>
  <c r="AW261" i="1"/>
  <c r="BN37" i="4"/>
  <c r="AV232" i="1"/>
  <c r="BM9" i="4"/>
  <c r="BN33" i="4"/>
  <c r="AW257" i="1"/>
  <c r="AW230" i="1"/>
  <c r="BN7" i="4"/>
  <c r="AW241" i="1"/>
  <c r="BN18" i="4"/>
  <c r="BO49" i="3"/>
  <c r="BO35" i="3"/>
  <c r="BO43" i="3"/>
  <c r="BR42" i="3"/>
  <c r="BO44" i="3"/>
  <c r="BQ45" i="3"/>
  <c r="BO29" i="3"/>
  <c r="BO30" i="3"/>
  <c r="BQ31" i="3"/>
  <c r="BR28" i="3"/>
  <c r="CN81" i="2"/>
  <c r="CP16" i="2"/>
  <c r="CO69" i="2"/>
  <c r="CO57" i="2"/>
  <c r="CO45" i="2"/>
  <c r="CP19" i="2"/>
  <c r="CO5" i="2"/>
  <c r="CP6" i="2"/>
  <c r="CP23" i="2"/>
  <c r="CM84" i="2"/>
  <c r="CN48" i="2"/>
  <c r="CN72" i="2"/>
  <c r="CN60" i="2"/>
  <c r="CO7" i="2"/>
  <c r="CP17" i="2"/>
  <c r="CO11" i="2"/>
  <c r="BN51" i="3"/>
  <c r="BD10" i="6" s="1"/>
  <c r="CK88" i="2"/>
  <c r="BN37" i="3"/>
  <c r="CK82" i="2"/>
  <c r="CK83" i="2"/>
  <c r="CL58" i="2"/>
  <c r="CM29" i="2"/>
  <c r="CL70" i="2"/>
  <c r="CL46" i="2"/>
  <c r="CM35" i="2"/>
  <c r="CL64" i="2"/>
  <c r="CL76" i="2"/>
  <c r="CL52" i="2"/>
  <c r="CL71" i="2"/>
  <c r="CM30" i="2"/>
  <c r="CL47" i="2"/>
  <c r="CL59" i="2"/>
  <c r="BO3" i="6"/>
  <c r="BO4" i="6" s="1"/>
  <c r="G12" i="6" s="1"/>
  <c r="G13" i="6" s="1"/>
  <c r="BN4" i="6"/>
  <c r="BE258" i="1" l="1"/>
  <c r="BV34" i="4"/>
  <c r="BE260" i="1"/>
  <c r="BV36" i="4"/>
  <c r="BE259" i="1"/>
  <c r="BV35" i="4"/>
  <c r="BP49" i="3"/>
  <c r="BM40" i="4"/>
  <c r="AZ9" i="6" s="1"/>
  <c r="AX244" i="1"/>
  <c r="BO21" i="4"/>
  <c r="BO33" i="4"/>
  <c r="AX257" i="1"/>
  <c r="BO31" i="4"/>
  <c r="AX255" i="1"/>
  <c r="AX241" i="1"/>
  <c r="BO18" i="4"/>
  <c r="AW236" i="1"/>
  <c r="BN13" i="4"/>
  <c r="AX230" i="1"/>
  <c r="BO7" i="4"/>
  <c r="AX242" i="1"/>
  <c r="BO19" i="4"/>
  <c r="AY243" i="1"/>
  <c r="BP20" i="4"/>
  <c r="BO6" i="4"/>
  <c r="AX229" i="1"/>
  <c r="AX254" i="1"/>
  <c r="BO30" i="4"/>
  <c r="AX261" i="1"/>
  <c r="BO37" i="4"/>
  <c r="AY248" i="1"/>
  <c r="BP25" i="4"/>
  <c r="AW232" i="1"/>
  <c r="BN9" i="4"/>
  <c r="AX256" i="1"/>
  <c r="BO32" i="4"/>
  <c r="AX231" i="1"/>
  <c r="BO8" i="4"/>
  <c r="BP35" i="3"/>
  <c r="BS42" i="3"/>
  <c r="BR45" i="3"/>
  <c r="BP44" i="3"/>
  <c r="BP43" i="3"/>
  <c r="BR31" i="3"/>
  <c r="BP30" i="3"/>
  <c r="BP29" i="3"/>
  <c r="BS28" i="3"/>
  <c r="CQ6" i="2"/>
  <c r="CQ16" i="2"/>
  <c r="CP69" i="2"/>
  <c r="CP57" i="2"/>
  <c r="CP45" i="2"/>
  <c r="CP5" i="2"/>
  <c r="CO81" i="2"/>
  <c r="CQ19" i="2"/>
  <c r="BO37" i="3"/>
  <c r="CN84" i="2"/>
  <c r="CP11" i="2"/>
  <c r="CQ17" i="2"/>
  <c r="CP7" i="2"/>
  <c r="CO72" i="2"/>
  <c r="CO60" i="2"/>
  <c r="CO48" i="2"/>
  <c r="CQ23" i="2"/>
  <c r="BO51" i="3"/>
  <c r="BE10" i="6" s="1"/>
  <c r="CL82" i="2"/>
  <c r="CM59" i="2"/>
  <c r="CM71" i="2"/>
  <c r="CN30" i="2"/>
  <c r="CM47" i="2"/>
  <c r="CM70" i="2"/>
  <c r="CN29" i="2"/>
  <c r="CM46" i="2"/>
  <c r="CM58" i="2"/>
  <c r="CN35" i="2"/>
  <c r="CM76" i="2"/>
  <c r="CM64" i="2"/>
  <c r="CM52" i="2"/>
  <c r="CL83" i="2"/>
  <c r="CL88" i="2"/>
  <c r="BN40" i="4" l="1"/>
  <c r="BA9" i="6" s="1"/>
  <c r="BF259" i="1"/>
  <c r="BW35" i="4"/>
  <c r="BF260" i="1"/>
  <c r="BW36" i="4"/>
  <c r="BF258" i="1"/>
  <c r="BW34" i="4"/>
  <c r="AZ248" i="1"/>
  <c r="BQ25" i="4"/>
  <c r="AZ243" i="1"/>
  <c r="BQ20" i="4"/>
  <c r="AY256" i="1"/>
  <c r="BP32" i="4"/>
  <c r="AY254" i="1"/>
  <c r="BP30" i="4"/>
  <c r="AY257" i="1"/>
  <c r="BP33" i="4"/>
  <c r="AY241" i="1"/>
  <c r="BP18" i="4"/>
  <c r="AY255" i="1"/>
  <c r="BP31" i="4"/>
  <c r="AY242" i="1"/>
  <c r="BP19" i="4"/>
  <c r="BP6" i="4"/>
  <c r="AY229" i="1"/>
  <c r="AY230" i="1"/>
  <c r="BP7" i="4"/>
  <c r="AY231" i="1"/>
  <c r="BP8" i="4"/>
  <c r="AX232" i="1"/>
  <c r="BO9" i="4"/>
  <c r="AY261" i="1"/>
  <c r="BP37" i="4"/>
  <c r="AX236" i="1"/>
  <c r="BO13" i="4"/>
  <c r="AY244" i="1"/>
  <c r="BP21" i="4"/>
  <c r="BQ49" i="3"/>
  <c r="BQ35" i="3"/>
  <c r="BT42" i="3"/>
  <c r="BQ43" i="3"/>
  <c r="BS31" i="3"/>
  <c r="BS45" i="3"/>
  <c r="BQ44" i="3"/>
  <c r="BQ30" i="3"/>
  <c r="BQ29" i="3"/>
  <c r="BT28" i="3"/>
  <c r="CQ5" i="2"/>
  <c r="CP81" i="2"/>
  <c r="CR19" i="2"/>
  <c r="CR16" i="2"/>
  <c r="CQ57" i="2"/>
  <c r="CQ45" i="2"/>
  <c r="CQ69" i="2"/>
  <c r="CR6" i="2"/>
  <c r="CP48" i="2"/>
  <c r="CP60" i="2"/>
  <c r="CQ7" i="2"/>
  <c r="CP72" i="2"/>
  <c r="CR17" i="2"/>
  <c r="CR23" i="2"/>
  <c r="CO84" i="2"/>
  <c r="CQ11" i="2"/>
  <c r="CM83" i="2"/>
  <c r="CO35" i="2"/>
  <c r="CN52" i="2"/>
  <c r="CN64" i="2"/>
  <c r="CN76" i="2"/>
  <c r="CM82" i="2"/>
  <c r="CM88" i="2"/>
  <c r="CN71" i="2"/>
  <c r="CN47" i="2"/>
  <c r="CN59" i="2"/>
  <c r="CO30" i="2"/>
  <c r="CN58" i="2"/>
  <c r="CN70" i="2"/>
  <c r="CO29" i="2"/>
  <c r="CN46" i="2"/>
  <c r="BP37" i="3"/>
  <c r="BP51" i="3"/>
  <c r="BF10" i="6" s="1"/>
  <c r="BG258" i="1" l="1"/>
  <c r="BX34" i="4"/>
  <c r="BG260" i="1"/>
  <c r="BX36" i="4"/>
  <c r="BG259" i="1"/>
  <c r="BX35" i="4"/>
  <c r="BO40" i="4"/>
  <c r="BB9" i="6" s="1"/>
  <c r="AZ231" i="1"/>
  <c r="BQ8" i="4"/>
  <c r="AZ256" i="1"/>
  <c r="BQ32" i="4"/>
  <c r="AY236" i="1"/>
  <c r="BP13" i="4"/>
  <c r="AZ229" i="1"/>
  <c r="BQ6" i="4"/>
  <c r="AZ255" i="1"/>
  <c r="BQ31" i="4"/>
  <c r="AZ261" i="1"/>
  <c r="BQ37" i="4"/>
  <c r="BA243" i="1"/>
  <c r="BR20" i="4"/>
  <c r="AZ244" i="1"/>
  <c r="BQ21" i="4"/>
  <c r="AZ241" i="1"/>
  <c r="BQ18" i="4"/>
  <c r="BQ33" i="4"/>
  <c r="AZ257" i="1"/>
  <c r="AZ254" i="1"/>
  <c r="BQ30" i="4"/>
  <c r="AZ230" i="1"/>
  <c r="BQ7" i="4"/>
  <c r="AY232" i="1"/>
  <c r="BP9" i="4"/>
  <c r="AZ242" i="1"/>
  <c r="BQ19" i="4"/>
  <c r="BA248" i="1"/>
  <c r="BR25" i="4"/>
  <c r="BR49" i="3"/>
  <c r="BR35" i="3"/>
  <c r="BU42" i="3"/>
  <c r="BT45" i="3"/>
  <c r="BR44" i="3"/>
  <c r="BR43" i="3"/>
  <c r="BR29" i="3"/>
  <c r="BR30" i="3"/>
  <c r="BT31" i="3"/>
  <c r="BU28" i="3"/>
  <c r="CS19" i="2"/>
  <c r="CS6" i="2"/>
  <c r="CQ81" i="2"/>
  <c r="CS16" i="2"/>
  <c r="CR69" i="2"/>
  <c r="CR45" i="2"/>
  <c r="CR57" i="2"/>
  <c r="CR5" i="2"/>
  <c r="CS23" i="2"/>
  <c r="CS17" i="2"/>
  <c r="CR11" i="2"/>
  <c r="CR7" i="2"/>
  <c r="CQ48" i="2"/>
  <c r="CQ60" i="2"/>
  <c r="CQ72" i="2"/>
  <c r="CP84" i="2"/>
  <c r="BQ37" i="3"/>
  <c r="CN82" i="2"/>
  <c r="CP29" i="2"/>
  <c r="CO46" i="2"/>
  <c r="CO70" i="2"/>
  <c r="CO58" i="2"/>
  <c r="CN88" i="2"/>
  <c r="CP35" i="2"/>
  <c r="CO52" i="2"/>
  <c r="CO76" i="2"/>
  <c r="CO64" i="2"/>
  <c r="CO59" i="2"/>
  <c r="CO71" i="2"/>
  <c r="CO47" i="2"/>
  <c r="CP30" i="2"/>
  <c r="BQ51" i="3"/>
  <c r="BG10" i="6" s="1"/>
  <c r="CN83" i="2"/>
  <c r="BP40" i="4" l="1"/>
  <c r="BC9" i="6" s="1"/>
  <c r="BH259" i="1"/>
  <c r="BY35" i="4"/>
  <c r="BH260" i="1"/>
  <c r="BY36" i="4"/>
  <c r="BH258" i="1"/>
  <c r="BY34" i="4"/>
  <c r="BB248" i="1"/>
  <c r="BS25" i="4"/>
  <c r="AZ236" i="1"/>
  <c r="BQ13" i="4"/>
  <c r="BA261" i="1"/>
  <c r="BR37" i="4"/>
  <c r="BA256" i="1"/>
  <c r="BR32" i="4"/>
  <c r="BR30" i="4"/>
  <c r="BA254" i="1"/>
  <c r="BR33" i="4"/>
  <c r="BA257" i="1"/>
  <c r="BA242" i="1"/>
  <c r="BR19" i="4"/>
  <c r="AZ232" i="1"/>
  <c r="BQ9" i="4"/>
  <c r="BA241" i="1"/>
  <c r="BR18" i="4"/>
  <c r="BA229" i="1"/>
  <c r="BR6" i="4"/>
  <c r="BR31" i="4"/>
  <c r="BA255" i="1"/>
  <c r="BA231" i="1"/>
  <c r="BR8" i="4"/>
  <c r="BB243" i="1"/>
  <c r="BS20" i="4"/>
  <c r="BA230" i="1"/>
  <c r="BR7" i="4"/>
  <c r="BA244" i="1"/>
  <c r="BR21" i="4"/>
  <c r="BS49" i="3"/>
  <c r="BS35" i="3"/>
  <c r="BS44" i="3"/>
  <c r="BU45" i="3"/>
  <c r="BS43" i="3"/>
  <c r="BV42" i="3"/>
  <c r="BS30" i="3"/>
  <c r="BU31" i="3"/>
  <c r="BV28" i="3"/>
  <c r="BS29" i="3"/>
  <c r="CS5" i="2"/>
  <c r="CT16" i="2"/>
  <c r="CS45" i="2"/>
  <c r="CS57" i="2"/>
  <c r="CS69" i="2"/>
  <c r="CT6" i="2"/>
  <c r="CR81" i="2"/>
  <c r="CT19" i="2"/>
  <c r="CS7" i="2"/>
  <c r="CR48" i="2"/>
  <c r="CR60" i="2"/>
  <c r="CR72" i="2"/>
  <c r="CQ84" i="2"/>
  <c r="CS11" i="2"/>
  <c r="CT17" i="2"/>
  <c r="CT23" i="2"/>
  <c r="BR51" i="3"/>
  <c r="BH10" i="6" s="1"/>
  <c r="CO83" i="2"/>
  <c r="BR37" i="3"/>
  <c r="CO82" i="2"/>
  <c r="CO88" i="2"/>
  <c r="CP58" i="2"/>
  <c r="CQ29" i="2"/>
  <c r="CP70" i="2"/>
  <c r="CP46" i="2"/>
  <c r="CQ30" i="2"/>
  <c r="CP71" i="2"/>
  <c r="CP47" i="2"/>
  <c r="CP59" i="2"/>
  <c r="CQ35" i="2"/>
  <c r="CP52" i="2"/>
  <c r="CP64" i="2"/>
  <c r="CP76" i="2"/>
  <c r="BI258" i="1" l="1"/>
  <c r="BZ34" i="4"/>
  <c r="BI260" i="1"/>
  <c r="BZ36" i="4"/>
  <c r="BI259" i="1"/>
  <c r="BZ35" i="4"/>
  <c r="BQ40" i="4"/>
  <c r="BD9" i="6" s="1"/>
  <c r="BB230" i="1"/>
  <c r="BS7" i="4"/>
  <c r="BS6" i="4"/>
  <c r="BB229" i="1"/>
  <c r="BS33" i="4"/>
  <c r="BB257" i="1"/>
  <c r="BB244" i="1"/>
  <c r="BS21" i="4"/>
  <c r="BB256" i="1"/>
  <c r="BS32" i="4"/>
  <c r="BB242" i="1"/>
  <c r="BS19" i="4"/>
  <c r="BC243" i="1"/>
  <c r="BT20" i="4"/>
  <c r="BA236" i="1"/>
  <c r="BR13" i="4"/>
  <c r="BS31" i="4"/>
  <c r="BB255" i="1"/>
  <c r="BB261" i="1"/>
  <c r="BS37" i="4"/>
  <c r="BB254" i="1"/>
  <c r="BS30" i="4"/>
  <c r="BA232" i="1"/>
  <c r="BR9" i="4"/>
  <c r="BB231" i="1"/>
  <c r="BS8" i="4"/>
  <c r="BB241" i="1"/>
  <c r="BS18" i="4"/>
  <c r="BC248" i="1"/>
  <c r="BT25" i="4"/>
  <c r="BT49" i="3"/>
  <c r="BT35" i="3"/>
  <c r="BT43" i="3"/>
  <c r="BV45" i="3"/>
  <c r="BT44" i="3"/>
  <c r="BW42" i="3"/>
  <c r="BT29" i="3"/>
  <c r="BT30" i="3"/>
  <c r="BW28" i="3"/>
  <c r="BV31" i="3"/>
  <c r="CU19" i="2"/>
  <c r="CU6" i="2"/>
  <c r="CS81" i="2"/>
  <c r="CU16" i="2"/>
  <c r="CT69" i="2"/>
  <c r="CT45" i="2"/>
  <c r="CT57" i="2"/>
  <c r="CT5" i="2"/>
  <c r="CU23" i="2"/>
  <c r="CR84" i="2"/>
  <c r="CU17" i="2"/>
  <c r="CT11" i="2"/>
  <c r="CS48" i="2"/>
  <c r="CT7" i="2"/>
  <c r="CS60" i="2"/>
  <c r="CS72" i="2"/>
  <c r="BS37" i="3"/>
  <c r="CQ59" i="2"/>
  <c r="CQ71" i="2"/>
  <c r="CQ47" i="2"/>
  <c r="CR30" i="2"/>
  <c r="CP82" i="2"/>
  <c r="BS51" i="3"/>
  <c r="BI10" i="6" s="1"/>
  <c r="CP88" i="2"/>
  <c r="CR29" i="2"/>
  <c r="CQ58" i="2"/>
  <c r="CQ70" i="2"/>
  <c r="CQ46" i="2"/>
  <c r="CR35" i="2"/>
  <c r="CQ52" i="2"/>
  <c r="CQ76" i="2"/>
  <c r="CQ64" i="2"/>
  <c r="CP83" i="2"/>
  <c r="BR40" i="4" l="1"/>
  <c r="BE9" i="6" s="1"/>
  <c r="BJ259" i="1"/>
  <c r="CA35" i="4"/>
  <c r="BJ260" i="1"/>
  <c r="CA36" i="4"/>
  <c r="BJ258" i="1"/>
  <c r="CA34" i="4"/>
  <c r="BC254" i="1"/>
  <c r="BT30" i="4"/>
  <c r="BC241" i="1"/>
  <c r="BT18" i="4"/>
  <c r="BC229" i="1"/>
  <c r="BT6" i="4"/>
  <c r="BC242" i="1"/>
  <c r="BT19" i="4"/>
  <c r="BC244" i="1"/>
  <c r="BT21" i="4"/>
  <c r="BD248" i="1"/>
  <c r="BU25" i="4"/>
  <c r="BU20" i="4"/>
  <c r="BD243" i="1"/>
  <c r="BC231" i="1"/>
  <c r="BT8" i="4"/>
  <c r="BT31" i="4"/>
  <c r="BC255" i="1"/>
  <c r="BB236" i="1"/>
  <c r="BS13" i="4"/>
  <c r="BT33" i="4"/>
  <c r="BC257" i="1"/>
  <c r="BC261" i="1"/>
  <c r="BT37" i="4"/>
  <c r="BC256" i="1"/>
  <c r="BT32" i="4"/>
  <c r="BB232" i="1"/>
  <c r="BS9" i="4"/>
  <c r="BC230" i="1"/>
  <c r="BT7" i="4"/>
  <c r="BU49" i="3"/>
  <c r="BU35" i="3"/>
  <c r="BU30" i="3"/>
  <c r="BU44" i="3"/>
  <c r="BW45" i="3"/>
  <c r="BU29" i="3"/>
  <c r="BU43" i="3"/>
  <c r="BX42" i="3"/>
  <c r="BX28" i="3"/>
  <c r="BW31" i="3"/>
  <c r="CV16" i="2"/>
  <c r="CU45" i="2"/>
  <c r="CU57" i="2"/>
  <c r="CU69" i="2"/>
  <c r="CV6" i="2"/>
  <c r="CT81" i="2"/>
  <c r="CU5" i="2"/>
  <c r="CV19" i="2"/>
  <c r="CU11" i="2"/>
  <c r="CV17" i="2"/>
  <c r="CS84" i="2"/>
  <c r="CU7" i="2"/>
  <c r="CT72" i="2"/>
  <c r="CT60" i="2"/>
  <c r="CT48" i="2"/>
  <c r="CV23" i="2"/>
  <c r="BT37" i="3"/>
  <c r="CS35" i="2"/>
  <c r="CR52" i="2"/>
  <c r="CR64" i="2"/>
  <c r="CR76" i="2"/>
  <c r="CQ82" i="2"/>
  <c r="BT51" i="3"/>
  <c r="BJ10" i="6" s="1"/>
  <c r="CS29" i="2"/>
  <c r="CR46" i="2"/>
  <c r="CR58" i="2"/>
  <c r="CR70" i="2"/>
  <c r="CR71" i="2"/>
  <c r="CS30" i="2"/>
  <c r="CR47" i="2"/>
  <c r="CR59" i="2"/>
  <c r="CQ83" i="2"/>
  <c r="CQ88" i="2"/>
  <c r="BS40" i="4" l="1"/>
  <c r="BF9" i="6" s="1"/>
  <c r="BK258" i="1"/>
  <c r="CC34" i="4" s="1"/>
  <c r="CB34" i="4"/>
  <c r="BK260" i="1"/>
  <c r="CC36" i="4" s="1"/>
  <c r="CB36" i="4"/>
  <c r="BK259" i="1"/>
  <c r="CC35" i="4" s="1"/>
  <c r="CB35" i="4"/>
  <c r="BD261" i="1"/>
  <c r="BU37" i="4"/>
  <c r="BD231" i="1"/>
  <c r="BU8" i="4"/>
  <c r="BD229" i="1"/>
  <c r="BU6" i="4"/>
  <c r="BC236" i="1"/>
  <c r="BT13" i="4"/>
  <c r="BU33" i="4"/>
  <c r="BD257" i="1"/>
  <c r="BD256" i="1"/>
  <c r="BU32" i="4"/>
  <c r="BE248" i="1"/>
  <c r="BV25" i="4"/>
  <c r="BD241" i="1"/>
  <c r="BU18" i="4"/>
  <c r="BD230" i="1"/>
  <c r="BU7" i="4"/>
  <c r="BE243" i="1"/>
  <c r="BV20" i="4"/>
  <c r="BU31" i="4"/>
  <c r="BD255" i="1"/>
  <c r="BD242" i="1"/>
  <c r="BU19" i="4"/>
  <c r="BC232" i="1"/>
  <c r="BT9" i="4"/>
  <c r="BD244" i="1"/>
  <c r="BU21" i="4"/>
  <c r="BU30" i="4"/>
  <c r="BD254" i="1"/>
  <c r="BV49" i="3"/>
  <c r="BV35" i="3"/>
  <c r="BX45" i="3"/>
  <c r="BV43" i="3"/>
  <c r="BY42" i="3"/>
  <c r="BV44" i="3"/>
  <c r="BV29" i="3"/>
  <c r="BY28" i="3"/>
  <c r="BV30" i="3"/>
  <c r="BX31" i="3"/>
  <c r="CU81" i="2"/>
  <c r="CV5" i="2"/>
  <c r="CV57" i="2"/>
  <c r="CV69" i="2"/>
  <c r="CV45" i="2"/>
  <c r="CV7" i="2"/>
  <c r="CU72" i="2"/>
  <c r="CU60" i="2"/>
  <c r="CU48" i="2"/>
  <c r="CT84" i="2"/>
  <c r="CV11" i="2"/>
  <c r="BU37" i="3"/>
  <c r="CR82" i="2"/>
  <c r="CR83" i="2"/>
  <c r="BU51" i="3"/>
  <c r="BK10" i="6" s="1"/>
  <c r="CS59" i="2"/>
  <c r="CT30" i="2"/>
  <c r="CS71" i="2"/>
  <c r="CS47" i="2"/>
  <c r="CT29" i="2"/>
  <c r="CS70" i="2"/>
  <c r="CS46" i="2"/>
  <c r="CS58" i="2"/>
  <c r="CR88" i="2"/>
  <c r="CT35" i="2"/>
  <c r="CS76" i="2"/>
  <c r="CS64" i="2"/>
  <c r="CS52" i="2"/>
  <c r="BT40" i="4" l="1"/>
  <c r="BG9" i="6" s="1"/>
  <c r="BZ42" i="3"/>
  <c r="BD236" i="1"/>
  <c r="BU13" i="4"/>
  <c r="BV30" i="4"/>
  <c r="BE254" i="1"/>
  <c r="BD232" i="1"/>
  <c r="BU9" i="4"/>
  <c r="BF243" i="1"/>
  <c r="BW20" i="4"/>
  <c r="BE256" i="1"/>
  <c r="BV32" i="4"/>
  <c r="BE231" i="1"/>
  <c r="BV8" i="4"/>
  <c r="BE241" i="1"/>
  <c r="BV18" i="4"/>
  <c r="BE229" i="1"/>
  <c r="BV6" i="4"/>
  <c r="BE257" i="1"/>
  <c r="BV33" i="4"/>
  <c r="BF248" i="1"/>
  <c r="BW25" i="4"/>
  <c r="BE242" i="1"/>
  <c r="BV19" i="4"/>
  <c r="BE230" i="1"/>
  <c r="BV7" i="4"/>
  <c r="BE261" i="1"/>
  <c r="BV37" i="4"/>
  <c r="BE255" i="1"/>
  <c r="BV31" i="4"/>
  <c r="BE244" i="1"/>
  <c r="BV21" i="4"/>
  <c r="BW49" i="3"/>
  <c r="BW35" i="3"/>
  <c r="BW29" i="3"/>
  <c r="BW43" i="3"/>
  <c r="BY45" i="3"/>
  <c r="BW44" i="3"/>
  <c r="BW30" i="3"/>
  <c r="BY31" i="3"/>
  <c r="BZ28" i="3"/>
  <c r="CV81" i="2"/>
  <c r="CU84" i="2"/>
  <c r="CV60" i="2"/>
  <c r="CV48" i="2"/>
  <c r="CV72" i="2"/>
  <c r="CS88" i="2"/>
  <c r="CU29" i="2"/>
  <c r="CT58" i="2"/>
  <c r="CT70" i="2"/>
  <c r="CT46" i="2"/>
  <c r="CU35" i="2"/>
  <c r="CT76" i="2"/>
  <c r="CT52" i="2"/>
  <c r="CT64" i="2"/>
  <c r="CS83" i="2"/>
  <c r="BV37" i="3"/>
  <c r="CS82" i="2"/>
  <c r="CU30" i="2"/>
  <c r="CT71" i="2"/>
  <c r="CT47" i="2"/>
  <c r="CT59" i="2"/>
  <c r="BV51" i="3"/>
  <c r="BL10" i="6" s="1"/>
  <c r="BU40" i="4" l="1"/>
  <c r="BH9" i="6" s="1"/>
  <c r="BE232" i="1"/>
  <c r="BV9" i="4"/>
  <c r="BF241" i="1"/>
  <c r="BW18" i="4"/>
  <c r="BF255" i="1"/>
  <c r="BW31" i="4"/>
  <c r="BF257" i="1"/>
  <c r="BW33" i="4"/>
  <c r="BF230" i="1"/>
  <c r="BW7" i="4"/>
  <c r="BF229" i="1"/>
  <c r="BW6" i="4"/>
  <c r="BF256" i="1"/>
  <c r="BW32" i="4"/>
  <c r="BF231" i="1"/>
  <c r="BW8" i="4"/>
  <c r="BG248" i="1"/>
  <c r="BX25" i="4"/>
  <c r="BF254" i="1"/>
  <c r="BW30" i="4"/>
  <c r="BF261" i="1"/>
  <c r="BW37" i="4"/>
  <c r="BF244" i="1"/>
  <c r="BW21" i="4"/>
  <c r="BF242" i="1"/>
  <c r="BW19" i="4"/>
  <c r="BG243" i="1"/>
  <c r="BX20" i="4"/>
  <c r="BE236" i="1"/>
  <c r="BV13" i="4"/>
  <c r="BX49" i="3"/>
  <c r="BX35" i="3"/>
  <c r="BX43" i="3"/>
  <c r="BW51" i="3"/>
  <c r="BM10" i="6" s="1"/>
  <c r="BZ45" i="3"/>
  <c r="BX44" i="3"/>
  <c r="BX29" i="3"/>
  <c r="BZ31" i="3"/>
  <c r="BX30" i="3"/>
  <c r="CV84" i="2"/>
  <c r="BW37" i="3"/>
  <c r="CT88" i="2"/>
  <c r="CT82" i="2"/>
  <c r="CT83" i="2"/>
  <c r="CU59" i="2"/>
  <c r="CU71" i="2"/>
  <c r="CV30" i="2"/>
  <c r="CU47" i="2"/>
  <c r="CU58" i="2"/>
  <c r="CV29" i="2"/>
  <c r="CU46" i="2"/>
  <c r="CU70" i="2"/>
  <c r="CV35" i="2"/>
  <c r="CU64" i="2"/>
  <c r="CU52" i="2"/>
  <c r="CU76" i="2"/>
  <c r="BV40" i="4" l="1"/>
  <c r="BI9" i="6" s="1"/>
  <c r="BF236" i="1"/>
  <c r="BW13" i="4"/>
  <c r="BG256" i="1"/>
  <c r="BX32" i="4"/>
  <c r="BH243" i="1"/>
  <c r="BY20" i="4"/>
  <c r="BG231" i="1"/>
  <c r="BX8" i="4"/>
  <c r="BG257" i="1"/>
  <c r="BX33" i="4"/>
  <c r="BG242" i="1"/>
  <c r="BX19" i="4"/>
  <c r="BH248" i="1"/>
  <c r="BY25" i="4"/>
  <c r="BG255" i="1"/>
  <c r="BX31" i="4"/>
  <c r="BX30" i="4"/>
  <c r="BG254" i="1"/>
  <c r="BG229" i="1"/>
  <c r="BX6" i="4"/>
  <c r="BG230" i="1"/>
  <c r="BX7" i="4"/>
  <c r="BG261" i="1"/>
  <c r="BX37" i="4"/>
  <c r="BG241" i="1"/>
  <c r="BX18" i="4"/>
  <c r="BG244" i="1"/>
  <c r="BX21" i="4"/>
  <c r="BF232" i="1"/>
  <c r="BW9" i="4"/>
  <c r="BY49" i="3"/>
  <c r="BY35" i="3"/>
  <c r="BY43" i="3"/>
  <c r="BY44" i="3"/>
  <c r="BY30" i="3"/>
  <c r="BY29" i="3"/>
  <c r="BX37" i="3"/>
  <c r="CU88" i="2"/>
  <c r="CV71" i="2"/>
  <c r="CV59" i="2"/>
  <c r="CV47" i="2"/>
  <c r="CV58" i="2"/>
  <c r="CV46" i="2"/>
  <c r="CV70" i="2"/>
  <c r="BX51" i="3"/>
  <c r="BN10" i="6" s="1"/>
  <c r="CU83" i="2"/>
  <c r="CV52" i="2"/>
  <c r="CV64" i="2"/>
  <c r="CV76" i="2"/>
  <c r="CU82" i="2"/>
  <c r="BW40" i="4" l="1"/>
  <c r="BJ9" i="6" s="1"/>
  <c r="BZ20" i="4"/>
  <c r="BI243" i="1"/>
  <c r="BH244" i="1"/>
  <c r="BY21" i="4"/>
  <c r="BY6" i="4"/>
  <c r="BH229" i="1"/>
  <c r="BH255" i="1"/>
  <c r="BY31" i="4"/>
  <c r="BH231" i="1"/>
  <c r="BY8" i="4"/>
  <c r="BG232" i="1"/>
  <c r="BX9" i="4"/>
  <c r="BH254" i="1"/>
  <c r="BY30" i="4"/>
  <c r="BH242" i="1"/>
  <c r="BY19" i="4"/>
  <c r="BH256" i="1"/>
  <c r="BY32" i="4"/>
  <c r="BH230" i="1"/>
  <c r="BY7" i="4"/>
  <c r="BI248" i="1"/>
  <c r="BZ25" i="4"/>
  <c r="BH241" i="1"/>
  <c r="BY18" i="4"/>
  <c r="BH261" i="1"/>
  <c r="BY37" i="4"/>
  <c r="BH257" i="1"/>
  <c r="BY33" i="4"/>
  <c r="BG236" i="1"/>
  <c r="BX13" i="4"/>
  <c r="BZ49" i="3"/>
  <c r="BZ35" i="3"/>
  <c r="BZ43" i="3"/>
  <c r="BZ44" i="3"/>
  <c r="BZ29" i="3"/>
  <c r="BZ30" i="3"/>
  <c r="CV88" i="2"/>
  <c r="CV83" i="2"/>
  <c r="BY37" i="3"/>
  <c r="BY51" i="3"/>
  <c r="BO10" i="6" s="1"/>
  <c r="G10" i="6" s="1"/>
  <c r="CV82" i="2"/>
  <c r="BX40" i="4" l="1"/>
  <c r="BK9" i="6" s="1"/>
  <c r="BI229" i="1"/>
  <c r="BZ6" i="4"/>
  <c r="BZ31" i="4"/>
  <c r="BI255" i="1"/>
  <c r="BJ248" i="1"/>
  <c r="CA25" i="4"/>
  <c r="BZ33" i="4"/>
  <c r="BI257" i="1"/>
  <c r="BI230" i="1"/>
  <c r="BZ7" i="4"/>
  <c r="BH232" i="1"/>
  <c r="BY9" i="4"/>
  <c r="BI244" i="1"/>
  <c r="BZ21" i="4"/>
  <c r="BI242" i="1"/>
  <c r="BZ19" i="4"/>
  <c r="BJ243" i="1"/>
  <c r="CA20" i="4"/>
  <c r="BI241" i="1"/>
  <c r="BZ18" i="4"/>
  <c r="BH236" i="1"/>
  <c r="BY13" i="4"/>
  <c r="BZ30" i="4"/>
  <c r="BI254" i="1"/>
  <c r="BI261" i="1"/>
  <c r="BZ37" i="4"/>
  <c r="BI256" i="1"/>
  <c r="BZ32" i="4"/>
  <c r="BI231" i="1"/>
  <c r="BZ8" i="4"/>
  <c r="BZ51" i="3"/>
  <c r="BZ37" i="3"/>
  <c r="BY40" i="4" l="1"/>
  <c r="BL9" i="6" s="1"/>
  <c r="BJ242" i="1"/>
  <c r="CA19" i="4"/>
  <c r="BI236" i="1"/>
  <c r="BZ13" i="4"/>
  <c r="CA31" i="4"/>
  <c r="BJ255" i="1"/>
  <c r="BJ231" i="1"/>
  <c r="CA8" i="4"/>
  <c r="BK248" i="1"/>
  <c r="CC25" i="4" s="1"/>
  <c r="CB25" i="4"/>
  <c r="BJ256" i="1"/>
  <c r="CA32" i="4"/>
  <c r="BI232" i="1"/>
  <c r="BZ9" i="4"/>
  <c r="BJ261" i="1"/>
  <c r="CA37" i="4"/>
  <c r="CB20" i="4"/>
  <c r="BK243" i="1"/>
  <c r="CC20" i="4" s="1"/>
  <c r="BJ230" i="1"/>
  <c r="CA7" i="4"/>
  <c r="BJ244" i="1"/>
  <c r="CA21" i="4"/>
  <c r="BJ241" i="1"/>
  <c r="CA18" i="4"/>
  <c r="CA30" i="4"/>
  <c r="BJ254" i="1"/>
  <c r="BJ257" i="1"/>
  <c r="CA33" i="4"/>
  <c r="BJ229" i="1"/>
  <c r="CA6" i="4"/>
  <c r="BZ40" i="4" l="1"/>
  <c r="BM9" i="6" s="1"/>
  <c r="BK241" i="1"/>
  <c r="CC18" i="4" s="1"/>
  <c r="CB18" i="4"/>
  <c r="BK261" i="1"/>
  <c r="CC37" i="4" s="1"/>
  <c r="CB37" i="4"/>
  <c r="BK231" i="1"/>
  <c r="CC8" i="4" s="1"/>
  <c r="CB8" i="4"/>
  <c r="BK244" i="1"/>
  <c r="CC21" i="4" s="1"/>
  <c r="CB21" i="4"/>
  <c r="BK230" i="1"/>
  <c r="CC7" i="4" s="1"/>
  <c r="CB7" i="4"/>
  <c r="BJ236" i="1"/>
  <c r="CA13" i="4"/>
  <c r="BJ232" i="1"/>
  <c r="CA9" i="4"/>
  <c r="BK256" i="1"/>
  <c r="CC32" i="4" s="1"/>
  <c r="CB32" i="4"/>
  <c r="CB6" i="4"/>
  <c r="BK229" i="1"/>
  <c r="CC6" i="4" s="1"/>
  <c r="BK255" i="1"/>
  <c r="CC31" i="4" s="1"/>
  <c r="CB31" i="4"/>
  <c r="CB33" i="4"/>
  <c r="BK257" i="1"/>
  <c r="CC33" i="4" s="1"/>
  <c r="CB30" i="4"/>
  <c r="BK254" i="1"/>
  <c r="CC30" i="4" s="1"/>
  <c r="BK242" i="1"/>
  <c r="CC19" i="4" s="1"/>
  <c r="CB19" i="4"/>
  <c r="CA40" i="4" l="1"/>
  <c r="BN9" i="6" s="1"/>
  <c r="BK236" i="1"/>
  <c r="CC13" i="4" s="1"/>
  <c r="CB13" i="4"/>
  <c r="BK232" i="1"/>
  <c r="CC9" i="4" s="1"/>
  <c r="CB9" i="4"/>
  <c r="CC40" i="4" l="1"/>
  <c r="CB40" i="4"/>
  <c r="BO9" i="6" s="1"/>
  <c r="G9" i="6" s="1"/>
  <c r="G15" i="6" l="1"/>
  <c r="G17" i="6" s="1"/>
</calcChain>
</file>

<file path=xl/sharedStrings.xml><?xml version="1.0" encoding="utf-8"?>
<sst xmlns="http://schemas.openxmlformats.org/spreadsheetml/2006/main" count="690" uniqueCount="288">
  <si>
    <t>From Southampton and Southampton Airport</t>
  </si>
  <si>
    <t>From Winchester</t>
  </si>
  <si>
    <t>From Basingstoke</t>
  </si>
  <si>
    <t>From Clapham Junction</t>
  </si>
  <si>
    <t>Anytime Day Single</t>
  </si>
  <si>
    <t>First Anytime Day Single</t>
  </si>
  <si>
    <t>Tikects Price for SWML (£) in 2015</t>
  </si>
  <si>
    <t>Cheapest Standard Single</t>
  </si>
  <si>
    <t>Cheapest First Class Single</t>
  </si>
  <si>
    <t>Super Off-Peak Day Single</t>
  </si>
  <si>
    <t>From Woking</t>
  </si>
  <si>
    <t>Season Standard Class</t>
  </si>
  <si>
    <t>Season First Class</t>
  </si>
  <si>
    <t>Demand Proportion by year</t>
  </si>
  <si>
    <t>Financial year</t>
  </si>
  <si>
    <t>Franchised ordinary fares Advanced</t>
  </si>
  <si>
    <t>Franchised ordinary fares Anytime/Peak</t>
  </si>
  <si>
    <t>Franchised ordinary fares Off-Peak</t>
  </si>
  <si>
    <t>Franchised ordinary fares Other</t>
  </si>
  <si>
    <t>Franchised ordinary fares Total</t>
  </si>
  <si>
    <t>Franchised season tickets</t>
  </si>
  <si>
    <t>Total franchised passenger journeys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</si>
  <si>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</si>
  <si>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</si>
  <si>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</si>
  <si>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</si>
  <si>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</si>
  <si>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</si>
  <si>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</si>
  <si>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</si>
  <si>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</si>
  <si>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</si>
  <si>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</si>
  <si>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</si>
  <si>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Seats Typical 9 carriage train</t>
  </si>
  <si>
    <t>First Class</t>
  </si>
  <si>
    <t>Standard Class</t>
  </si>
  <si>
    <t>Proportion Used</t>
  </si>
  <si>
    <t>N.A.</t>
  </si>
  <si>
    <t>Total proportion (1)</t>
  </si>
  <si>
    <t>Ticket category</t>
  </si>
  <si>
    <t>Real terms change in average price year on year</t>
  </si>
  <si>
    <t>Real terms change in average price year on 2004</t>
  </si>
  <si>
    <t>London and South East (2)</t>
  </si>
  <si>
    <t>Advance</t>
  </si>
  <si>
    <t>Anytime</t>
  </si>
  <si>
    <t>Off Peak</t>
  </si>
  <si>
    <t>Season</t>
  </si>
  <si>
    <t>Super Off Peak</t>
  </si>
  <si>
    <t>Other</t>
  </si>
  <si>
    <t>All tickets</t>
  </si>
  <si>
    <t>Revenue per journey</t>
  </si>
  <si>
    <t>January
2004</t>
  </si>
  <si>
    <t>January
2005</t>
  </si>
  <si>
    <t>January
2006</t>
  </si>
  <si>
    <t>January
2007</t>
  </si>
  <si>
    <t>January
2008</t>
  </si>
  <si>
    <t>January
2009</t>
  </si>
  <si>
    <t>January
2010</t>
  </si>
  <si>
    <t>January
2011</t>
  </si>
  <si>
    <t>January
2012</t>
  </si>
  <si>
    <t>January
2013</t>
  </si>
  <si>
    <t>January
2014</t>
  </si>
  <si>
    <t>Average
change in
   price (%) 2014 on 2013</t>
  </si>
  <si>
    <t>Expenditure
weights (%)
total (6)</t>
  </si>
  <si>
    <t>Real terms
change in
average price
2014 on 2013</t>
  </si>
  <si>
    <t>Real terms
change in
average price
2014 on 2004</t>
  </si>
  <si>
    <t>Regional (4)</t>
  </si>
  <si>
    <t>For evolution of Prices</t>
  </si>
  <si>
    <t>Entries
Full</t>
  </si>
  <si>
    <t>Entries
Reduced</t>
  </si>
  <si>
    <t>Entries
Season</t>
  </si>
  <si>
    <t>Entries
Total</t>
  </si>
  <si>
    <t>Exits
Full</t>
  </si>
  <si>
    <t>Exits
Reduced</t>
  </si>
  <si>
    <t>Exits
Season</t>
  </si>
  <si>
    <t>Exits
Total</t>
  </si>
  <si>
    <t>0910
Entries &amp; Exits</t>
  </si>
  <si>
    <t>0809
Entries &amp; Exits</t>
  </si>
  <si>
    <t>0910 interchanges</t>
  </si>
  <si>
    <t>Station Usage</t>
  </si>
  <si>
    <t>For the year 2015, we assume the increase give by National Rail Enquiries</t>
  </si>
  <si>
    <t>Tikects Price for SWML (£) in 2014</t>
  </si>
  <si>
    <t>Tikects Price for SWML (£) in 2013</t>
  </si>
  <si>
    <t>Tikects Price for SWML (£) in 2012</t>
  </si>
  <si>
    <t>Tikects Price for SWML (£) in 2011</t>
  </si>
  <si>
    <t>Tikects Price for SWML (£) in 2010</t>
  </si>
  <si>
    <t>Tikects Price for SWML (£) in 2009</t>
  </si>
  <si>
    <t>Divided by 480 (Exactly as ORR does)</t>
  </si>
  <si>
    <t>Expected Travel Time</t>
  </si>
  <si>
    <t>1h 17 minutes</t>
  </si>
  <si>
    <t>Minutes</t>
  </si>
  <si>
    <t>Woking</t>
  </si>
  <si>
    <t>30 minutes</t>
  </si>
  <si>
    <t>Clapham</t>
  </si>
  <si>
    <t>9 minutes</t>
  </si>
  <si>
    <t>1011
Entries &amp; Exits</t>
  </si>
  <si>
    <t>1011 interchanges</t>
  </si>
  <si>
    <t>Values for Reliability</t>
  </si>
  <si>
    <t>Values for Ride Quality/Comfort</t>
  </si>
  <si>
    <t>Value for quality per passenger</t>
  </si>
  <si>
    <t>Trips to/from London</t>
  </si>
  <si>
    <t>On time (Delay &lt; 5 minutes)</t>
  </si>
  <si>
    <t>value in minutes per minute of average lateness for commuters</t>
  </si>
  <si>
    <t>value in minutes per minute of average lateness for non commuters</t>
  </si>
  <si>
    <t xml:space="preserve">value in minutes per minute of average lateness </t>
  </si>
  <si>
    <t>Commuters</t>
  </si>
  <si>
    <t>Delay between 6 and 30 minutes (20 minutes for calculation)</t>
  </si>
  <si>
    <t>Cancelation and significant lateness (&gt;30 minutes) (For calculation 50 minutes)</t>
  </si>
  <si>
    <t xml:space="preserve">From link:  http://orr.gov.uk/statistics/published-stats/station-usage-estimates </t>
  </si>
  <si>
    <t>Total Travel Time</t>
  </si>
  <si>
    <t>In hours</t>
  </si>
  <si>
    <t>For Woking</t>
  </si>
  <si>
    <t>Trips to/from London. Commuters (Season)</t>
  </si>
  <si>
    <t>Trips to/from London. Non commuters</t>
  </si>
  <si>
    <t>Commuters. Season.</t>
  </si>
  <si>
    <t>Full. Any time</t>
  </si>
  <si>
    <t>Season Standard</t>
  </si>
  <si>
    <t>Season First Tickets</t>
  </si>
  <si>
    <t>Reduced. Off Peak and Cheapest</t>
  </si>
  <si>
    <t>Parameters to be introduced in sheet RideQuality</t>
  </si>
  <si>
    <t>Trips to/from London. Full. Any Time.</t>
  </si>
  <si>
    <t>Trips to/from London. Reduced. Off Peak and cheapest.</t>
  </si>
  <si>
    <t>We could also diffenciate between value perquality per type of users (i.e. standard or first)</t>
  </si>
  <si>
    <t>Proportion of people travelling with some kind of card</t>
  </si>
  <si>
    <t>Average discount for each card</t>
  </si>
  <si>
    <t>Total</t>
  </si>
  <si>
    <t>Households</t>
  </si>
  <si>
    <t>Noise valuation</t>
  </si>
  <si>
    <t>% growth of houses (Nellthorp et al)</t>
  </si>
  <si>
    <t>% growth of the value (Nellthorp et al)</t>
  </si>
  <si>
    <t>Hours</t>
  </si>
  <si>
    <t>Demand constant as year 2009</t>
  </si>
  <si>
    <t>Discount rate</t>
  </si>
  <si>
    <t xml:space="preserve">Period </t>
  </si>
  <si>
    <t>60 years</t>
  </si>
  <si>
    <t>LCC from VITSM</t>
  </si>
  <si>
    <t>Installation cost of USP</t>
  </si>
  <si>
    <t>RideQuality/Comfort</t>
  </si>
  <si>
    <t>Reliability</t>
  </si>
  <si>
    <t>Efect on Rolling Stock</t>
  </si>
  <si>
    <t>Service life for trains</t>
  </si>
  <si>
    <t>Years</t>
  </si>
  <si>
    <t>Service life for trains with USD</t>
  </si>
  <si>
    <t>Annual investment</t>
  </si>
  <si>
    <t>Million £</t>
  </si>
  <si>
    <t>Carriages</t>
  </si>
  <si>
    <t>Million £ per carriage</t>
  </si>
  <si>
    <t>We take per carriage</t>
  </si>
  <si>
    <t>According to Railway technical.com a locomotive can cost around 5 times more</t>
  </si>
  <si>
    <t>Per locomotive</t>
  </si>
  <si>
    <t xml:space="preserve">However, in the SWML there are no traisn with locomotive (Spread traction). </t>
  </si>
  <si>
    <t>In order to accomodote the additional demand, We can go from 8 to 12 carriages per train</t>
  </si>
  <si>
    <t>Demand grows until 2029. Since then it will be constant</t>
  </si>
  <si>
    <t>Check the webiste TAG DATA for parameters and values in the UK</t>
  </si>
  <si>
    <t>Year</t>
  </si>
  <si>
    <t>Base Year</t>
  </si>
  <si>
    <t>Number of USP</t>
  </si>
  <si>
    <t>Cost per USP</t>
  </si>
  <si>
    <t xml:space="preserve">Distance considered between Southampton and London Waterloo </t>
  </si>
  <si>
    <t>km</t>
  </si>
  <si>
    <t>miles</t>
  </si>
  <si>
    <t>PRICES TICKETS TO BE USED IN THE TAB CBA:</t>
  </si>
  <si>
    <t>Demand GDP deflator to be used in the tab CBA:</t>
  </si>
  <si>
    <t>GDP Deflator annual growth %</t>
  </si>
  <si>
    <t>RPI converted through GDP deflator</t>
  </si>
  <si>
    <t>i.e. Real Terms</t>
  </si>
  <si>
    <t>For Rolling Stock:</t>
  </si>
  <si>
    <t>With USP</t>
  </si>
  <si>
    <t>No USP</t>
  </si>
  <si>
    <t>Leisure</t>
  </si>
  <si>
    <t>Table B.02 from PDFH 5</t>
  </si>
  <si>
    <t>Commuting</t>
  </si>
  <si>
    <t>Business</t>
  </si>
  <si>
    <t>(Full)</t>
  </si>
  <si>
    <t>(Reduced)</t>
  </si>
  <si>
    <t>(Season)</t>
  </si>
  <si>
    <t>Proportion to be used in Demand</t>
  </si>
  <si>
    <t>Full</t>
  </si>
  <si>
    <t>Reduced</t>
  </si>
  <si>
    <t>Demand after applying proportion of commuters, business and leisure</t>
  </si>
  <si>
    <t>Demand To be used in the CBA. Divided by Season, Full and Reduced</t>
  </si>
  <si>
    <t>Option Nellthorp et al</t>
  </si>
  <si>
    <t>Households multiplied by 1 db Reduction</t>
  </si>
  <si>
    <t>Option Web TAG</t>
  </si>
  <si>
    <t>% growth of houses (Table A 1.3 Households Growth)</t>
  </si>
  <si>
    <t>% growth of the value (Table A 1.3 Average GDP per household)</t>
  </si>
  <si>
    <t>I have move forward the years 2034 to 2030. I cap the demand on 2030!</t>
  </si>
  <si>
    <t>£ Valuation of reduction of 1 db Noise</t>
  </si>
  <si>
    <t>Result to £2009</t>
  </si>
  <si>
    <t xml:space="preserve">Average GDP per person (from web TAG table A 1.3) </t>
  </si>
  <si>
    <t>Average value according to Abrantes and Wardman</t>
  </si>
  <si>
    <t xml:space="preserve">For calculation porpuses we assume </t>
  </si>
  <si>
    <t>Interventions are reduced around 20%</t>
  </si>
  <si>
    <t>Approximately 30% of delays are due to track defects</t>
  </si>
  <si>
    <t>Considering average values and values from Wardman</t>
  </si>
  <si>
    <t>Total value for Reliability</t>
  </si>
  <si>
    <t>Market Prices Rail Passenger (table A 1.3 from Web TAG)</t>
  </si>
  <si>
    <t>Working</t>
  </si>
  <si>
    <t>According to VTISM interventions are reduced around 20% and approximately 30% of delays are due to  track defects and networks management (Network Rail, Annual Return 2010)</t>
  </si>
  <si>
    <t>Reliability improvement</t>
  </si>
  <si>
    <t>Improvement of Comfort/Ride Quality</t>
  </si>
  <si>
    <t>Total Tickets paid in the period of 60 Yeas</t>
  </si>
  <si>
    <t xml:space="preserve">Year </t>
  </si>
  <si>
    <t>Total tickets paid</t>
  </si>
  <si>
    <t>Annual (i.e. result divided by 60)</t>
  </si>
  <si>
    <t>Non - Working (other)</t>
  </si>
  <si>
    <t>Considering values for different types of users (communting and business on the one hand and on the other hand leisure)</t>
  </si>
  <si>
    <t>Considering values for different types of users (communting as non- working commuting, business as working, and finally leisure as non working other)</t>
  </si>
  <si>
    <t>Non - Working (commuting)</t>
  </si>
  <si>
    <t>Demand Growth</t>
  </si>
  <si>
    <t>RPI</t>
  </si>
  <si>
    <t>Noise value</t>
  </si>
  <si>
    <t>Min</t>
  </si>
  <si>
    <t>Max</t>
  </si>
  <si>
    <t>Calculation</t>
  </si>
  <si>
    <t>Variation</t>
  </si>
  <si>
    <t>VTISM</t>
  </si>
  <si>
    <t>Rolling Stock</t>
  </si>
  <si>
    <t>Value of time</t>
  </si>
  <si>
    <t>Installation Cost per USP</t>
  </si>
  <si>
    <t>Therefore, an improve of 6% in Reliability is expected. I finally reduce this number to 3%.</t>
  </si>
  <si>
    <t>Do not change, but include it in the sensitivity analysis with 3%</t>
  </si>
  <si>
    <t xml:space="preserve">RPI IN WEB TAG 5.3.1 </t>
  </si>
  <si>
    <t>This is just for Rolling Stock. With the RPI expectation after 20 years in variables sheet.</t>
  </si>
  <si>
    <t>Therefore, reliability si improved by the half of 6%, plus the random model</t>
  </si>
  <si>
    <t>Growth of Households</t>
  </si>
  <si>
    <t>Growth of value of noise</t>
  </si>
  <si>
    <t>Comfort/Ride Quality</t>
  </si>
  <si>
    <t>Do not change, I only change the growth. Just to be conservative</t>
  </si>
  <si>
    <t>Trains on Time</t>
  </si>
  <si>
    <t>Trains Delay</t>
  </si>
  <si>
    <t>Growth of Value of Time for Working</t>
  </si>
  <si>
    <t>Growth of value of time for non Working</t>
  </si>
  <si>
    <t>Proportion of Working Users</t>
  </si>
  <si>
    <t>Value of Reliability for commuters (Working and non working commuters)</t>
  </si>
  <si>
    <t>Value of Reliability for non commuters (Leisure)</t>
  </si>
  <si>
    <t>Proportion of Leisure Users</t>
  </si>
  <si>
    <t>Proportion o Full ticket</t>
  </si>
  <si>
    <t>Proportion of Season Ticket</t>
  </si>
  <si>
    <t xml:space="preserve"> </t>
  </si>
  <si>
    <t xml:space="preserve">We assume a low scenario with an improvement of 1% of ticket price (The maximum valuation would be 10% of ticket price) </t>
  </si>
  <si>
    <t>Households within 80 meters</t>
  </si>
  <si>
    <t>Households (300m)</t>
  </si>
  <si>
    <t>Households (80m)</t>
  </si>
  <si>
    <t xml:space="preserve">Air borne Noise </t>
  </si>
  <si>
    <t>Households 80m multiplied by 1 db Reduction</t>
  </si>
  <si>
    <t>£ Valuation of reduction of 1 db AirNoise</t>
  </si>
  <si>
    <t>£ Valuation of reduction of 1 db GroundBorneNoise</t>
  </si>
  <si>
    <t>£ Valuation of reduction of 1 db AirNoise/2009</t>
  </si>
  <si>
    <t>£ Valuation of reduction of 1 db Ground Borne Noise/2009</t>
  </si>
  <si>
    <t>Air Noise reduction</t>
  </si>
  <si>
    <t>Ground Borne Noise reduction</t>
  </si>
  <si>
    <t>Ground borne Noise</t>
  </si>
  <si>
    <t xml:space="preserve"> Air Noise reduction</t>
  </si>
  <si>
    <t>Our assumption is that we increase Air nosie  1 db and reduce ground borne nosie 5 dB. I use estimations by Nelltorhp because they are more conservatives than Web TAG</t>
  </si>
  <si>
    <t>Ground borne noise reduction</t>
  </si>
  <si>
    <t>Households (80m - 300m)</t>
  </si>
  <si>
    <t>Households (80m - 300m) multiplied by 1 db Reduction</t>
  </si>
  <si>
    <t>Portsmouth Harbour</t>
  </si>
  <si>
    <t>Portsmout &amp; Southsea</t>
  </si>
  <si>
    <t>Fratton</t>
  </si>
  <si>
    <t>Havant</t>
  </si>
  <si>
    <t>Petersfield</t>
  </si>
  <si>
    <t>Haslemere</t>
  </si>
  <si>
    <t xml:space="preserve">Guildford </t>
  </si>
  <si>
    <t>1h 36 minutes</t>
  </si>
  <si>
    <t>1h 31 minutes</t>
  </si>
  <si>
    <t>1h 27 minutes</t>
  </si>
  <si>
    <t>1h 3 minutes</t>
  </si>
  <si>
    <t>49 minutes</t>
  </si>
  <si>
    <t>36 minutes</t>
  </si>
  <si>
    <t xml:space="preserve">From Southampton </t>
  </si>
  <si>
    <t>`</t>
  </si>
  <si>
    <t>CPI update prices. I consider 1%.</t>
  </si>
  <si>
    <t>Tickets price in 2016</t>
  </si>
  <si>
    <t>From Portsmouth Harbour</t>
  </si>
  <si>
    <t>From Portsmouth &amp; Southsea</t>
  </si>
  <si>
    <t>From Fratton</t>
  </si>
  <si>
    <t>From Havant</t>
  </si>
  <si>
    <t>From Petersfield</t>
  </si>
  <si>
    <t>From Haslemere</t>
  </si>
  <si>
    <t xml:space="preserve">From Guildford </t>
  </si>
  <si>
    <t>Passengers journeys by ticket type. Table 12.7 ORR.</t>
  </si>
  <si>
    <t>January 2015</t>
  </si>
  <si>
    <t>Average
change in
   price (%) 2015 on 2014</t>
  </si>
  <si>
    <t>2014 - 2015</t>
  </si>
  <si>
    <t>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</si>
</sst>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-#,##0;"/>
    <numFmt numFmtId="165" formatCode="&quot;£&quot;* #,##0"/>
    <numFmt numFmtId="166" formatCode="#,##0.00%;[Red]\(#,##0.00%\);&quot;-&quot;"/>
    <numFmt numFmtId="167" formatCode="#,##0;[Red]\(#,##0\);&quot;-&quot;"/>
    <numFmt numFmtId="168" formatCode="#,##0.00;[Red]\(#,##0.00\);&quot;-&quot;"/>
    <numFmt numFmtId="169" formatCode="_(* #,##0_);_(* \(#,##0\)"/>
    <numFmt numFmtId="170" formatCode="mmm\-yyyy"/>
    <numFmt numFmtId="171" formatCode="dd\ mmm\ yy"/>
    <numFmt numFmtId="172" formatCode="#,##0;\(#,##0\)"/>
    <numFmt numFmtId="173" formatCode="#,##0;\-#,##0;\-"/>
    <numFmt numFmtId="174" formatCode="#,##0_ ;[Red]\(#,##0\);\-\ "/>
    <numFmt numFmtId="175" formatCode="#,##0;\(#,##0\);\-"/>
    <numFmt numFmtId="176" formatCode="&quot;þ&quot;;&quot;ý&quot;;&quot;¨&quot;"/>
    <numFmt numFmtId="177" formatCode="&quot;þ&quot;;;&quot;o&quot;;"/>
    <numFmt numFmtId="178" formatCode="#,##0.00\ ;[Red]\(#,##0.00\)"/>
    <numFmt numFmtId="179" formatCode="#,##0_);\(#,##0\);&quot;- &quot;;&quot;  &quot;@"/>
    <numFmt numFmtId="180" formatCode="[Green]&quot;é&quot;;[Red]&quot;ê&quot;;&quot;ù&quot;;"/>
    <numFmt numFmtId="181" formatCode="_([$€-2]* #,##0.00_);_([$€-2]* \(#,##0.00\);_([$€-2]* &quot;-&quot;??_)"/>
    <numFmt numFmtId="182" formatCode="#,##0;\(#,##0\);0"/>
    <numFmt numFmtId="183" formatCode="_(* #,##0.0_%_);_(* \(#,##0.0_%\);_(* &quot; - &quot;_%_);_(@_)"/>
    <numFmt numFmtId="184" formatCode="_(* #,##0.0%_);_(* \(#,##0.0%\);_(* &quot; - &quot;\%_);_(@_)"/>
    <numFmt numFmtId="185" formatCode="_(* #,##0.0_);_(* \(#,##0.0\);_(* &quot; - &quot;_);_(@_)"/>
    <numFmt numFmtId="186" formatCode="_(* #,##0.00_);_(* \(#,##0.00\);_(* &quot; - &quot;_);_(@_)"/>
    <numFmt numFmtId="187" formatCode="_(* #,##0.000_);_(* \(#,##0.000\);_(* &quot; - &quot;_);_(@_)"/>
    <numFmt numFmtId="188" formatCode="#,##0;\(#,##0\);&quot;-&quot;"/>
    <numFmt numFmtId="189" formatCode="#,##0.0000_);\(#,##0.0000\);&quot;- &quot;;&quot;  &quot;@"/>
    <numFmt numFmtId="190" formatCode="#,##0\ ;[Red]\(#,##0\);\-\ "/>
    <numFmt numFmtId="191" formatCode="&quot;Lookup&quot;\ 0"/>
    <numFmt numFmtId="192" formatCode="###0_);\(###0\);&quot;- &quot;;&quot;  &quot;@"/>
    <numFmt numFmtId="193" formatCode="&quot;£&quot;#,##0.00"/>
    <numFmt numFmtId="194" formatCode="0.0"/>
    <numFmt numFmtId="195" formatCode="0.0%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Book Antiqua"/>
      <family val="1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10"/>
      <name val="ZapfDingbats"/>
      <family val="2"/>
    </font>
    <font>
      <sz val="10"/>
      <color indexed="9"/>
      <name val="Arial"/>
      <family val="2"/>
    </font>
    <font>
      <sz val="10"/>
      <color indexed="4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u val="singleAccounting"/>
      <sz val="11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0"/>
      <color indexed="50"/>
      <name val="Arial"/>
      <family val="2"/>
    </font>
    <font>
      <sz val="16"/>
      <name val="Wingdings"/>
      <charset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0"/>
      <name val="Arial"/>
      <family val="2"/>
    </font>
    <font>
      <sz val="10"/>
      <name val="Helvetica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sz val="8"/>
      <color indexed="12"/>
      <name val="Helv"/>
    </font>
    <font>
      <b/>
      <sz val="8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24"/>
      <name val="Arial"/>
      <family val="2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8"/>
      <color indexed="47"/>
      <name val="Arial"/>
      <family val="2"/>
    </font>
    <font>
      <sz val="14"/>
      <name val="Helvetica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10"/>
      <color indexed="54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Helvetica"/>
      <family val="2"/>
    </font>
    <font>
      <sz val="10"/>
      <color indexed="19"/>
      <name val="Arial"/>
      <family val="2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0"/>
      <name val="Helv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24"/>
      <name val="Helvetica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30"/>
        <bgColor indexed="64"/>
      </patternFill>
    </fill>
    <fill>
      <patternFill patternType="mediumGray">
        <fgColor indexed="11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indexed="1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3">
    <xf numFmtId="0" fontId="0" fillId="0" borderId="0"/>
    <xf numFmtId="0" fontId="1" fillId="0" borderId="0"/>
    <xf numFmtId="0" fontId="4" fillId="0" borderId="0"/>
    <xf numFmtId="166" fontId="7" fillId="5" borderId="0" applyBorder="0">
      <alignment horizontal="center"/>
      <protection locked="0"/>
    </xf>
    <xf numFmtId="166" fontId="7" fillId="0" borderId="0" applyFill="0" applyBorder="0">
      <alignment horizontal="center"/>
    </xf>
    <xf numFmtId="0" fontId="6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7" fillId="5" borderId="0" applyBorder="0">
      <alignment horizontal="center"/>
      <protection locked="0"/>
    </xf>
    <xf numFmtId="167" fontId="7" fillId="0" borderId="0" applyFill="0" applyBorder="0">
      <alignment horizontal="center"/>
    </xf>
    <xf numFmtId="168" fontId="7" fillId="5" borderId="0" applyBorder="0">
      <alignment horizontal="center"/>
      <protection locked="0"/>
    </xf>
    <xf numFmtId="168" fontId="7" fillId="0" borderId="0" applyFill="0" applyBorder="0">
      <alignment horizontal="center"/>
    </xf>
    <xf numFmtId="0" fontId="6" fillId="0" borderId="0"/>
    <xf numFmtId="0" fontId="9" fillId="0" borderId="3">
      <alignment horizontal="center" vertical="center"/>
    </xf>
    <xf numFmtId="0" fontId="10" fillId="6" borderId="3"/>
    <xf numFmtId="0" fontId="11" fillId="0" borderId="0" applyFont="0" applyFill="0" applyBorder="0" applyAlignment="0" applyProtection="0"/>
    <xf numFmtId="169" fontId="12" fillId="6" borderId="3" applyBorder="0"/>
    <xf numFmtId="0" fontId="10" fillId="6" borderId="3">
      <alignment horizontal="center"/>
      <protection locked="0"/>
    </xf>
    <xf numFmtId="170" fontId="13" fillId="0" borderId="0" applyNumberFormat="0" applyFont="0" applyAlignment="0">
      <alignment vertical="top"/>
    </xf>
    <xf numFmtId="0" fontId="14" fillId="0" borderId="0"/>
    <xf numFmtId="171" fontId="15" fillId="7" borderId="2">
      <alignment horizontal="center"/>
    </xf>
    <xf numFmtId="172" fontId="6" fillId="8" borderId="4" applyNumberFormat="0">
      <alignment vertical="center"/>
    </xf>
    <xf numFmtId="173" fontId="6" fillId="9" borderId="4" applyNumberFormat="0">
      <alignment vertical="center"/>
    </xf>
    <xf numFmtId="1" fontId="6" fillId="10" borderId="4" applyNumberFormat="0">
      <alignment vertical="center"/>
    </xf>
    <xf numFmtId="172" fontId="6" fillId="10" borderId="4" applyNumberFormat="0">
      <alignment vertical="center"/>
    </xf>
    <xf numFmtId="172" fontId="6" fillId="4" borderId="4" applyNumberFormat="0">
      <alignment vertical="center"/>
    </xf>
    <xf numFmtId="174" fontId="16" fillId="0" borderId="0"/>
    <xf numFmtId="3" fontId="6" fillId="0" borderId="4" applyNumberFormat="0">
      <alignment vertical="center"/>
    </xf>
    <xf numFmtId="175" fontId="5" fillId="11" borderId="4" applyNumberFormat="0" applyFont="0" applyAlignment="0">
      <alignment vertical="center"/>
    </xf>
    <xf numFmtId="172" fontId="5" fillId="12" borderId="4" applyNumberFormat="0">
      <alignment vertical="center"/>
    </xf>
    <xf numFmtId="176" fontId="17" fillId="0" borderId="0" applyFill="0" applyBorder="0" applyProtection="0">
      <alignment horizontal="center" vertical="center"/>
    </xf>
    <xf numFmtId="177" fontId="18" fillId="5" borderId="5">
      <alignment horizontal="center" vertical="center"/>
      <protection locked="0"/>
    </xf>
    <xf numFmtId="177" fontId="19" fillId="0" borderId="0" applyFill="0" applyBorder="0">
      <alignment horizontal="center" vertical="center"/>
    </xf>
    <xf numFmtId="0" fontId="20" fillId="0" borderId="0" applyNumberFormat="0">
      <alignment horizontal="center" wrapText="1"/>
    </xf>
    <xf numFmtId="43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6" applyFont="0" applyFill="0" applyBorder="0" applyAlignment="0" applyProtection="0">
      <alignment horizontal="right"/>
    </xf>
    <xf numFmtId="0" fontId="21" fillId="0" borderId="0" applyFill="0" applyBorder="0"/>
    <xf numFmtId="172" fontId="22" fillId="13" borderId="0" applyFont="0" applyAlignment="0">
      <alignment vertical="center" wrapText="1"/>
    </xf>
    <xf numFmtId="172" fontId="23" fillId="13" borderId="2" applyNumberFormat="0" applyBorder="0" applyAlignment="0">
      <alignment vertical="center" wrapText="1"/>
    </xf>
    <xf numFmtId="0" fontId="24" fillId="0" borderId="0"/>
    <xf numFmtId="0" fontId="24" fillId="0" borderId="0"/>
    <xf numFmtId="38" fontId="25" fillId="6" borderId="7"/>
    <xf numFmtId="0" fontId="6" fillId="0" borderId="0" applyFont="0" applyFill="0" applyBorder="0" applyAlignment="0" applyProtection="0"/>
    <xf numFmtId="179" fontId="6" fillId="14" borderId="0" applyNumberFormat="0" applyFon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26" fillId="0" borderId="0" applyFill="0" applyBorder="0">
      <alignment horizontal="center" vertical="center"/>
    </xf>
    <xf numFmtId="181" fontId="6" fillId="0" borderId="0" applyFont="0" applyFill="0" applyBorder="0" applyAlignment="0" applyProtection="0"/>
    <xf numFmtId="0" fontId="6" fillId="15" borderId="8" applyNumberFormat="0">
      <alignment vertical="center"/>
    </xf>
    <xf numFmtId="182" fontId="6" fillId="3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29" fillId="0" borderId="0">
      <alignment horizontal="right" vertical="top"/>
    </xf>
    <xf numFmtId="184" fontId="30" fillId="0" borderId="0">
      <alignment horizontal="right" vertical="top"/>
    </xf>
    <xf numFmtId="0" fontId="29" fillId="0" borderId="0">
      <alignment horizontal="right" vertical="top"/>
    </xf>
    <xf numFmtId="0" fontId="30" fillId="0" borderId="0" applyFill="0" applyBorder="0">
      <alignment horizontal="right" vertical="top"/>
    </xf>
    <xf numFmtId="185" fontId="30" fillId="0" borderId="0" applyFill="0" applyBorder="0">
      <alignment horizontal="right" vertical="top"/>
    </xf>
    <xf numFmtId="186" fontId="30" fillId="0" borderId="0" applyFill="0" applyBorder="0">
      <alignment horizontal="right" vertical="top"/>
    </xf>
    <xf numFmtId="187" fontId="30" fillId="0" borderId="0" applyFill="0" applyBorder="0">
      <alignment horizontal="right" vertical="top"/>
    </xf>
    <xf numFmtId="0" fontId="31" fillId="0" borderId="0">
      <alignment horizontal="center" wrapText="1"/>
    </xf>
    <xf numFmtId="188" fontId="32" fillId="0" borderId="0" applyFill="0" applyBorder="0">
      <alignment vertical="top"/>
    </xf>
    <xf numFmtId="188" fontId="33" fillId="0" borderId="0" applyFill="0" applyBorder="0" applyProtection="0">
      <alignment vertical="top"/>
    </xf>
    <xf numFmtId="188" fontId="34" fillId="0" borderId="0">
      <alignment vertical="top"/>
    </xf>
    <xf numFmtId="41" fontId="30" fillId="0" borderId="0" applyFill="0" applyBorder="0" applyAlignment="0" applyProtection="0">
      <alignment horizontal="right" vertical="top"/>
    </xf>
    <xf numFmtId="188" fontId="23" fillId="0" borderId="0"/>
    <xf numFmtId="0" fontId="30" fillId="0" borderId="0" applyFill="0" applyBorder="0">
      <alignment horizontal="left" vertical="top"/>
    </xf>
    <xf numFmtId="189" fontId="6" fillId="0" borderId="0" applyFont="0" applyFill="0" applyBorder="0" applyAlignment="0" applyProtection="0"/>
    <xf numFmtId="175" fontId="35" fillId="0" borderId="0">
      <alignment vertical="top"/>
    </xf>
    <xf numFmtId="0" fontId="6" fillId="4" borderId="9" applyNumberFormat="0">
      <alignment vertical="center"/>
    </xf>
    <xf numFmtId="0" fontId="36" fillId="0" borderId="0" applyNumberFormat="0" applyFill="0" applyBorder="0" applyAlignment="0" applyProtection="0"/>
    <xf numFmtId="0" fontId="24" fillId="0" borderId="0"/>
    <xf numFmtId="179" fontId="37" fillId="0" borderId="0" applyNumberFormat="0" applyFill="0" applyBorder="0" applyAlignment="0" applyProtection="0"/>
    <xf numFmtId="0" fontId="5" fillId="0" borderId="0"/>
    <xf numFmtId="174" fontId="5" fillId="0" borderId="0"/>
    <xf numFmtId="0" fontId="38" fillId="4" borderId="10" applyNumberFormat="0">
      <alignment vertical="center"/>
    </xf>
    <xf numFmtId="182" fontId="39" fillId="0" borderId="0" applyNumberFormat="0" applyFill="0" applyBorder="0" applyAlignment="0" applyProtection="0"/>
    <xf numFmtId="0" fontId="40" fillId="16" borderId="0"/>
    <xf numFmtId="0" fontId="41" fillId="0" borderId="0" applyFill="0" applyBorder="0" applyProtection="0">
      <alignment horizontal="right"/>
    </xf>
    <xf numFmtId="190" fontId="28" fillId="0" borderId="0" applyFont="0" applyBorder="0" applyAlignment="0"/>
    <xf numFmtId="175" fontId="42" fillId="0" borderId="0">
      <alignment vertical="top"/>
    </xf>
    <xf numFmtId="0" fontId="43" fillId="6" borderId="11"/>
    <xf numFmtId="172" fontId="44" fillId="6" borderId="5" applyNumberFormat="0">
      <alignment vertical="center"/>
      <protection locked="0"/>
    </xf>
    <xf numFmtId="0" fontId="44" fillId="17" borderId="5" applyNumberFormat="0">
      <alignment vertical="center"/>
      <protection locked="0"/>
    </xf>
    <xf numFmtId="0" fontId="6" fillId="6" borderId="12" applyNumberFormat="0" applyAlignment="0">
      <protection locked="0"/>
    </xf>
    <xf numFmtId="0" fontId="45" fillId="0" borderId="0" applyNumberFormat="0" applyFill="0" applyBorder="0" applyProtection="0">
      <alignment horizontal="centerContinuous" wrapText="1"/>
    </xf>
    <xf numFmtId="38" fontId="46" fillId="0" borderId="0"/>
    <xf numFmtId="38" fontId="47" fillId="0" borderId="0"/>
    <xf numFmtId="38" fontId="48" fillId="0" borderId="0"/>
    <xf numFmtId="38" fontId="49" fillId="0" borderId="0"/>
    <xf numFmtId="0" fontId="7" fillId="0" borderId="0"/>
    <xf numFmtId="0" fontId="7" fillId="0" borderId="0"/>
    <xf numFmtId="175" fontId="50" fillId="0" borderId="0" applyFont="0">
      <alignment vertical="top"/>
    </xf>
    <xf numFmtId="0" fontId="51" fillId="0" borderId="0" applyNumberFormat="0" applyFill="0" applyBorder="0" applyAlignment="0" applyProtection="0"/>
    <xf numFmtId="191" fontId="52" fillId="0" borderId="0" applyFill="0">
      <alignment horizontal="center"/>
    </xf>
    <xf numFmtId="0" fontId="53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4" fillId="0" borderId="0" applyNumberFormat="0" applyFill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8" borderId="13" applyNumberFormat="0" applyFont="0" applyFill="0" applyAlignment="0" applyProtection="0">
      <alignment vertical="center"/>
      <protection locked="0"/>
    </xf>
    <xf numFmtId="0" fontId="55" fillId="0" borderId="0" applyNumberFormat="0" applyBorder="0">
      <alignment horizontal="left" vertical="top"/>
    </xf>
    <xf numFmtId="0" fontId="44" fillId="8" borderId="13" applyNumberFormat="0" applyFont="0" applyFill="0" applyAlignment="0" applyProtection="0">
      <alignment vertical="center"/>
      <protection locked="0"/>
    </xf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182" fontId="56" fillId="0" borderId="0" applyNumberFormat="0" applyFill="0" applyBorder="0" applyAlignment="0" applyProtection="0"/>
    <xf numFmtId="192" fontId="6" fillId="0" borderId="0" applyFont="0" applyFill="0" applyBorder="0" applyAlignment="0" applyProtection="0"/>
    <xf numFmtId="0" fontId="6" fillId="0" borderId="3"/>
    <xf numFmtId="0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57" fillId="0" borderId="3" applyBorder="0"/>
    <xf numFmtId="1" fontId="6" fillId="0" borderId="0" applyFont="0" applyFill="0" applyBorder="0" applyAlignment="0" applyProtection="0"/>
    <xf numFmtId="0" fontId="24" fillId="0" borderId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18" borderId="14" applyNumberFormat="0" applyFont="0" applyBorder="0" applyAlignment="0" applyProtection="0"/>
    <xf numFmtId="0" fontId="6" fillId="0" borderId="0" applyFill="0" applyBorder="0" applyProtection="0">
      <alignment vertical="center"/>
    </xf>
    <xf numFmtId="172" fontId="22" fillId="13" borderId="0">
      <alignment vertical="center"/>
    </xf>
    <xf numFmtId="172" fontId="13" fillId="19" borderId="0"/>
    <xf numFmtId="0" fontId="60" fillId="0" borderId="0" applyNumberFormat="0" applyFill="0" applyBorder="0" applyAlignment="0" applyProtection="0"/>
    <xf numFmtId="0" fontId="5" fillId="20" borderId="4" applyNumberFormat="0">
      <alignment horizontal="center" vertical="center"/>
      <protection locked="0"/>
    </xf>
    <xf numFmtId="0" fontId="6" fillId="21" borderId="0"/>
    <xf numFmtId="0" fontId="6" fillId="0" borderId="0" applyNumberFormat="0" applyFill="0" applyBorder="0" applyAlignment="0" applyProtection="0"/>
    <xf numFmtId="0" fontId="28" fillId="0" borderId="15" applyFont="0" applyFill="0" applyAlignment="0" applyProtection="0"/>
    <xf numFmtId="182" fontId="61" fillId="0" borderId="16" applyNumberFormat="0" applyFont="0" applyFill="0" applyAlignment="0" applyProtection="0"/>
    <xf numFmtId="0" fontId="59" fillId="0" borderId="17" applyNumberFormat="0" applyFont="0" applyFill="0" applyAlignment="0" applyProtection="0">
      <alignment horizontal="right"/>
    </xf>
    <xf numFmtId="0" fontId="28" fillId="0" borderId="0" applyFont="0" applyFill="0" applyBorder="0" applyAlignment="0" applyProtection="0"/>
    <xf numFmtId="172" fontId="22" fillId="22" borderId="0" applyNumberFormat="0">
      <alignment vertical="center"/>
    </xf>
    <xf numFmtId="172" fontId="62" fillId="8" borderId="0" applyNumberFormat="0">
      <alignment vertical="center"/>
    </xf>
    <xf numFmtId="172" fontId="63" fillId="0" borderId="0" applyNumberFormat="0">
      <alignment vertical="center"/>
    </xf>
    <xf numFmtId="172" fontId="13" fillId="0" borderId="0" applyNumberFormat="0">
      <alignment vertical="center"/>
    </xf>
    <xf numFmtId="0" fontId="64" fillId="0" borderId="0">
      <alignment vertical="center"/>
    </xf>
    <xf numFmtId="179" fontId="65" fillId="0" borderId="0" applyNumberFormat="0" applyFill="0" applyBorder="0" applyAlignment="0" applyProtection="0"/>
    <xf numFmtId="182" fontId="61" fillId="0" borderId="18" applyNumberFormat="0" applyFont="0" applyFill="0" applyAlignment="0" applyProtection="0"/>
    <xf numFmtId="0" fontId="28" fillId="0" borderId="19" applyFont="0" applyFill="0" applyAlignment="0" applyProtection="0"/>
    <xf numFmtId="172" fontId="5" fillId="23" borderId="0" applyNumberFormat="0" applyFont="0" applyBorder="0" applyAlignment="0" applyProtection="0"/>
    <xf numFmtId="0" fontId="66" fillId="0" borderId="0">
      <alignment vertical="center"/>
    </xf>
    <xf numFmtId="0" fontId="67" fillId="0" borderId="0" applyNumberForma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6" fillId="24" borderId="0" applyNumberFormat="0" applyFon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NumberFormat="1"/>
    <xf numFmtId="193" fontId="0" fillId="0" borderId="0" xfId="0" applyNumberFormat="1"/>
    <xf numFmtId="8" fontId="0" fillId="0" borderId="0" xfId="0" applyNumberFormat="1"/>
    <xf numFmtId="0" fontId="0" fillId="25" borderId="0" xfId="0" applyFill="1"/>
    <xf numFmtId="0" fontId="0" fillId="0" borderId="0" xfId="0" applyFill="1" applyBorder="1"/>
    <xf numFmtId="0" fontId="0" fillId="0" borderId="0" xfId="0" applyFill="1"/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/>
    <xf numFmtId="193" fontId="0" fillId="0" borderId="7" xfId="0" applyNumberFormat="1" applyBorder="1"/>
    <xf numFmtId="0" fontId="68" fillId="0" borderId="0" xfId="0" applyFont="1"/>
    <xf numFmtId="49" fontId="0" fillId="0" borderId="0" xfId="0" applyNumberFormat="1" applyAlignment="1">
      <alignment wrapText="1"/>
    </xf>
    <xf numFmtId="194" fontId="0" fillId="0" borderId="0" xfId="0" applyNumberFormat="1"/>
    <xf numFmtId="195" fontId="0" fillId="0" borderId="0" xfId="0" applyNumberFormat="1"/>
  </cellXfs>
  <cellStyles count="173">
    <cellStyle name="%_2DP_in" xfId="3"/>
    <cellStyle name="%_2DP_out" xfId="4"/>
    <cellStyle name="_example template 14" xfId="5"/>
    <cellStyle name="£'000" xfId="6"/>
    <cellStyle name="£k" xfId="7"/>
    <cellStyle name="0_DP_in" xfId="8"/>
    <cellStyle name="0_DP_out" xfId="9"/>
    <cellStyle name="2_DP_in" xfId="10"/>
    <cellStyle name="2_DP_out" xfId="11"/>
    <cellStyle name="AA Nombre" xfId="12"/>
    <cellStyle name="Anos" xfId="13"/>
    <cellStyle name="assumption 1" xfId="14"/>
    <cellStyle name="assumption 2" xfId="15"/>
    <cellStyle name="assumption 4" xfId="16"/>
    <cellStyle name="Assumption Date" xfId="17"/>
    <cellStyle name="BlankRow" xfId="18"/>
    <cellStyle name="bullet" xfId="19"/>
    <cellStyle name="Calander_heading" xfId="20"/>
    <cellStyle name="Calc" xfId="21"/>
    <cellStyle name="Calc - Blue" xfId="22"/>
    <cellStyle name="Calc - Feed" xfId="23"/>
    <cellStyle name="Calc - Green" xfId="24"/>
    <cellStyle name="Calc - Grey" xfId="25"/>
    <cellStyle name="Calc - Index" xfId="26"/>
    <cellStyle name="Calc - White" xfId="27"/>
    <cellStyle name="Calc - yellow" xfId="28"/>
    <cellStyle name="Calc_BizMo" xfId="29"/>
    <cellStyle name="Check Box" xfId="30"/>
    <cellStyle name="Check Box Input" xfId="31"/>
    <cellStyle name="Check Box_First Capital Connect Financial Model" xfId="32"/>
    <cellStyle name="Column Title" xfId="33"/>
    <cellStyle name="comma (2)" xfId="35"/>
    <cellStyle name="Comma 10" xfId="169"/>
    <cellStyle name="Comma 11" xfId="152"/>
    <cellStyle name="Comma 12" xfId="165"/>
    <cellStyle name="Comma 13" xfId="157"/>
    <cellStyle name="Comma 14" xfId="164"/>
    <cellStyle name="Comma 15" xfId="158"/>
    <cellStyle name="Comma 16" xfId="163"/>
    <cellStyle name="Comma 17" xfId="159"/>
    <cellStyle name="Comma 18" xfId="162"/>
    <cellStyle name="Comma 19" xfId="160"/>
    <cellStyle name="Comma 2" xfId="34"/>
    <cellStyle name="Comma 3" xfId="153"/>
    <cellStyle name="Comma 4" xfId="168"/>
    <cellStyle name="Comma 5" xfId="154"/>
    <cellStyle name="Comma 6" xfId="167"/>
    <cellStyle name="Comma 7" xfId="155"/>
    <cellStyle name="Comma 8" xfId="166"/>
    <cellStyle name="Comma 9" xfId="156"/>
    <cellStyle name="Comma(2)" xfId="36"/>
    <cellStyle name="Control Check" xfId="37"/>
    <cellStyle name="control table footer 1" xfId="38"/>
    <cellStyle name="control table header 1" xfId="39"/>
    <cellStyle name="Curren - Style1" xfId="40"/>
    <cellStyle name="Curren - Style4" xfId="41"/>
    <cellStyle name="Data" xfId="42"/>
    <cellStyle name="Date" xfId="43"/>
    <cellStyle name="Deviant" xfId="44"/>
    <cellStyle name="Dezimal [0]_Compiling Utility Macros" xfId="45"/>
    <cellStyle name="Dezimal_Compiling Utility Macros" xfId="46"/>
    <cellStyle name="Effect Symbol" xfId="47"/>
    <cellStyle name="Euro" xfId="48"/>
    <cellStyle name="Exception" xfId="49"/>
    <cellStyle name="External Links" xfId="50"/>
    <cellStyle name="Extra Large" xfId="51"/>
    <cellStyle name="EY House" xfId="52"/>
    <cellStyle name="EY%colcalc" xfId="53"/>
    <cellStyle name="EY%input" xfId="54"/>
    <cellStyle name="EY%rowcalc" xfId="55"/>
    <cellStyle name="EY0dp" xfId="56"/>
    <cellStyle name="EY1dp" xfId="57"/>
    <cellStyle name="EY2dp" xfId="58"/>
    <cellStyle name="EY3dp" xfId="59"/>
    <cellStyle name="EYColumnHeading" xfId="60"/>
    <cellStyle name="EYHeading1" xfId="61"/>
    <cellStyle name="EYheading2" xfId="62"/>
    <cellStyle name="EYheading3" xfId="63"/>
    <cellStyle name="EYnumber" xfId="64"/>
    <cellStyle name="EYSheetHeader1" xfId="65"/>
    <cellStyle name="EYtext" xfId="66"/>
    <cellStyle name="Factor" xfId="67"/>
    <cellStyle name="Feed Label" xfId="68"/>
    <cellStyle name="Feeder Field" xfId="69"/>
    <cellStyle name="Fine" xfId="70"/>
    <cellStyle name="Fixed3 - Style3" xfId="71"/>
    <cellStyle name="From" xfId="72"/>
    <cellStyle name="FS_reporting" xfId="73"/>
    <cellStyle name="Gap" xfId="74"/>
    <cellStyle name="Greyed out" xfId="75"/>
    <cellStyle name="Header" xfId="76"/>
    <cellStyle name="Heading" xfId="77"/>
    <cellStyle name="HELV8BLUE" xfId="78"/>
    <cellStyle name="hvb mjhgvhgv" xfId="79"/>
    <cellStyle name="Index FITT" xfId="80"/>
    <cellStyle name="Input (StyleA)" xfId="81"/>
    <cellStyle name="Input 1" xfId="82"/>
    <cellStyle name="Input 2" xfId="83"/>
    <cellStyle name="Input Cell" xfId="84"/>
    <cellStyle name="Instructions" xfId="85"/>
    <cellStyle name="KPMG Heading 1" xfId="86"/>
    <cellStyle name="KPMG Heading 2" xfId="87"/>
    <cellStyle name="KPMG Heading 3" xfId="88"/>
    <cellStyle name="KPMG Heading 4" xfId="89"/>
    <cellStyle name="KPMG Normal" xfId="90"/>
    <cellStyle name="KPMG Normal Text" xfId="91"/>
    <cellStyle name="Lable_1" xfId="92"/>
    <cellStyle name="Large" xfId="93"/>
    <cellStyle name="Lookup References" xfId="94"/>
    <cellStyle name="Medium" xfId="95"/>
    <cellStyle name="Milliers [0]_FNMA tasse2" xfId="96"/>
    <cellStyle name="Milliers_FNMA tasse2" xfId="97"/>
    <cellStyle name="Modelling References" xfId="98"/>
    <cellStyle name="Monétaire [0]_FNMA tasse2" xfId="99"/>
    <cellStyle name="Monétaire_FNMA tasse2" xfId="100"/>
    <cellStyle name="Named Range" xfId="101"/>
    <cellStyle name="Named Range Tag" xfId="102"/>
    <cellStyle name="Named Range_Book2" xfId="103"/>
    <cellStyle name="Normal" xfId="0" builtinId="0"/>
    <cellStyle name="Normal 2" xfId="1"/>
    <cellStyle name="Normal 2 2" xfId="105"/>
    <cellStyle name="Normal 2 3" xfId="104"/>
    <cellStyle name="Normal 3" xfId="106"/>
    <cellStyle name="Normal 4" xfId="107"/>
    <cellStyle name="Normal 4 2" xfId="161"/>
    <cellStyle name="Normal 5" xfId="2"/>
    <cellStyle name="Normale_Foglio1" xfId="108"/>
    <cellStyle name="Notes" xfId="109"/>
    <cellStyle name="Number" xfId="110"/>
    <cellStyle name="Number 1" xfId="111"/>
    <cellStyle name="Number Date" xfId="112"/>
    <cellStyle name="Number Date (short)" xfId="113"/>
    <cellStyle name="Number Date_Green" xfId="114"/>
    <cellStyle name="Number II" xfId="115"/>
    <cellStyle name="Number Integer" xfId="116"/>
    <cellStyle name="Percen - Style2" xfId="117"/>
    <cellStyle name="Percent [0%]" xfId="119"/>
    <cellStyle name="Percent [0.00%]" xfId="120"/>
    <cellStyle name="Percent 2" xfId="118"/>
    <cellStyle name="Percent 3" xfId="170"/>
    <cellStyle name="Percent 4" xfId="151"/>
    <cellStyle name="Percent 5" xfId="171"/>
    <cellStyle name="Percent 6" xfId="150"/>
    <cellStyle name="Percent 7" xfId="172"/>
    <cellStyle name="Percent 8" xfId="149"/>
    <cellStyle name="Pourcentage_tocmodel_final" xfId="121"/>
    <cellStyle name="Profile" xfId="122"/>
    <cellStyle name="ROA Ref" xfId="123"/>
    <cellStyle name="Section_End" xfId="124"/>
    <cellStyle name="Sheet Done" xfId="125"/>
    <cellStyle name="Small" xfId="126"/>
    <cellStyle name="Source Field - Green" xfId="127"/>
    <cellStyle name="Standard_Anpassen der Amortisation" xfId="128"/>
    <cellStyle name="Style 1" xfId="129"/>
    <cellStyle name="Sub totals" xfId="130"/>
    <cellStyle name="Subtotal (line)" xfId="131"/>
    <cellStyle name="TableBorder" xfId="132"/>
    <cellStyle name="Thousands" xfId="133"/>
    <cellStyle name="Title 1" xfId="134"/>
    <cellStyle name="Title 2" xfId="135"/>
    <cellStyle name="Title 3" xfId="136"/>
    <cellStyle name="Title 4" xfId="137"/>
    <cellStyle name="Titulo" xfId="138"/>
    <cellStyle name="To" xfId="139"/>
    <cellStyle name="Total (line)" xfId="140"/>
    <cellStyle name="Totals" xfId="141"/>
    <cellStyle name="Under Construction Flag" xfId="142"/>
    <cellStyle name="UserInstructions" xfId="143"/>
    <cellStyle name="Very Large" xfId="144"/>
    <cellStyle name="Währung [0]_Compiling Utility Macros" xfId="145"/>
    <cellStyle name="Währung_Compiling Utility Macros" xfId="146"/>
    <cellStyle name="WingDings" xfId="147"/>
    <cellStyle name="WIP" xfId="148"/>
  </cellStyles>
  <dxfs count="16"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36"/>
  <sheetViews>
    <sheetView tabSelected="1" workbookViewId="0">
      <selection activeCell="B32" sqref="B32"/>
    </sheetView>
  </sheetViews>
  <sheetFormatPr defaultRowHeight="14.25"/>
  <cols>
    <col min="2" max="2" width="86.73046875" customWidth="1"/>
  </cols>
  <sheetData>
    <row r="1" spans="1:27">
      <c r="C1" t="s">
        <v>213</v>
      </c>
      <c r="D1" t="s">
        <v>214</v>
      </c>
      <c r="E1" t="s">
        <v>215</v>
      </c>
      <c r="F1" t="s">
        <v>216</v>
      </c>
    </row>
    <row r="2" spans="1:27">
      <c r="A2" t="s">
        <v>210</v>
      </c>
      <c r="C2" s="2">
        <v>-0.5</v>
      </c>
      <c r="D2" s="2">
        <v>0.5</v>
      </c>
      <c r="E2" s="12">
        <v>1</v>
      </c>
      <c r="F2" s="8">
        <v>0.125</v>
      </c>
      <c r="J2" s="2"/>
      <c r="T2" s="12"/>
      <c r="U2" s="8"/>
      <c r="Z2" s="12"/>
      <c r="AA2" s="8"/>
    </row>
    <row r="3" spans="1:27">
      <c r="A3" t="s">
        <v>211</v>
      </c>
      <c r="C3" s="2">
        <v>-0.6</v>
      </c>
      <c r="D3" s="2">
        <v>0.6</v>
      </c>
      <c r="E3" s="12">
        <v>1</v>
      </c>
      <c r="F3" s="2">
        <v>0.15</v>
      </c>
      <c r="T3" s="12"/>
      <c r="U3" s="2"/>
      <c r="Z3" s="12"/>
      <c r="AA3" s="2"/>
    </row>
    <row r="4" spans="1:27">
      <c r="A4" t="s">
        <v>133</v>
      </c>
      <c r="C4" t="s">
        <v>222</v>
      </c>
      <c r="E4" s="12"/>
      <c r="T4" s="12"/>
      <c r="U4" s="12"/>
      <c r="Z4" s="12"/>
      <c r="AA4" s="12"/>
    </row>
    <row r="5" spans="1:27">
      <c r="A5" t="s">
        <v>217</v>
      </c>
      <c r="C5" s="2">
        <v>-0.5</v>
      </c>
      <c r="D5" s="2">
        <v>0.5</v>
      </c>
      <c r="E5" s="12">
        <v>1</v>
      </c>
      <c r="F5" s="28">
        <v>0.125</v>
      </c>
      <c r="T5" s="12"/>
      <c r="U5" s="2"/>
      <c r="Z5" s="12"/>
      <c r="AA5" s="2"/>
    </row>
    <row r="6" spans="1:27">
      <c r="A6" t="s">
        <v>218</v>
      </c>
      <c r="C6" s="2"/>
      <c r="D6" s="2"/>
      <c r="E6" s="12"/>
      <c r="F6" s="8"/>
      <c r="J6" s="12"/>
      <c r="T6" s="12"/>
      <c r="U6" s="8"/>
      <c r="Z6" s="12"/>
      <c r="AA6" s="8"/>
    </row>
    <row r="7" spans="1:27">
      <c r="A7" t="s">
        <v>219</v>
      </c>
      <c r="C7" s="12" t="s">
        <v>229</v>
      </c>
      <c r="E7" s="12"/>
      <c r="T7" s="12"/>
      <c r="U7" s="12"/>
      <c r="Z7" s="12"/>
      <c r="AA7" s="12"/>
    </row>
    <row r="8" spans="1:27">
      <c r="A8" t="s">
        <v>220</v>
      </c>
      <c r="C8" s="2">
        <v>-0.33</v>
      </c>
      <c r="D8" s="2">
        <v>0.33</v>
      </c>
      <c r="E8" s="12">
        <v>1</v>
      </c>
      <c r="F8" s="2">
        <v>8.2500000000000004E-2</v>
      </c>
      <c r="T8" s="12"/>
      <c r="U8" s="2"/>
      <c r="Z8" s="12"/>
      <c r="AA8" s="2"/>
    </row>
    <row r="9" spans="1:27">
      <c r="A9" t="s">
        <v>212</v>
      </c>
      <c r="C9" t="s">
        <v>229</v>
      </c>
      <c r="E9" s="12"/>
      <c r="F9" s="2"/>
      <c r="T9" s="12"/>
      <c r="U9" s="2"/>
      <c r="Z9" s="12"/>
      <c r="AA9" s="2"/>
    </row>
    <row r="10" spans="1:27">
      <c r="A10" t="s">
        <v>226</v>
      </c>
      <c r="C10" s="2">
        <v>-0.1</v>
      </c>
      <c r="D10" s="2">
        <v>0.1</v>
      </c>
      <c r="E10" s="12">
        <v>1.1000000000000001</v>
      </c>
      <c r="F10" s="8">
        <v>2.5000000000000001E-2</v>
      </c>
      <c r="T10" s="12"/>
      <c r="U10" s="8"/>
      <c r="Z10" s="12"/>
      <c r="AA10" s="8"/>
    </row>
    <row r="11" spans="1:27">
      <c r="A11" t="s">
        <v>251</v>
      </c>
      <c r="C11" s="2">
        <v>-1</v>
      </c>
      <c r="D11" s="2">
        <v>1</v>
      </c>
      <c r="E11" s="12">
        <v>1</v>
      </c>
      <c r="F11" s="2">
        <v>0.25</v>
      </c>
      <c r="T11" s="12"/>
      <c r="U11" s="2"/>
      <c r="Z11" s="12"/>
      <c r="AA11" s="2"/>
    </row>
    <row r="12" spans="1:27" s="12" customFormat="1">
      <c r="A12" s="12" t="s">
        <v>252</v>
      </c>
      <c r="C12" s="2">
        <v>-0.2</v>
      </c>
      <c r="D12" s="2">
        <v>0.2</v>
      </c>
      <c r="E12" s="12">
        <v>1</v>
      </c>
      <c r="F12" s="2">
        <v>0.05</v>
      </c>
      <c r="U12" s="2"/>
      <c r="AA12" s="2"/>
    </row>
    <row r="13" spans="1:27" s="12" customFormat="1">
      <c r="C13" s="2"/>
      <c r="D13" s="2"/>
      <c r="F13" s="8"/>
      <c r="G13" s="25"/>
      <c r="U13" s="2"/>
      <c r="AA13" s="2"/>
    </row>
    <row r="14" spans="1:27">
      <c r="A14" t="s">
        <v>200</v>
      </c>
      <c r="C14" s="2">
        <v>-0.5</v>
      </c>
      <c r="D14" s="2">
        <v>0.5</v>
      </c>
      <c r="E14" s="12">
        <v>0.5</v>
      </c>
      <c r="F14" s="8">
        <v>0.125</v>
      </c>
      <c r="H14" t="s">
        <v>240</v>
      </c>
      <c r="T14" s="12"/>
      <c r="U14" s="8"/>
      <c r="Z14" s="12"/>
      <c r="AA14" s="8"/>
    </row>
    <row r="15" spans="1:27">
      <c r="A15" t="s">
        <v>227</v>
      </c>
      <c r="C15" s="2">
        <v>-0.1</v>
      </c>
      <c r="D15" s="2">
        <v>0.1</v>
      </c>
      <c r="E15" s="12">
        <v>1.1000000000000001</v>
      </c>
      <c r="F15" s="8">
        <v>2.5000000000000001E-2</v>
      </c>
      <c r="J15" s="12"/>
      <c r="T15" s="12"/>
      <c r="U15" s="8"/>
      <c r="Z15" s="12"/>
      <c r="AA15" s="8"/>
    </row>
    <row r="16" spans="1:27">
      <c r="A16" t="s">
        <v>228</v>
      </c>
      <c r="C16" s="2">
        <v>-1</v>
      </c>
      <c r="D16" s="2">
        <v>1</v>
      </c>
      <c r="E16" s="12">
        <v>1</v>
      </c>
      <c r="F16" s="8">
        <v>0.25</v>
      </c>
      <c r="T16" s="12"/>
      <c r="U16" s="8"/>
      <c r="Z16" s="12"/>
      <c r="AA16" s="8"/>
    </row>
    <row r="17" spans="1:27">
      <c r="A17" t="s">
        <v>230</v>
      </c>
      <c r="C17" s="2">
        <v>-0.05</v>
      </c>
      <c r="D17" s="2">
        <v>0.05</v>
      </c>
      <c r="E17" s="12">
        <v>1</v>
      </c>
      <c r="F17" s="8">
        <v>1.2500000000000001E-2</v>
      </c>
      <c r="T17" s="12"/>
      <c r="U17" s="8"/>
      <c r="Z17" s="12"/>
      <c r="AA17" s="8"/>
    </row>
    <row r="18" spans="1:27">
      <c r="A18" t="s">
        <v>231</v>
      </c>
      <c r="C18" s="2">
        <v>-0.1</v>
      </c>
      <c r="D18" s="2">
        <v>0.1</v>
      </c>
      <c r="E18" s="12">
        <v>1</v>
      </c>
      <c r="F18" s="8">
        <v>2.5000000000000001E-2</v>
      </c>
      <c r="T18" s="12"/>
      <c r="U18" s="8"/>
      <c r="Z18" s="12"/>
      <c r="AA18" s="8"/>
    </row>
    <row r="19" spans="1:27">
      <c r="A19" t="s">
        <v>232</v>
      </c>
      <c r="C19" s="2">
        <v>-0.2</v>
      </c>
      <c r="D19" s="2">
        <v>0.2</v>
      </c>
      <c r="E19" s="12">
        <v>1</v>
      </c>
      <c r="F19" s="2">
        <v>0.05</v>
      </c>
      <c r="J19" s="12"/>
      <c r="T19" s="12"/>
      <c r="U19" s="2"/>
      <c r="Z19" s="12"/>
      <c r="AA19" s="2"/>
    </row>
    <row r="20" spans="1:27">
      <c r="A20" t="s">
        <v>233</v>
      </c>
      <c r="C20" s="2">
        <v>-0.2</v>
      </c>
      <c r="D20" s="2">
        <v>0.2</v>
      </c>
      <c r="E20" s="12">
        <v>1</v>
      </c>
      <c r="F20" s="2">
        <v>0.05</v>
      </c>
      <c r="G20" s="12"/>
      <c r="J20" s="12"/>
      <c r="T20" s="12"/>
      <c r="U20" s="2"/>
      <c r="Z20" s="12"/>
      <c r="AA20" s="2"/>
    </row>
    <row r="21" spans="1:27">
      <c r="A21" t="s">
        <v>235</v>
      </c>
      <c r="C21" s="2">
        <v>-0.1</v>
      </c>
      <c r="D21" s="2">
        <v>0.1</v>
      </c>
      <c r="E21" s="12">
        <v>1.1000000000000001</v>
      </c>
      <c r="F21" s="8">
        <v>2.5000000000000001E-2</v>
      </c>
      <c r="J21" s="12"/>
      <c r="T21" s="12"/>
      <c r="U21" s="8"/>
      <c r="Z21" s="12"/>
      <c r="AA21" s="8"/>
    </row>
    <row r="22" spans="1:27">
      <c r="A22" s="12" t="s">
        <v>236</v>
      </c>
      <c r="C22" s="2">
        <v>-0.1</v>
      </c>
      <c r="D22" s="2">
        <v>0.1</v>
      </c>
      <c r="E22" s="12">
        <v>0.9</v>
      </c>
      <c r="F22" s="8">
        <v>2.5000000000000001E-2</v>
      </c>
      <c r="J22" s="12"/>
      <c r="T22" s="12"/>
      <c r="U22" s="8"/>
      <c r="Z22" s="12"/>
      <c r="AA22" s="8"/>
    </row>
    <row r="23" spans="1:27">
      <c r="A23" t="s">
        <v>234</v>
      </c>
      <c r="C23" s="2">
        <v>-0.1</v>
      </c>
      <c r="D23" s="2">
        <v>0.1</v>
      </c>
      <c r="E23" s="12">
        <v>1</v>
      </c>
      <c r="F23" s="8">
        <v>2.5000000000000001E-2</v>
      </c>
      <c r="T23" s="12"/>
      <c r="U23" s="8"/>
      <c r="Z23" s="12"/>
      <c r="AA23" s="8"/>
    </row>
    <row r="24" spans="1:27">
      <c r="A24" t="s">
        <v>237</v>
      </c>
      <c r="C24" s="2">
        <v>-0.1</v>
      </c>
      <c r="D24" s="2">
        <v>0.1</v>
      </c>
      <c r="E24" s="12">
        <v>1</v>
      </c>
      <c r="F24" s="8">
        <v>2.5000000000000001E-2</v>
      </c>
      <c r="T24" s="12"/>
      <c r="U24" s="8"/>
      <c r="Z24" s="12"/>
      <c r="AA24" s="8"/>
    </row>
    <row r="25" spans="1:27">
      <c r="A25" t="s">
        <v>238</v>
      </c>
      <c r="C25" s="2">
        <v>-0.1</v>
      </c>
      <c r="D25" s="2">
        <v>0.1</v>
      </c>
      <c r="E25" s="12">
        <v>1</v>
      </c>
      <c r="F25" s="8">
        <v>2.5000000000000001E-2</v>
      </c>
      <c r="T25" s="12"/>
      <c r="U25" s="8"/>
      <c r="Z25" s="12"/>
      <c r="AA25" s="8"/>
    </row>
    <row r="26" spans="1:27">
      <c r="A26" t="s">
        <v>239</v>
      </c>
      <c r="C26" s="2">
        <v>-0.1</v>
      </c>
      <c r="D26" s="2">
        <v>0.1</v>
      </c>
      <c r="E26" s="12">
        <v>1</v>
      </c>
      <c r="F26" s="8">
        <v>2.5000000000000001E-2</v>
      </c>
      <c r="T26" s="12"/>
      <c r="U26" s="8"/>
      <c r="Z26" s="12"/>
      <c r="AA26" s="8"/>
    </row>
    <row r="27" spans="1:27">
      <c r="A27" t="s">
        <v>124</v>
      </c>
      <c r="C27" s="2">
        <v>-0.2</v>
      </c>
      <c r="D27" s="2">
        <v>0.2</v>
      </c>
      <c r="E27" s="12">
        <v>1</v>
      </c>
      <c r="F27" s="2">
        <v>0.05</v>
      </c>
      <c r="T27" s="12"/>
      <c r="U27" s="2"/>
      <c r="Z27" s="12"/>
      <c r="AA27" s="2"/>
    </row>
    <row r="28" spans="1:27">
      <c r="A28" s="12" t="s">
        <v>125</v>
      </c>
      <c r="C28" s="2">
        <v>-0.33</v>
      </c>
      <c r="D28" s="2">
        <v>0.33</v>
      </c>
      <c r="E28" s="12">
        <v>0.90909099999999998</v>
      </c>
      <c r="F28" s="2">
        <v>0.08</v>
      </c>
      <c r="T28" s="12"/>
      <c r="U28" s="2"/>
      <c r="Z28" s="12"/>
      <c r="AA28" s="2"/>
    </row>
    <row r="29" spans="1:27">
      <c r="E29" s="12"/>
      <c r="M29" s="12"/>
      <c r="N29" s="2"/>
    </row>
    <row r="30" spans="1:27">
      <c r="H30" s="12"/>
      <c r="I30" s="12"/>
      <c r="M30" s="12"/>
      <c r="N30" s="2"/>
    </row>
    <row r="31" spans="1:27">
      <c r="M31" s="12"/>
      <c r="N31" s="2"/>
    </row>
    <row r="32" spans="1:27">
      <c r="C32" t="s">
        <v>240</v>
      </c>
      <c r="H32" s="12"/>
      <c r="I32" s="12"/>
    </row>
    <row r="33" spans="6:8">
      <c r="G33" s="2"/>
      <c r="H33" s="2"/>
    </row>
    <row r="34" spans="6:8">
      <c r="G34" s="12"/>
    </row>
    <row r="36" spans="6:8">
      <c r="F3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P334"/>
  <sheetViews>
    <sheetView topLeftCell="A268" workbookViewId="0">
      <selection activeCell="F70" sqref="F70"/>
    </sheetView>
  </sheetViews>
  <sheetFormatPr defaultRowHeight="14.25"/>
  <cols>
    <col min="1" max="1" width="23.3984375" customWidth="1"/>
    <col min="3" max="4" width="25.73046875" customWidth="1"/>
    <col min="5" max="5" width="24.59765625" customWidth="1"/>
    <col min="6" max="6" width="29.73046875" customWidth="1"/>
    <col min="7" max="7" width="22.59765625" customWidth="1"/>
    <col min="8" max="8" width="22.3984375" customWidth="1"/>
    <col min="9" max="9" width="20.3984375" customWidth="1"/>
    <col min="11" max="11" width="17" customWidth="1"/>
    <col min="17" max="17" width="9.1328125" style="12"/>
    <col min="30" max="30" width="12.73046875" bestFit="1" customWidth="1"/>
    <col min="33" max="33" width="12.73046875" bestFit="1" customWidth="1"/>
    <col min="57" max="57" width="12.73046875" bestFit="1" customWidth="1"/>
    <col min="63" max="63" width="12.73046875" bestFit="1" customWidth="1"/>
  </cols>
  <sheetData>
    <row r="1" spans="1:12" s="12" customFormat="1">
      <c r="A1" s="12" t="s">
        <v>275</v>
      </c>
      <c r="D1" s="12" t="s">
        <v>7</v>
      </c>
      <c r="E1" s="12" t="s">
        <v>8</v>
      </c>
      <c r="F1" s="12" t="s">
        <v>9</v>
      </c>
      <c r="G1" s="12" t="s">
        <v>4</v>
      </c>
      <c r="H1" s="12" t="s">
        <v>5</v>
      </c>
      <c r="I1" s="12" t="s">
        <v>11</v>
      </c>
      <c r="J1" s="12" t="s">
        <v>88</v>
      </c>
      <c r="K1" s="12" t="s">
        <v>12</v>
      </c>
      <c r="L1" s="12" t="s">
        <v>88</v>
      </c>
    </row>
    <row r="2" spans="1:12" s="12" customFormat="1">
      <c r="A2" s="12" t="s">
        <v>276</v>
      </c>
      <c r="D2" s="12">
        <v>33.4</v>
      </c>
      <c r="E2" s="12">
        <v>58.2</v>
      </c>
      <c r="F2" s="12">
        <v>33.4</v>
      </c>
      <c r="G2" s="12">
        <v>35.200000000000003</v>
      </c>
      <c r="H2" s="12">
        <v>58.2</v>
      </c>
      <c r="I2" s="1">
        <v>4956</v>
      </c>
      <c r="J2" s="12">
        <f>I2/480</f>
        <v>10.324999999999999</v>
      </c>
      <c r="K2" s="1">
        <v>8176</v>
      </c>
      <c r="L2" s="12">
        <f>K2/480</f>
        <v>17.033333333333335</v>
      </c>
    </row>
    <row r="3" spans="1:12" s="12" customFormat="1">
      <c r="A3" s="12" t="s">
        <v>277</v>
      </c>
      <c r="D3" s="12">
        <v>33.4</v>
      </c>
      <c r="E3" s="12">
        <v>58.2</v>
      </c>
      <c r="F3" s="12">
        <v>33.4</v>
      </c>
      <c r="G3" s="12">
        <v>35.200000000000003</v>
      </c>
      <c r="H3" s="12">
        <v>58.2</v>
      </c>
      <c r="I3" s="1">
        <v>4956</v>
      </c>
      <c r="J3" s="12">
        <f t="shared" ref="J3:J9" si="0">I3/480</f>
        <v>10.324999999999999</v>
      </c>
      <c r="K3" s="1">
        <v>8176</v>
      </c>
      <c r="L3" s="12">
        <f t="shared" ref="L3:L9" si="1">K3/480</f>
        <v>17.033333333333335</v>
      </c>
    </row>
    <row r="4" spans="1:12" s="12" customFormat="1">
      <c r="A4" s="12" t="s">
        <v>278</v>
      </c>
      <c r="D4" s="12">
        <v>33.4</v>
      </c>
      <c r="E4" s="12">
        <v>58.2</v>
      </c>
      <c r="F4" s="12">
        <v>33.4</v>
      </c>
      <c r="G4" s="12">
        <v>35.200000000000003</v>
      </c>
      <c r="H4" s="12">
        <v>58.2</v>
      </c>
      <c r="I4" s="1">
        <v>4956</v>
      </c>
      <c r="J4" s="12">
        <f t="shared" si="0"/>
        <v>10.324999999999999</v>
      </c>
      <c r="K4" s="1">
        <v>8176</v>
      </c>
      <c r="L4" s="12">
        <f t="shared" si="1"/>
        <v>17.033333333333335</v>
      </c>
    </row>
    <row r="5" spans="1:12" s="12" customFormat="1">
      <c r="A5" s="12" t="s">
        <v>279</v>
      </c>
      <c r="D5" s="12">
        <v>31.5</v>
      </c>
      <c r="E5" s="12">
        <v>54.7</v>
      </c>
      <c r="F5" s="12">
        <v>31.5</v>
      </c>
      <c r="G5" s="12">
        <v>33.200000000000003</v>
      </c>
      <c r="H5" s="12">
        <v>54.7</v>
      </c>
      <c r="I5" s="1">
        <v>4676</v>
      </c>
      <c r="J5" s="12">
        <f t="shared" si="0"/>
        <v>9.7416666666666671</v>
      </c>
      <c r="K5" s="1">
        <v>7716</v>
      </c>
      <c r="L5" s="12">
        <f t="shared" si="1"/>
        <v>16.074999999999999</v>
      </c>
    </row>
    <row r="6" spans="1:12" s="12" customFormat="1">
      <c r="A6" s="12" t="s">
        <v>280</v>
      </c>
      <c r="D6" s="12">
        <v>25.6</v>
      </c>
      <c r="E6" s="12">
        <v>43.4</v>
      </c>
      <c r="F6" s="12">
        <v>25.6</v>
      </c>
      <c r="G6" s="12">
        <v>26.3</v>
      </c>
      <c r="H6" s="12">
        <v>43.4</v>
      </c>
      <c r="I6" s="1">
        <v>4228</v>
      </c>
      <c r="J6" s="12">
        <f t="shared" si="0"/>
        <v>8.8083333333333336</v>
      </c>
      <c r="K6" s="1">
        <v>6976</v>
      </c>
      <c r="L6" s="12">
        <f t="shared" si="1"/>
        <v>14.533333333333333</v>
      </c>
    </row>
    <row r="7" spans="1:12" s="12" customFormat="1">
      <c r="A7" s="12" t="s">
        <v>281</v>
      </c>
      <c r="G7" s="12">
        <v>21.4</v>
      </c>
      <c r="H7" s="12">
        <v>35.299999999999997</v>
      </c>
      <c r="I7" s="1">
        <v>3900</v>
      </c>
      <c r="J7" s="12">
        <f t="shared" si="0"/>
        <v>8.125</v>
      </c>
      <c r="K7" s="1">
        <v>6436</v>
      </c>
      <c r="L7" s="12">
        <f t="shared" si="1"/>
        <v>13.408333333333333</v>
      </c>
    </row>
    <row r="8" spans="1:12" s="12" customFormat="1">
      <c r="A8" s="12" t="s">
        <v>282</v>
      </c>
      <c r="G8" s="12">
        <v>12.8</v>
      </c>
      <c r="H8" s="12">
        <v>21.1</v>
      </c>
      <c r="I8" s="1">
        <v>3432</v>
      </c>
      <c r="J8" s="12">
        <f t="shared" si="0"/>
        <v>7.15</v>
      </c>
      <c r="K8" s="1">
        <v>5664</v>
      </c>
      <c r="L8" s="12">
        <f t="shared" si="1"/>
        <v>11.8</v>
      </c>
    </row>
    <row r="9" spans="1:12" s="12" customFormat="1">
      <c r="A9" s="12" t="s">
        <v>92</v>
      </c>
      <c r="G9" s="12">
        <v>11</v>
      </c>
      <c r="H9" s="12">
        <v>18.100000000000001</v>
      </c>
      <c r="I9" s="1">
        <v>3080</v>
      </c>
      <c r="J9" s="12">
        <f t="shared" si="0"/>
        <v>6.416666666666667</v>
      </c>
      <c r="K9" s="1">
        <v>5084</v>
      </c>
      <c r="L9" s="12">
        <f t="shared" si="1"/>
        <v>10.591666666666667</v>
      </c>
    </row>
    <row r="10" spans="1:12" s="12" customFormat="1"/>
    <row r="11" spans="1:12" s="12" customFormat="1">
      <c r="D11" s="12" t="s">
        <v>7</v>
      </c>
      <c r="E11" s="12" t="s">
        <v>8</v>
      </c>
      <c r="F11" s="12" t="s">
        <v>9</v>
      </c>
      <c r="G11" s="12" t="s">
        <v>4</v>
      </c>
      <c r="H11" s="12" t="s">
        <v>5</v>
      </c>
      <c r="I11" s="12" t="s">
        <v>11</v>
      </c>
      <c r="J11" s="12" t="s">
        <v>88</v>
      </c>
      <c r="K11" s="12" t="s">
        <v>12</v>
      </c>
      <c r="L11" s="12" t="s">
        <v>88</v>
      </c>
    </row>
    <row r="12" spans="1:12" s="12" customFormat="1">
      <c r="A12" s="12" t="s">
        <v>272</v>
      </c>
      <c r="C12" s="12" t="s">
        <v>273</v>
      </c>
      <c r="D12" s="12">
        <v>37.799999999999997</v>
      </c>
      <c r="E12" s="12">
        <v>66.8</v>
      </c>
      <c r="F12" s="12">
        <v>37.799999999999997</v>
      </c>
      <c r="G12" s="12">
        <v>40.5</v>
      </c>
      <c r="H12" s="12">
        <v>66.8</v>
      </c>
      <c r="I12" s="1">
        <v>5584</v>
      </c>
      <c r="K12" s="12">
        <v>8920</v>
      </c>
    </row>
    <row r="13" spans="1:12" s="12" customFormat="1">
      <c r="A13" s="12" t="s">
        <v>274</v>
      </c>
      <c r="D13" s="12">
        <f>D12*100/D17 -100</f>
        <v>0.79999999999998295</v>
      </c>
      <c r="E13" s="12">
        <f t="shared" ref="E13:K13" si="2">E12*100/E17 -100</f>
        <v>1.0590015128593109</v>
      </c>
      <c r="F13" s="12">
        <f t="shared" si="2"/>
        <v>0.79999999999998295</v>
      </c>
      <c r="G13" s="12">
        <f t="shared" si="2"/>
        <v>0.99750623441396158</v>
      </c>
      <c r="H13" s="12">
        <f t="shared" si="2"/>
        <v>1.0590015128593109</v>
      </c>
      <c r="I13" s="12">
        <f t="shared" si="2"/>
        <v>0.93998553868402723</v>
      </c>
      <c r="K13" s="12">
        <f t="shared" si="2"/>
        <v>0.9963768115942031</v>
      </c>
    </row>
    <row r="14" spans="1:12" s="12" customFormat="1">
      <c r="D14" s="12">
        <f>100 +D13</f>
        <v>100.79999999999998</v>
      </c>
      <c r="E14" s="12">
        <f t="shared" ref="E14:K14" si="3">100 +E13</f>
        <v>101.05900151285931</v>
      </c>
      <c r="F14" s="12">
        <f t="shared" si="3"/>
        <v>100.79999999999998</v>
      </c>
      <c r="G14" s="12">
        <f t="shared" si="3"/>
        <v>100.99750623441396</v>
      </c>
      <c r="H14" s="12">
        <f t="shared" si="3"/>
        <v>101.05900151285931</v>
      </c>
      <c r="I14" s="12">
        <f t="shared" si="3"/>
        <v>100.93998553868403</v>
      </c>
      <c r="K14" s="12">
        <f t="shared" si="3"/>
        <v>100.9963768115942</v>
      </c>
    </row>
    <row r="15" spans="1:12" s="12" customFormat="1"/>
    <row r="16" spans="1:12">
      <c r="A16" t="s">
        <v>6</v>
      </c>
      <c r="D16" t="s">
        <v>7</v>
      </c>
      <c r="E16" t="s">
        <v>8</v>
      </c>
      <c r="F16" t="s">
        <v>9</v>
      </c>
      <c r="G16" t="s">
        <v>4</v>
      </c>
      <c r="H16" t="s">
        <v>5</v>
      </c>
      <c r="I16" t="s">
        <v>11</v>
      </c>
      <c r="J16" t="s">
        <v>88</v>
      </c>
      <c r="K16" t="s">
        <v>12</v>
      </c>
      <c r="L16" t="s">
        <v>88</v>
      </c>
    </row>
    <row r="17" spans="1:14">
      <c r="A17" t="s">
        <v>0</v>
      </c>
      <c r="D17">
        <v>37.5</v>
      </c>
      <c r="E17">
        <v>66.099999999999994</v>
      </c>
      <c r="F17">
        <v>37.5</v>
      </c>
      <c r="G17">
        <v>40.1</v>
      </c>
      <c r="H17">
        <v>66.099999999999994</v>
      </c>
      <c r="I17" s="1">
        <v>5532</v>
      </c>
      <c r="J17" s="1">
        <f>I17/480</f>
        <v>11.525</v>
      </c>
      <c r="K17" s="1">
        <v>8832</v>
      </c>
      <c r="L17" s="1">
        <f>K17/480</f>
        <v>18.399999999999999</v>
      </c>
    </row>
    <row r="18" spans="1:14">
      <c r="A18" t="s">
        <v>1</v>
      </c>
      <c r="D18">
        <v>32.200000000000003</v>
      </c>
      <c r="E18">
        <v>56.4</v>
      </c>
      <c r="F18">
        <v>32.200000000000003</v>
      </c>
      <c r="G18">
        <v>34.200000000000003</v>
      </c>
      <c r="H18">
        <v>56.4</v>
      </c>
      <c r="I18" s="1">
        <v>4812</v>
      </c>
      <c r="J18" s="1">
        <f t="shared" ref="J18:J21" si="4">I18/480</f>
        <v>10.025</v>
      </c>
      <c r="K18" s="1">
        <v>7940</v>
      </c>
      <c r="L18" s="1">
        <f t="shared" ref="L18:L20" si="5">K18/480</f>
        <v>16.541666666666668</v>
      </c>
    </row>
    <row r="19" spans="1:14">
      <c r="A19" t="s">
        <v>2</v>
      </c>
      <c r="D19">
        <v>22.2</v>
      </c>
      <c r="E19">
        <v>36.6</v>
      </c>
      <c r="F19">
        <v>23.5</v>
      </c>
      <c r="G19">
        <v>23.8</v>
      </c>
      <c r="H19">
        <v>36.6</v>
      </c>
      <c r="I19" s="1">
        <v>4156</v>
      </c>
      <c r="J19" s="1">
        <f t="shared" si="4"/>
        <v>8.6583333333333332</v>
      </c>
      <c r="K19" s="1">
        <v>6856</v>
      </c>
      <c r="L19" s="1">
        <f t="shared" si="5"/>
        <v>14.283333333333333</v>
      </c>
    </row>
    <row r="20" spans="1:14">
      <c r="A20" t="s">
        <v>10</v>
      </c>
      <c r="G20">
        <v>10.9</v>
      </c>
      <c r="H20">
        <v>17.899999999999999</v>
      </c>
      <c r="I20" s="1">
        <v>3052</v>
      </c>
      <c r="J20" s="1">
        <f t="shared" si="4"/>
        <v>6.3583333333333334</v>
      </c>
      <c r="K20" s="1">
        <v>5036</v>
      </c>
      <c r="L20" s="1">
        <f t="shared" si="5"/>
        <v>10.491666666666667</v>
      </c>
    </row>
    <row r="21" spans="1:14">
      <c r="A21" t="s">
        <v>3</v>
      </c>
      <c r="G21">
        <v>3.2</v>
      </c>
      <c r="H21">
        <v>4.8</v>
      </c>
      <c r="I21" s="1">
        <v>712</v>
      </c>
      <c r="J21" s="1">
        <f t="shared" si="4"/>
        <v>1.4833333333333334</v>
      </c>
      <c r="K21" s="1">
        <v>1212</v>
      </c>
      <c r="L21" s="1">
        <f>K21/480</f>
        <v>2.5249999999999999</v>
      </c>
    </row>
    <row r="25" spans="1:14">
      <c r="A25" t="s">
        <v>13</v>
      </c>
      <c r="J25" t="s">
        <v>117</v>
      </c>
      <c r="L25" t="s">
        <v>118</v>
      </c>
      <c r="N25" t="s">
        <v>39</v>
      </c>
    </row>
    <row r="26" spans="1:14">
      <c r="A26">
        <v>2002</v>
      </c>
      <c r="D26">
        <f t="shared" ref="D26:D38" si="6">(E50 +H50)/K50*J$69</f>
        <v>0</v>
      </c>
      <c r="E26">
        <f>(E50 +H50)/K50*I$69</f>
        <v>0</v>
      </c>
      <c r="F26">
        <f>G50/K50</f>
        <v>0</v>
      </c>
      <c r="G26">
        <f>F50/K50*J$69</f>
        <v>0</v>
      </c>
      <c r="H26">
        <f>F50/K50*I$69</f>
        <v>0</v>
      </c>
      <c r="J26">
        <f t="shared" ref="J26:J38" si="7">J$69*J50/K50</f>
        <v>0.35889140581672851</v>
      </c>
      <c r="L26">
        <f t="shared" ref="L26:L38" si="8">I$69*J50/K50</f>
        <v>6.333377749706974E-2</v>
      </c>
      <c r="N26">
        <f>SUM(D26:M26)</f>
        <v>0.42222518331379827</v>
      </c>
    </row>
    <row r="27" spans="1:14">
      <c r="A27">
        <v>2003</v>
      </c>
      <c r="D27">
        <f t="shared" si="6"/>
        <v>0</v>
      </c>
      <c r="E27">
        <f t="shared" ref="E27:E38" si="9">(E51 +H51)/K51*I$69</f>
        <v>0</v>
      </c>
      <c r="F27">
        <f t="shared" ref="F27:F38" si="10">G51/K51</f>
        <v>0</v>
      </c>
      <c r="G27">
        <f t="shared" ref="G27:G38" si="11">F51/K51*J$69</f>
        <v>0</v>
      </c>
      <c r="H27">
        <f t="shared" ref="H27:H38" si="12">F51/K51*I$69</f>
        <v>0</v>
      </c>
      <c r="J27">
        <f t="shared" si="7"/>
        <v>0.37873128214578677</v>
      </c>
      <c r="L27">
        <f t="shared" si="8"/>
        <v>6.6834932143374146E-2</v>
      </c>
      <c r="N27">
        <f t="shared" ref="N27:N33" si="13">SUM(D27:M27)</f>
        <v>0.44556621428916093</v>
      </c>
    </row>
    <row r="28" spans="1:14">
      <c r="A28">
        <v>2004</v>
      </c>
      <c r="D28">
        <f t="shared" si="6"/>
        <v>0</v>
      </c>
      <c r="E28">
        <f t="shared" si="9"/>
        <v>0</v>
      </c>
      <c r="F28">
        <f t="shared" si="10"/>
        <v>0</v>
      </c>
      <c r="G28">
        <f t="shared" si="11"/>
        <v>0</v>
      </c>
      <c r="H28">
        <f t="shared" si="12"/>
        <v>0</v>
      </c>
      <c r="J28">
        <f t="shared" si="7"/>
        <v>0.38079309325414212</v>
      </c>
      <c r="L28">
        <f t="shared" si="8"/>
        <v>6.7198781162495669E-2</v>
      </c>
      <c r="N28">
        <f t="shared" si="13"/>
        <v>0.44799187441663779</v>
      </c>
    </row>
    <row r="29" spans="1:14">
      <c r="A29">
        <v>2005</v>
      </c>
      <c r="D29">
        <f t="shared" si="6"/>
        <v>0</v>
      </c>
      <c r="E29">
        <f t="shared" si="9"/>
        <v>0</v>
      </c>
      <c r="F29">
        <f t="shared" si="10"/>
        <v>0</v>
      </c>
      <c r="G29">
        <f t="shared" si="11"/>
        <v>0</v>
      </c>
      <c r="H29">
        <f t="shared" si="12"/>
        <v>0</v>
      </c>
      <c r="J29">
        <f t="shared" si="7"/>
        <v>0.39287458975550782</v>
      </c>
      <c r="L29">
        <f t="shared" si="8"/>
        <v>6.9330809956854325E-2</v>
      </c>
      <c r="N29">
        <f t="shared" si="13"/>
        <v>0.46220539971236213</v>
      </c>
    </row>
    <row r="30" spans="1:14">
      <c r="A30">
        <v>2006</v>
      </c>
      <c r="D30">
        <f t="shared" si="6"/>
        <v>0</v>
      </c>
      <c r="E30">
        <f t="shared" si="9"/>
        <v>0</v>
      </c>
      <c r="F30">
        <f t="shared" si="10"/>
        <v>0</v>
      </c>
      <c r="G30">
        <f t="shared" si="11"/>
        <v>0</v>
      </c>
      <c r="H30">
        <f t="shared" si="12"/>
        <v>0</v>
      </c>
      <c r="J30">
        <f t="shared" si="7"/>
        <v>0.39551779965283018</v>
      </c>
      <c r="L30">
        <f t="shared" si="8"/>
        <v>6.9797258762264155E-2</v>
      </c>
      <c r="N30">
        <f t="shared" si="13"/>
        <v>0.46531505841509435</v>
      </c>
    </row>
    <row r="31" spans="1:14">
      <c r="A31">
        <v>2007</v>
      </c>
      <c r="D31">
        <f t="shared" si="6"/>
        <v>0</v>
      </c>
      <c r="E31">
        <f t="shared" si="9"/>
        <v>0</v>
      </c>
      <c r="F31">
        <f t="shared" si="10"/>
        <v>0</v>
      </c>
      <c r="G31">
        <f t="shared" si="11"/>
        <v>0</v>
      </c>
      <c r="H31">
        <f t="shared" si="12"/>
        <v>0</v>
      </c>
      <c r="J31">
        <f t="shared" si="7"/>
        <v>0.40915061621564819</v>
      </c>
      <c r="L31">
        <f t="shared" si="8"/>
        <v>7.2203049920408491E-2</v>
      </c>
      <c r="N31">
        <f t="shared" si="13"/>
        <v>0.48135366613605668</v>
      </c>
    </row>
    <row r="32" spans="1:14">
      <c r="A32">
        <v>2008</v>
      </c>
      <c r="D32">
        <f t="shared" si="6"/>
        <v>0</v>
      </c>
      <c r="E32">
        <f t="shared" si="9"/>
        <v>0</v>
      </c>
      <c r="F32">
        <f t="shared" si="10"/>
        <v>0</v>
      </c>
      <c r="G32">
        <f t="shared" si="11"/>
        <v>0</v>
      </c>
      <c r="H32">
        <f t="shared" si="12"/>
        <v>0</v>
      </c>
      <c r="J32">
        <f t="shared" si="7"/>
        <v>0.40882505691103704</v>
      </c>
      <c r="L32">
        <f t="shared" si="8"/>
        <v>7.2145598278418308E-2</v>
      </c>
      <c r="N32">
        <f t="shared" si="13"/>
        <v>0.48097065518945536</v>
      </c>
    </row>
    <row r="33" spans="1:14">
      <c r="A33">
        <v>2009</v>
      </c>
      <c r="D33">
        <f t="shared" si="6"/>
        <v>0</v>
      </c>
      <c r="E33">
        <f t="shared" si="9"/>
        <v>0</v>
      </c>
      <c r="F33">
        <f t="shared" si="10"/>
        <v>0</v>
      </c>
      <c r="G33">
        <f t="shared" si="11"/>
        <v>0</v>
      </c>
      <c r="H33">
        <f t="shared" si="12"/>
        <v>0</v>
      </c>
      <c r="J33">
        <f t="shared" si="7"/>
        <v>0.38713452931365161</v>
      </c>
      <c r="L33">
        <f t="shared" si="8"/>
        <v>6.8317858114173804E-2</v>
      </c>
      <c r="N33">
        <f t="shared" si="13"/>
        <v>0.4554523874278254</v>
      </c>
    </row>
    <row r="34" spans="1:14">
      <c r="A34">
        <v>2010</v>
      </c>
      <c r="D34">
        <f>(E58 +H58)/K58*J$69</f>
        <v>3.3830309900179996E-2</v>
      </c>
      <c r="E34">
        <f>(E58 +H58)/K58*I$69</f>
        <v>5.9700546882670577E-3</v>
      </c>
      <c r="F34">
        <f>G58/K58</f>
        <v>0.30553462984658364</v>
      </c>
      <c r="G34">
        <f t="shared" si="11"/>
        <v>0.18173817350637997</v>
      </c>
      <c r="H34">
        <f t="shared" si="12"/>
        <v>3.2071442383478817E-2</v>
      </c>
      <c r="J34">
        <f t="shared" si="7"/>
        <v>0.37472708122384391</v>
      </c>
      <c r="L34">
        <f t="shared" si="8"/>
        <v>6.6128308451266576E-2</v>
      </c>
      <c r="N34">
        <f>SUM(D34:M34)</f>
        <v>1</v>
      </c>
    </row>
    <row r="35" spans="1:14">
      <c r="A35">
        <v>2011</v>
      </c>
      <c r="D35">
        <f t="shared" si="6"/>
        <v>4.2972381818084104E-2</v>
      </c>
      <c r="E35">
        <f t="shared" si="9"/>
        <v>7.5833614973089599E-3</v>
      </c>
      <c r="F35">
        <f t="shared" si="10"/>
        <v>0.30130406962027828</v>
      </c>
      <c r="G35">
        <f t="shared" si="11"/>
        <v>0.18643230634829197</v>
      </c>
      <c r="H35">
        <f t="shared" si="12"/>
        <v>3.2899818767345643E-2</v>
      </c>
      <c r="J35">
        <f t="shared" si="7"/>
        <v>0.36448685265638742</v>
      </c>
      <c r="L35">
        <f t="shared" si="8"/>
        <v>6.4321209292303658E-2</v>
      </c>
      <c r="N35">
        <f t="shared" ref="N35:N36" si="14">SUM(D35:M35)</f>
        <v>1</v>
      </c>
    </row>
    <row r="36" spans="1:14">
      <c r="A36">
        <v>2012</v>
      </c>
      <c r="D36">
        <f t="shared" si="6"/>
        <v>5.0248777021053619E-2</v>
      </c>
      <c r="E36">
        <f t="shared" si="9"/>
        <v>8.8674312390094618E-3</v>
      </c>
      <c r="F36">
        <f t="shared" si="10"/>
        <v>0.30878205119545687</v>
      </c>
      <c r="G36">
        <f t="shared" si="11"/>
        <v>0.18044882478706709</v>
      </c>
      <c r="H36">
        <f t="shared" si="12"/>
        <v>3.184391025654125E-2</v>
      </c>
      <c r="J36">
        <f t="shared" si="7"/>
        <v>0.35683765467574097</v>
      </c>
      <c r="L36">
        <f t="shared" si="8"/>
        <v>6.2971350825130765E-2</v>
      </c>
      <c r="N36">
        <f t="shared" si="14"/>
        <v>0.99999999999999989</v>
      </c>
    </row>
    <row r="37" spans="1:14">
      <c r="A37">
        <v>2013</v>
      </c>
      <c r="D37">
        <f t="shared" si="6"/>
        <v>4.5119275552266344E-2</v>
      </c>
      <c r="E37">
        <f t="shared" si="9"/>
        <v>7.9622250974587666E-3</v>
      </c>
      <c r="F37">
        <f t="shared" si="10"/>
        <v>0.30332903295174096</v>
      </c>
      <c r="G37">
        <f t="shared" si="11"/>
        <v>0.17690756285411738</v>
      </c>
      <c r="H37">
        <f t="shared" si="12"/>
        <v>3.1218981680138362E-2</v>
      </c>
      <c r="J37">
        <f t="shared" si="7"/>
        <v>0.3701434835846365</v>
      </c>
      <c r="L37">
        <f t="shared" si="8"/>
        <v>6.5319438279641734E-2</v>
      </c>
      <c r="N37">
        <f>SUM(D37:M37)</f>
        <v>1.0000000000000002</v>
      </c>
    </row>
    <row r="38" spans="1:14">
      <c r="A38">
        <v>2014</v>
      </c>
      <c r="D38">
        <f t="shared" si="6"/>
        <v>4.425530628288081E-2</v>
      </c>
      <c r="E38">
        <f t="shared" si="9"/>
        <v>7.8097599322730837E-3</v>
      </c>
      <c r="F38">
        <f t="shared" si="10"/>
        <v>0.3094878152022737</v>
      </c>
      <c r="G38">
        <f t="shared" si="11"/>
        <v>0.18190421479107452</v>
      </c>
      <c r="H38">
        <f t="shared" si="12"/>
        <v>3.210074378666021E-2</v>
      </c>
      <c r="J38">
        <f t="shared" si="7"/>
        <v>0.360775836004112</v>
      </c>
      <c r="K38" t="s">
        <v>38</v>
      </c>
      <c r="L38">
        <f t="shared" si="8"/>
        <v>6.3666324000725638E-2</v>
      </c>
      <c r="M38" t="s">
        <v>38</v>
      </c>
    </row>
    <row r="39" spans="1:14" s="12" customFormat="1"/>
    <row r="40" spans="1:14" s="12" customFormat="1"/>
    <row r="41" spans="1:14" s="12" customFormat="1"/>
    <row r="42" spans="1:14" s="12" customFormat="1"/>
    <row r="43" spans="1:14" s="12" customFormat="1"/>
    <row r="44" spans="1:14" s="12" customFormat="1"/>
    <row r="45" spans="1:14" s="12" customFormat="1"/>
    <row r="47" spans="1:14">
      <c r="C47" s="21" t="s">
        <v>283</v>
      </c>
    </row>
    <row r="49" spans="4:11">
      <c r="D49" t="s">
        <v>14</v>
      </c>
      <c r="E49" t="s">
        <v>15</v>
      </c>
      <c r="F49" t="s">
        <v>16</v>
      </c>
      <c r="G49" t="s">
        <v>17</v>
      </c>
      <c r="H49" t="s">
        <v>18</v>
      </c>
      <c r="I49" t="s">
        <v>19</v>
      </c>
      <c r="J49" t="s">
        <v>20</v>
      </c>
      <c r="K49" t="s">
        <v>21</v>
      </c>
    </row>
    <row r="50" spans="4:11">
      <c r="D50" t="s">
        <v>22</v>
      </c>
      <c r="E50">
        <v>0</v>
      </c>
      <c r="F50">
        <v>0</v>
      </c>
      <c r="G50">
        <v>0</v>
      </c>
      <c r="H50">
        <v>0</v>
      </c>
      <c r="I50">
        <v>563.62576200000103</v>
      </c>
      <c r="J50">
        <v>411.88536400000038</v>
      </c>
      <c r="K50">
        <v>975.51112600000147</v>
      </c>
    </row>
    <row r="51" spans="4:11">
      <c r="D51" t="s">
        <v>23</v>
      </c>
      <c r="E51">
        <v>0</v>
      </c>
      <c r="F51">
        <v>0</v>
      </c>
      <c r="G51">
        <v>0</v>
      </c>
      <c r="H51">
        <v>0</v>
      </c>
      <c r="I51">
        <v>560.93337860583199</v>
      </c>
      <c r="J51">
        <v>450.78955939416704</v>
      </c>
      <c r="K51">
        <v>1011.722937999999</v>
      </c>
    </row>
    <row r="52" spans="4:11">
      <c r="D52" t="s">
        <v>24</v>
      </c>
      <c r="E52">
        <v>0</v>
      </c>
      <c r="F52">
        <v>0</v>
      </c>
      <c r="G52">
        <v>0</v>
      </c>
      <c r="H52">
        <v>0</v>
      </c>
      <c r="I52">
        <v>573.82286602000704</v>
      </c>
      <c r="J52">
        <v>465.69600956464302</v>
      </c>
      <c r="K52">
        <v>1039.51887558465</v>
      </c>
    </row>
    <row r="53" spans="4:11">
      <c r="D53" t="s">
        <v>25</v>
      </c>
      <c r="E53">
        <v>0</v>
      </c>
      <c r="F53">
        <v>0</v>
      </c>
      <c r="G53">
        <v>0</v>
      </c>
      <c r="H53">
        <v>0</v>
      </c>
      <c r="I53">
        <v>578.91189866050195</v>
      </c>
      <c r="J53">
        <v>497.54349592857102</v>
      </c>
      <c r="K53">
        <v>1076.455394589073</v>
      </c>
    </row>
    <row r="54" spans="4:11">
      <c r="D54" t="s">
        <v>26</v>
      </c>
      <c r="E54">
        <v>0</v>
      </c>
      <c r="F54">
        <v>0</v>
      </c>
      <c r="G54">
        <v>0</v>
      </c>
      <c r="H54">
        <v>0</v>
      </c>
      <c r="I54">
        <v>612.20713092060998</v>
      </c>
      <c r="J54">
        <v>532.77953937145799</v>
      </c>
      <c r="K54">
        <v>1144.9866702920681</v>
      </c>
    </row>
    <row r="55" spans="4:11">
      <c r="D55" t="s">
        <v>27</v>
      </c>
      <c r="E55">
        <v>0</v>
      </c>
      <c r="F55">
        <v>0</v>
      </c>
      <c r="G55">
        <v>0</v>
      </c>
      <c r="H55">
        <v>0</v>
      </c>
      <c r="I55">
        <v>631.74534396298304</v>
      </c>
      <c r="J55">
        <v>586.32042207925599</v>
      </c>
      <c r="K55">
        <v>1218.0657660422389</v>
      </c>
    </row>
    <row r="56" spans="4:11">
      <c r="D56" t="s">
        <v>28</v>
      </c>
      <c r="E56">
        <v>0</v>
      </c>
      <c r="F56">
        <v>0</v>
      </c>
      <c r="G56">
        <v>0</v>
      </c>
      <c r="H56">
        <v>0</v>
      </c>
      <c r="I56">
        <v>657.33997614445207</v>
      </c>
      <c r="J56">
        <v>609.139429532299</v>
      </c>
      <c r="K56">
        <v>1266.479405676751</v>
      </c>
    </row>
    <row r="57" spans="4:11">
      <c r="D57" t="s">
        <v>29</v>
      </c>
      <c r="E57">
        <v>0</v>
      </c>
      <c r="F57">
        <v>0</v>
      </c>
      <c r="G57">
        <v>0</v>
      </c>
      <c r="H57">
        <v>0</v>
      </c>
      <c r="I57">
        <v>684.971234250252</v>
      </c>
      <c r="J57">
        <v>572.90083870730905</v>
      </c>
      <c r="K57">
        <v>1257.8720729575612</v>
      </c>
    </row>
    <row r="58" spans="4:11">
      <c r="D58" t="s">
        <v>30</v>
      </c>
      <c r="E58">
        <v>41.7285364342683</v>
      </c>
      <c r="F58">
        <v>289.45061501439523</v>
      </c>
      <c r="G58">
        <v>413.62586125614894</v>
      </c>
      <c r="H58">
        <v>12.152295632039019</v>
      </c>
      <c r="I58">
        <v>756.9573083368515</v>
      </c>
      <c r="J58">
        <v>596.82004077686599</v>
      </c>
      <c r="K58">
        <v>1353.7773491137175</v>
      </c>
    </row>
    <row r="59" spans="4:11">
      <c r="D59" t="s">
        <v>31</v>
      </c>
      <c r="E59">
        <v>48.360918509999614</v>
      </c>
      <c r="F59">
        <v>320.22129961000104</v>
      </c>
      <c r="G59">
        <v>439.898992000004</v>
      </c>
      <c r="H59">
        <v>25.449636230531507</v>
      </c>
      <c r="I59">
        <v>833.93084635053617</v>
      </c>
      <c r="J59">
        <v>626.05272623907899</v>
      </c>
      <c r="K59">
        <v>1459.9835725896151</v>
      </c>
    </row>
    <row r="60" spans="4:11">
      <c r="D60" t="s">
        <v>32</v>
      </c>
      <c r="E60">
        <v>50.440611730000086</v>
      </c>
      <c r="F60">
        <v>318.63743606000048</v>
      </c>
      <c r="G60">
        <v>463.46155498000155</v>
      </c>
      <c r="H60">
        <v>38.288929701110007</v>
      </c>
      <c r="I60">
        <v>870.82853247111211</v>
      </c>
      <c r="J60">
        <v>630.10571285078856</v>
      </c>
      <c r="K60">
        <v>1500.9342453219006</v>
      </c>
    </row>
    <row r="61" spans="4:11">
      <c r="D61" t="s">
        <v>33</v>
      </c>
      <c r="E61">
        <v>53.127929120000331</v>
      </c>
      <c r="F61">
        <v>330.182881820001</v>
      </c>
      <c r="G61">
        <v>481.21710983000258</v>
      </c>
      <c r="H61">
        <v>31.083351546180008</v>
      </c>
      <c r="I61">
        <v>895.61127231618389</v>
      </c>
      <c r="J61">
        <v>690.84125135820932</v>
      </c>
      <c r="K61">
        <v>1586.4525236743932</v>
      </c>
    </row>
    <row r="62" spans="4:11">
      <c r="D62" s="21" t="s">
        <v>286</v>
      </c>
      <c r="E62" s="21">
        <v>59.6</v>
      </c>
      <c r="F62" s="21">
        <v>353.9</v>
      </c>
      <c r="G62" s="12">
        <v>511.8</v>
      </c>
      <c r="H62" s="12">
        <v>26.5</v>
      </c>
      <c r="I62" s="21">
        <v>951.8</v>
      </c>
      <c r="J62" s="21">
        <v>701.9</v>
      </c>
      <c r="K62" s="21">
        <v>1653.7</v>
      </c>
    </row>
    <row r="66" spans="3:22">
      <c r="H66" t="s">
        <v>34</v>
      </c>
      <c r="I66" t="s">
        <v>35</v>
      </c>
      <c r="J66" t="s">
        <v>36</v>
      </c>
    </row>
    <row r="67" spans="3:22">
      <c r="H67">
        <f>SUM(I67:J67)</f>
        <v>627</v>
      </c>
      <c r="I67">
        <v>101</v>
      </c>
      <c r="J67">
        <v>526</v>
      </c>
    </row>
    <row r="68" spans="3:22">
      <c r="H68" s="2">
        <v>1</v>
      </c>
      <c r="I68">
        <f>I67/H67</f>
        <v>0.16108452950558214</v>
      </c>
      <c r="J68">
        <f>J67/H67</f>
        <v>0.83891547049441784</v>
      </c>
    </row>
    <row r="69" spans="3:22">
      <c r="H69" t="s">
        <v>37</v>
      </c>
      <c r="I69">
        <v>0.15</v>
      </c>
      <c r="J69">
        <v>0.85</v>
      </c>
    </row>
    <row r="72" spans="3:22">
      <c r="H72" s="12" t="s">
        <v>34</v>
      </c>
      <c r="I72" s="12" t="s">
        <v>36</v>
      </c>
      <c r="J72" s="12" t="s">
        <v>35</v>
      </c>
    </row>
    <row r="73" spans="3:22">
      <c r="H73" s="12">
        <f>SUM(I73:J73)</f>
        <v>627</v>
      </c>
      <c r="I73" s="12">
        <v>526</v>
      </c>
      <c r="J73" s="12">
        <v>101</v>
      </c>
    </row>
    <row r="74" spans="3:22">
      <c r="H74" s="2">
        <v>1</v>
      </c>
      <c r="I74" s="12">
        <f>I73/H73</f>
        <v>0.83891547049441784</v>
      </c>
      <c r="J74" s="12">
        <f>J73/H73</f>
        <v>0.16108452950558214</v>
      </c>
    </row>
    <row r="75" spans="3:22">
      <c r="H75" s="12" t="s">
        <v>37</v>
      </c>
      <c r="I75" s="12">
        <v>0.85</v>
      </c>
      <c r="J75" s="12">
        <v>0.15</v>
      </c>
    </row>
    <row r="77" spans="3:22" ht="99.75">
      <c r="C77" t="s">
        <v>68</v>
      </c>
      <c r="D77" t="s">
        <v>40</v>
      </c>
      <c r="E77" s="3" t="s">
        <v>52</v>
      </c>
      <c r="F77" s="3" t="s">
        <v>53</v>
      </c>
      <c r="G77" s="3" t="s">
        <v>54</v>
      </c>
      <c r="H77" s="3" t="s">
        <v>55</v>
      </c>
      <c r="I77" s="3" t="s">
        <v>56</v>
      </c>
      <c r="J77" s="3" t="s">
        <v>57</v>
      </c>
      <c r="K77" s="3" t="s">
        <v>58</v>
      </c>
      <c r="L77" s="3" t="s">
        <v>59</v>
      </c>
      <c r="M77" s="3" t="s">
        <v>60</v>
      </c>
      <c r="N77" s="3" t="s">
        <v>61</v>
      </c>
      <c r="O77" s="3" t="s">
        <v>62</v>
      </c>
      <c r="P77" s="26" t="s">
        <v>284</v>
      </c>
      <c r="Q77" s="26" t="s">
        <v>287</v>
      </c>
      <c r="R77" s="3" t="s">
        <v>285</v>
      </c>
      <c r="S77" s="3" t="s">
        <v>63</v>
      </c>
      <c r="T77" s="3" t="s">
        <v>64</v>
      </c>
      <c r="U77" s="3" t="s">
        <v>65</v>
      </c>
      <c r="V77" s="3" t="s">
        <v>66</v>
      </c>
    </row>
    <row r="78" spans="3:22">
      <c r="N78" s="4">
        <v>41275</v>
      </c>
      <c r="O78" s="4">
        <v>41640</v>
      </c>
      <c r="P78" s="4">
        <v>42005</v>
      </c>
      <c r="Q78" s="4">
        <v>42370</v>
      </c>
      <c r="R78" s="4"/>
      <c r="U78" t="s">
        <v>41</v>
      </c>
      <c r="V78" t="s">
        <v>42</v>
      </c>
    </row>
    <row r="79" spans="3:22">
      <c r="C79" t="s">
        <v>43</v>
      </c>
      <c r="D79" t="s">
        <v>44</v>
      </c>
      <c r="E79">
        <v>100</v>
      </c>
      <c r="F79">
        <v>104.8</v>
      </c>
      <c r="G79">
        <v>113.7</v>
      </c>
      <c r="H79">
        <v>128</v>
      </c>
      <c r="I79">
        <v>135.5</v>
      </c>
      <c r="J79">
        <v>106.5</v>
      </c>
      <c r="K79">
        <v>107.9</v>
      </c>
      <c r="L79">
        <v>116</v>
      </c>
      <c r="M79">
        <v>119.6</v>
      </c>
      <c r="N79">
        <v>129.19999999999999</v>
      </c>
      <c r="O79" s="12">
        <v>130.30000000000001</v>
      </c>
      <c r="P79" s="12">
        <v>134.4</v>
      </c>
      <c r="Q79" s="12">
        <v>137.69999999999999</v>
      </c>
      <c r="R79" s="12">
        <v>3.2</v>
      </c>
      <c r="S79">
        <v>0.9</v>
      </c>
      <c r="T79">
        <v>1</v>
      </c>
      <c r="U79">
        <v>-1.9</v>
      </c>
      <c r="V79">
        <v>-5.6</v>
      </c>
    </row>
    <row r="80" spans="3:22">
      <c r="D80" t="s">
        <v>45</v>
      </c>
      <c r="E80">
        <v>100</v>
      </c>
      <c r="F80">
        <v>104.2</v>
      </c>
      <c r="G80">
        <v>109.8</v>
      </c>
      <c r="H80">
        <v>115.4</v>
      </c>
      <c r="I80">
        <v>121.9</v>
      </c>
      <c r="J80">
        <v>131.19999999999999</v>
      </c>
      <c r="K80">
        <v>131.69999999999999</v>
      </c>
      <c r="L80">
        <v>139.80000000000001</v>
      </c>
      <c r="M80">
        <v>148.80000000000001</v>
      </c>
      <c r="N80">
        <v>155.6</v>
      </c>
      <c r="O80" s="12">
        <v>159.69999999999999</v>
      </c>
      <c r="P80" s="12">
        <v>162.69999999999999</v>
      </c>
      <c r="Q80" s="12">
        <v>163.9</v>
      </c>
      <c r="R80" s="12">
        <v>1.9</v>
      </c>
      <c r="S80">
        <v>2.7</v>
      </c>
      <c r="T80">
        <v>13.1</v>
      </c>
      <c r="U80">
        <v>-0.1</v>
      </c>
      <c r="V80">
        <v>15.8</v>
      </c>
    </row>
    <row r="81" spans="3:22">
      <c r="D81" t="s">
        <v>46</v>
      </c>
      <c r="E81">
        <v>100</v>
      </c>
      <c r="F81">
        <v>105.7</v>
      </c>
      <c r="G81">
        <v>110.8</v>
      </c>
      <c r="H81">
        <v>116.7</v>
      </c>
      <c r="I81">
        <v>124</v>
      </c>
      <c r="J81">
        <v>133.1</v>
      </c>
      <c r="K81">
        <v>134.80000000000001</v>
      </c>
      <c r="L81">
        <v>143.5</v>
      </c>
      <c r="M81">
        <v>152.30000000000001</v>
      </c>
      <c r="N81">
        <v>158.9</v>
      </c>
      <c r="O81" s="12">
        <v>163.19999999999999</v>
      </c>
      <c r="P81" s="12">
        <v>167</v>
      </c>
      <c r="Q81" s="12">
        <v>168.5</v>
      </c>
      <c r="R81" s="12">
        <v>2.2999999999999998</v>
      </c>
      <c r="S81">
        <v>2.7</v>
      </c>
      <c r="T81">
        <v>11.7</v>
      </c>
      <c r="U81">
        <v>-0.1</v>
      </c>
      <c r="V81">
        <v>18.3</v>
      </c>
    </row>
    <row r="82" spans="3:22">
      <c r="D82" t="s">
        <v>47</v>
      </c>
      <c r="E82">
        <v>100</v>
      </c>
      <c r="F82">
        <v>104.7</v>
      </c>
      <c r="G82">
        <v>108.9</v>
      </c>
      <c r="H82">
        <v>114</v>
      </c>
      <c r="I82">
        <v>120.5</v>
      </c>
      <c r="J82">
        <v>128</v>
      </c>
      <c r="K82">
        <v>128</v>
      </c>
      <c r="L82">
        <v>137.4</v>
      </c>
      <c r="M82">
        <v>145.6</v>
      </c>
      <c r="N82">
        <v>151.6</v>
      </c>
      <c r="O82" s="12">
        <v>156.30000000000001</v>
      </c>
      <c r="P82" s="12">
        <v>160.4</v>
      </c>
      <c r="Q82" s="12">
        <v>161.1</v>
      </c>
      <c r="R82" s="12">
        <v>2.6</v>
      </c>
      <c r="S82">
        <v>3.1</v>
      </c>
      <c r="T82">
        <v>19</v>
      </c>
      <c r="U82">
        <v>0.3</v>
      </c>
      <c r="V82">
        <v>13.3</v>
      </c>
    </row>
    <row r="83" spans="3:22">
      <c r="D83" t="s">
        <v>48</v>
      </c>
      <c r="E83">
        <v>100</v>
      </c>
      <c r="F83">
        <v>101.3</v>
      </c>
      <c r="G83">
        <v>103.1</v>
      </c>
      <c r="H83">
        <v>106.4</v>
      </c>
      <c r="I83">
        <v>115.8</v>
      </c>
      <c r="J83">
        <v>126.2</v>
      </c>
      <c r="K83">
        <v>126.7</v>
      </c>
      <c r="L83">
        <v>133</v>
      </c>
      <c r="M83">
        <v>140.69999999999999</v>
      </c>
      <c r="N83">
        <v>147.30000000000001</v>
      </c>
      <c r="O83" s="12">
        <v>152.4</v>
      </c>
      <c r="P83" s="12">
        <v>155.19999999999999</v>
      </c>
      <c r="Q83" s="12">
        <v>156.30000000000001</v>
      </c>
      <c r="R83" s="12">
        <v>1.8</v>
      </c>
      <c r="S83">
        <v>3.5</v>
      </c>
      <c r="T83">
        <v>1.9</v>
      </c>
      <c r="U83">
        <v>0.7</v>
      </c>
      <c r="V83">
        <v>10.4</v>
      </c>
    </row>
    <row r="84" spans="3:22">
      <c r="D84" t="s">
        <v>49</v>
      </c>
      <c r="E84">
        <v>100</v>
      </c>
      <c r="F84">
        <v>100.4</v>
      </c>
      <c r="G84">
        <v>100.8</v>
      </c>
      <c r="H84">
        <v>105.6</v>
      </c>
      <c r="I84">
        <v>111</v>
      </c>
      <c r="J84">
        <v>112.7</v>
      </c>
      <c r="K84">
        <v>113.9</v>
      </c>
      <c r="L84">
        <v>120</v>
      </c>
      <c r="M84">
        <v>125.8</v>
      </c>
      <c r="N84">
        <v>133.4</v>
      </c>
      <c r="O84" s="12">
        <v>133.69999999999999</v>
      </c>
      <c r="P84" s="12">
        <v>135.19999999999999</v>
      </c>
      <c r="Q84" s="12">
        <v>136.30000000000001</v>
      </c>
      <c r="R84" s="12">
        <v>1.1000000000000001</v>
      </c>
      <c r="S84">
        <v>0.2</v>
      </c>
      <c r="T84">
        <v>0.1</v>
      </c>
      <c r="U84">
        <v>-2.5</v>
      </c>
      <c r="V84">
        <v>-3.1</v>
      </c>
    </row>
    <row r="85" spans="3:22">
      <c r="D85" t="s">
        <v>50</v>
      </c>
      <c r="E85">
        <v>100</v>
      </c>
      <c r="F85">
        <v>104.8</v>
      </c>
      <c r="G85">
        <v>109.6</v>
      </c>
      <c r="H85">
        <v>115.1</v>
      </c>
      <c r="I85">
        <v>121.8</v>
      </c>
      <c r="J85">
        <v>130.1</v>
      </c>
      <c r="K85">
        <v>130.6</v>
      </c>
      <c r="L85">
        <v>139.30000000000001</v>
      </c>
      <c r="M85">
        <v>147.80000000000001</v>
      </c>
      <c r="N85">
        <v>154.4</v>
      </c>
      <c r="O85" s="12">
        <v>158.69999999999999</v>
      </c>
      <c r="P85" s="12">
        <v>162.4</v>
      </c>
      <c r="Q85" s="12">
        <v>163.5</v>
      </c>
      <c r="R85" s="12">
        <v>2.2999999999999998</v>
      </c>
      <c r="S85">
        <v>2.8</v>
      </c>
      <c r="T85">
        <v>46.8</v>
      </c>
      <c r="U85">
        <v>0</v>
      </c>
      <c r="V85">
        <v>15</v>
      </c>
    </row>
    <row r="86" spans="3:22">
      <c r="D86" t="s">
        <v>51</v>
      </c>
      <c r="E86">
        <v>100</v>
      </c>
      <c r="F86">
        <v>104.1</v>
      </c>
      <c r="G86">
        <v>113.9</v>
      </c>
      <c r="H86">
        <v>113.4</v>
      </c>
      <c r="I86">
        <v>117.6</v>
      </c>
      <c r="J86">
        <v>124.3</v>
      </c>
      <c r="K86">
        <v>122.3</v>
      </c>
      <c r="L86">
        <v>124.3</v>
      </c>
      <c r="M86">
        <v>125.6</v>
      </c>
      <c r="N86">
        <v>130.9</v>
      </c>
      <c r="O86" s="12">
        <v>136.6</v>
      </c>
      <c r="P86" s="12">
        <v>138.4</v>
      </c>
      <c r="Q86" s="12">
        <v>142.4</v>
      </c>
      <c r="R86" s="12">
        <v>1.3</v>
      </c>
      <c r="S86">
        <v>-1.4</v>
      </c>
      <c r="U86">
        <v>-4.0999999999999996</v>
      </c>
      <c r="V86">
        <v>-6.5</v>
      </c>
    </row>
    <row r="87" spans="3:22">
      <c r="O87" s="12"/>
      <c r="P87" s="12"/>
      <c r="R87" s="12"/>
    </row>
    <row r="88" spans="3:22">
      <c r="O88" s="12"/>
      <c r="P88" s="12"/>
      <c r="R88" s="12"/>
    </row>
    <row r="89" spans="3:22">
      <c r="C89" t="s">
        <v>67</v>
      </c>
      <c r="D89" t="s">
        <v>44</v>
      </c>
      <c r="E89">
        <v>100</v>
      </c>
      <c r="F89">
        <v>103.6</v>
      </c>
      <c r="G89">
        <v>109.4</v>
      </c>
      <c r="H89">
        <v>112.9</v>
      </c>
      <c r="I89">
        <v>125.1</v>
      </c>
      <c r="J89">
        <v>134.80000000000001</v>
      </c>
      <c r="K89">
        <v>138.19999999999999</v>
      </c>
      <c r="L89">
        <v>144</v>
      </c>
      <c r="M89">
        <v>151.9</v>
      </c>
      <c r="N89">
        <v>157.80000000000001</v>
      </c>
      <c r="O89" s="12">
        <v>159</v>
      </c>
      <c r="P89" s="12">
        <v>161.19999999999999</v>
      </c>
      <c r="Q89" s="12">
        <v>158.6</v>
      </c>
      <c r="R89" s="12">
        <v>1.4</v>
      </c>
      <c r="S89">
        <v>0.7</v>
      </c>
      <c r="T89">
        <v>1.2</v>
      </c>
      <c r="U89">
        <v>-2</v>
      </c>
      <c r="V89">
        <v>15.2</v>
      </c>
    </row>
    <row r="90" spans="3:22">
      <c r="D90" t="s">
        <v>45</v>
      </c>
      <c r="E90">
        <v>100</v>
      </c>
      <c r="F90">
        <v>104.5</v>
      </c>
      <c r="G90">
        <v>110</v>
      </c>
      <c r="H90">
        <v>115.8</v>
      </c>
      <c r="I90">
        <v>122.8</v>
      </c>
      <c r="J90">
        <v>132.19999999999999</v>
      </c>
      <c r="K90">
        <v>133</v>
      </c>
      <c r="L90">
        <v>141.1</v>
      </c>
      <c r="M90">
        <v>150.4</v>
      </c>
      <c r="N90">
        <v>157.1</v>
      </c>
      <c r="O90" s="12">
        <v>161.19999999999999</v>
      </c>
      <c r="P90" s="12">
        <v>164.9</v>
      </c>
      <c r="Q90" s="12">
        <v>167</v>
      </c>
      <c r="R90" s="12">
        <v>2.4</v>
      </c>
      <c r="S90">
        <v>2.6</v>
      </c>
      <c r="T90">
        <v>5.2</v>
      </c>
      <c r="U90">
        <v>-0.2</v>
      </c>
      <c r="V90">
        <v>16.8</v>
      </c>
    </row>
    <row r="91" spans="3:22">
      <c r="D91" t="s">
        <v>46</v>
      </c>
      <c r="E91">
        <v>100</v>
      </c>
      <c r="F91">
        <v>104.3</v>
      </c>
      <c r="G91">
        <v>109.3</v>
      </c>
      <c r="H91">
        <v>114.3</v>
      </c>
      <c r="I91">
        <v>120.1</v>
      </c>
      <c r="J91">
        <v>128.5</v>
      </c>
      <c r="K91">
        <v>130.1</v>
      </c>
      <c r="L91">
        <v>137.80000000000001</v>
      </c>
      <c r="M91">
        <v>146.5</v>
      </c>
      <c r="N91">
        <v>152.9</v>
      </c>
      <c r="O91" s="12">
        <v>156.1</v>
      </c>
      <c r="P91" s="12">
        <v>159.6</v>
      </c>
      <c r="Q91" s="12">
        <v>161.80000000000001</v>
      </c>
      <c r="R91" s="12">
        <v>2.2999999999999998</v>
      </c>
      <c r="S91">
        <v>2.1</v>
      </c>
      <c r="T91">
        <v>4.5</v>
      </c>
      <c r="U91">
        <v>-0.7</v>
      </c>
      <c r="V91">
        <v>13.1</v>
      </c>
    </row>
    <row r="92" spans="3:22">
      <c r="D92" t="s">
        <v>47</v>
      </c>
      <c r="E92">
        <v>100</v>
      </c>
      <c r="F92">
        <v>104.1</v>
      </c>
      <c r="G92">
        <v>108.4</v>
      </c>
      <c r="H92">
        <v>113.1</v>
      </c>
      <c r="I92">
        <v>118.4</v>
      </c>
      <c r="J92">
        <v>126.3</v>
      </c>
      <c r="K92">
        <v>126.2</v>
      </c>
      <c r="L92">
        <v>133.5</v>
      </c>
      <c r="M92">
        <v>141.9</v>
      </c>
      <c r="N92">
        <v>148.19999999999999</v>
      </c>
      <c r="O92" s="12">
        <v>152.5</v>
      </c>
      <c r="P92" s="12">
        <v>156.4</v>
      </c>
      <c r="Q92" s="12">
        <v>157.80000000000001</v>
      </c>
      <c r="R92" s="12">
        <v>2.6</v>
      </c>
      <c r="S92">
        <v>2.9</v>
      </c>
      <c r="T92">
        <v>2</v>
      </c>
      <c r="U92">
        <v>0.1</v>
      </c>
      <c r="V92">
        <v>10.5</v>
      </c>
    </row>
    <row r="93" spans="3:22">
      <c r="D93" t="s">
        <v>48</v>
      </c>
      <c r="E93">
        <v>100</v>
      </c>
      <c r="F93">
        <v>99.9</v>
      </c>
      <c r="G93">
        <v>102.2</v>
      </c>
      <c r="H93">
        <v>111.7</v>
      </c>
      <c r="I93">
        <v>111.8</v>
      </c>
      <c r="J93">
        <v>125.2</v>
      </c>
      <c r="K93">
        <v>134.5</v>
      </c>
      <c r="L93">
        <v>140.19999999999999</v>
      </c>
      <c r="M93">
        <v>151.6</v>
      </c>
      <c r="N93">
        <v>162.5</v>
      </c>
      <c r="O93" s="12">
        <v>171.8</v>
      </c>
      <c r="P93" s="12">
        <v>180.5</v>
      </c>
      <c r="Q93" s="12">
        <v>181</v>
      </c>
      <c r="R93" s="12">
        <v>5.0999999999999996</v>
      </c>
      <c r="S93">
        <v>5.8</v>
      </c>
      <c r="T93">
        <v>0.2</v>
      </c>
      <c r="U93">
        <v>2.9</v>
      </c>
      <c r="V93">
        <v>24.5</v>
      </c>
    </row>
    <row r="94" spans="3:22">
      <c r="D94" t="s">
        <v>49</v>
      </c>
      <c r="E94">
        <v>100</v>
      </c>
      <c r="F94">
        <v>101.9</v>
      </c>
      <c r="G94">
        <v>106.1</v>
      </c>
      <c r="H94">
        <v>107.2</v>
      </c>
      <c r="I94">
        <v>113.3</v>
      </c>
      <c r="J94">
        <v>122.7</v>
      </c>
      <c r="K94">
        <v>123</v>
      </c>
      <c r="L94">
        <v>134.30000000000001</v>
      </c>
      <c r="M94">
        <v>143.5</v>
      </c>
      <c r="N94">
        <v>149.4</v>
      </c>
      <c r="O94" s="12">
        <v>154</v>
      </c>
      <c r="P94" s="12">
        <v>155.4</v>
      </c>
      <c r="Q94" s="12">
        <v>157.1</v>
      </c>
      <c r="R94" s="12">
        <v>1.1000000000000001</v>
      </c>
      <c r="S94">
        <v>3.1</v>
      </c>
      <c r="T94">
        <v>0.3</v>
      </c>
      <c r="U94">
        <v>0.2</v>
      </c>
      <c r="V94">
        <v>11.6</v>
      </c>
    </row>
    <row r="95" spans="3:22">
      <c r="D95" t="s">
        <v>50</v>
      </c>
      <c r="E95">
        <v>100</v>
      </c>
      <c r="F95">
        <v>104.2</v>
      </c>
      <c r="G95">
        <v>109.3</v>
      </c>
      <c r="H95">
        <v>114.6</v>
      </c>
      <c r="I95">
        <v>120.9</v>
      </c>
      <c r="J95">
        <v>129.69999999999999</v>
      </c>
      <c r="K95">
        <v>130.80000000000001</v>
      </c>
      <c r="L95">
        <v>138.5</v>
      </c>
      <c r="M95">
        <v>147.4</v>
      </c>
      <c r="N95">
        <v>153.9</v>
      </c>
      <c r="O95" s="12">
        <v>157.6</v>
      </c>
      <c r="P95" s="12">
        <v>161.1</v>
      </c>
      <c r="Q95" s="12">
        <v>162.6</v>
      </c>
      <c r="R95" s="12">
        <v>2.2999999999999998</v>
      </c>
      <c r="S95">
        <v>2.4</v>
      </c>
      <c r="T95">
        <v>13.5</v>
      </c>
      <c r="U95">
        <v>-0.4</v>
      </c>
      <c r="V95">
        <v>14.2</v>
      </c>
    </row>
    <row r="96" spans="3:22">
      <c r="D96" t="s">
        <v>51</v>
      </c>
      <c r="E96">
        <v>100</v>
      </c>
      <c r="F96">
        <v>105.7</v>
      </c>
      <c r="G96">
        <v>105.6</v>
      </c>
      <c r="H96">
        <v>114.3</v>
      </c>
      <c r="I96">
        <v>119.6</v>
      </c>
      <c r="J96">
        <v>123.9</v>
      </c>
      <c r="K96">
        <v>126.2</v>
      </c>
      <c r="L96">
        <v>132.5</v>
      </c>
      <c r="M96">
        <v>134.4</v>
      </c>
      <c r="N96">
        <v>145.1</v>
      </c>
      <c r="O96" s="12">
        <v>144.5</v>
      </c>
      <c r="P96" s="12">
        <v>149.9</v>
      </c>
      <c r="Q96" s="12">
        <v>155.30000000000001</v>
      </c>
      <c r="R96" s="12">
        <v>3.7</v>
      </c>
      <c r="S96">
        <v>2.1</v>
      </c>
      <c r="U96">
        <v>-0.7</v>
      </c>
      <c r="V96">
        <v>7.4</v>
      </c>
    </row>
    <row r="98" spans="1:12">
      <c r="C98" t="s">
        <v>81</v>
      </c>
    </row>
    <row r="99" spans="1:12">
      <c r="C99" s="8">
        <v>2.1999999999999999E-2</v>
      </c>
    </row>
    <row r="100" spans="1:12">
      <c r="C100">
        <v>102.2</v>
      </c>
      <c r="D100">
        <v>100</v>
      </c>
    </row>
    <row r="102" spans="1:12" s="12" customFormat="1">
      <c r="A102" s="12" t="s">
        <v>6</v>
      </c>
      <c r="D102" s="12" t="s">
        <v>7</v>
      </c>
      <c r="E102" s="12" t="s">
        <v>8</v>
      </c>
      <c r="F102" s="12" t="s">
        <v>9</v>
      </c>
      <c r="G102" s="12" t="s">
        <v>4</v>
      </c>
      <c r="H102" s="12" t="s">
        <v>5</v>
      </c>
      <c r="I102" s="12" t="s">
        <v>11</v>
      </c>
      <c r="J102" s="12" t="s">
        <v>12</v>
      </c>
    </row>
    <row r="103" spans="1:12" s="12" customFormat="1">
      <c r="A103" s="12" t="s">
        <v>276</v>
      </c>
      <c r="D103" s="12">
        <f>D2*$P$79/$Q$79</f>
        <v>32.599564270152506</v>
      </c>
      <c r="E103" s="12">
        <f>E2*$P$79/$Q$79</f>
        <v>56.805228758169946</v>
      </c>
      <c r="F103" s="12">
        <f>F2*$P$83/$Q$83</f>
        <v>33.164939219449771</v>
      </c>
      <c r="G103" s="12">
        <f>G2*$P$80/$Q$80</f>
        <v>34.942281879194631</v>
      </c>
      <c r="H103" s="12">
        <f>H2*$P$80/$Q$80</f>
        <v>57.773886516168389</v>
      </c>
      <c r="I103" s="12">
        <f>J2*$P$82/$Q$82</f>
        <v>10.280136561142147</v>
      </c>
      <c r="J103" s="12">
        <f>L2*$P$82/$Q$82</f>
        <v>16.959321332505692</v>
      </c>
    </row>
    <row r="104" spans="1:12" s="12" customFormat="1">
      <c r="A104" s="12" t="s">
        <v>277</v>
      </c>
      <c r="D104" s="12">
        <f t="shared" ref="D104:E107" si="15">D3*$P$79/$Q$79</f>
        <v>32.599564270152506</v>
      </c>
      <c r="E104" s="12">
        <f t="shared" si="15"/>
        <v>56.805228758169946</v>
      </c>
      <c r="F104" s="12">
        <f t="shared" ref="F104:F107" si="16">F3*$P$83/$Q$83</f>
        <v>33.164939219449771</v>
      </c>
      <c r="G104" s="12">
        <f t="shared" ref="G104:H110" si="17">G3*$P$80/$Q$80</f>
        <v>34.942281879194631</v>
      </c>
      <c r="H104" s="12">
        <f t="shared" si="17"/>
        <v>57.773886516168389</v>
      </c>
      <c r="I104" s="12">
        <f t="shared" ref="I104:I110" si="18">J3*$P$82/$Q$82</f>
        <v>10.280136561142147</v>
      </c>
      <c r="J104" s="12">
        <f t="shared" ref="J104:J110" si="19">L3*$P$82/$Q$82</f>
        <v>16.959321332505692</v>
      </c>
    </row>
    <row r="105" spans="1:12" s="12" customFormat="1">
      <c r="A105" s="12" t="s">
        <v>278</v>
      </c>
      <c r="D105" s="12">
        <f t="shared" si="15"/>
        <v>32.599564270152506</v>
      </c>
      <c r="E105" s="12">
        <f t="shared" si="15"/>
        <v>56.805228758169946</v>
      </c>
      <c r="F105" s="12">
        <f t="shared" si="16"/>
        <v>33.164939219449771</v>
      </c>
      <c r="G105" s="12">
        <f t="shared" si="17"/>
        <v>34.942281879194631</v>
      </c>
      <c r="H105" s="12">
        <f t="shared" si="17"/>
        <v>57.773886516168389</v>
      </c>
      <c r="I105" s="12">
        <f t="shared" si="18"/>
        <v>10.280136561142147</v>
      </c>
      <c r="J105" s="12">
        <f t="shared" si="19"/>
        <v>16.959321332505692</v>
      </c>
    </row>
    <row r="106" spans="1:12" s="12" customFormat="1">
      <c r="A106" s="12" t="s">
        <v>279</v>
      </c>
      <c r="D106" s="12">
        <f t="shared" si="15"/>
        <v>30.745098039215691</v>
      </c>
      <c r="E106" s="12">
        <f t="shared" si="15"/>
        <v>53.389106753812641</v>
      </c>
      <c r="F106" s="12">
        <f t="shared" si="16"/>
        <v>31.278310940499033</v>
      </c>
      <c r="G106" s="12">
        <f t="shared" si="17"/>
        <v>32.956924954240392</v>
      </c>
      <c r="H106" s="12">
        <f t="shared" si="17"/>
        <v>54.299511897498476</v>
      </c>
      <c r="I106" s="12">
        <f t="shared" si="18"/>
        <v>9.6993378853714063</v>
      </c>
      <c r="J106" s="12">
        <f t="shared" si="19"/>
        <v>16.005152079453755</v>
      </c>
    </row>
    <row r="107" spans="1:12" s="12" customFormat="1">
      <c r="A107" s="12" t="s">
        <v>280</v>
      </c>
      <c r="D107" s="12">
        <f t="shared" si="15"/>
        <v>24.986492374727675</v>
      </c>
      <c r="E107" s="12">
        <f t="shared" si="15"/>
        <v>42.359912854030505</v>
      </c>
      <c r="F107" s="12">
        <f t="shared" si="16"/>
        <v>25.419833653230963</v>
      </c>
      <c r="G107" s="12">
        <f t="shared" si="17"/>
        <v>26.107443563148262</v>
      </c>
      <c r="H107" s="12">
        <f t="shared" si="17"/>
        <v>43.082245271507013</v>
      </c>
      <c r="I107" s="12">
        <f t="shared" si="18"/>
        <v>8.7700600041382177</v>
      </c>
      <c r="J107" s="12">
        <f t="shared" si="19"/>
        <v>14.470184150631077</v>
      </c>
    </row>
    <row r="108" spans="1:12" s="12" customFormat="1">
      <c r="A108" s="12" t="s">
        <v>281</v>
      </c>
      <c r="G108" s="12">
        <f t="shared" si="17"/>
        <v>21.243319097010371</v>
      </c>
      <c r="H108" s="12">
        <f t="shared" si="17"/>
        <v>35.041549725442337</v>
      </c>
      <c r="I108" s="12">
        <f t="shared" si="18"/>
        <v>8.0896958410924888</v>
      </c>
      <c r="J108" s="12">
        <f t="shared" si="19"/>
        <v>13.350072418787503</v>
      </c>
    </row>
    <row r="109" spans="1:12">
      <c r="A109" s="12" t="s">
        <v>282</v>
      </c>
      <c r="B109" s="12"/>
      <c r="C109" s="12"/>
      <c r="D109" s="12"/>
      <c r="E109" s="12"/>
      <c r="F109" s="12"/>
      <c r="G109" s="12">
        <f t="shared" si="17"/>
        <v>12.706284319707137</v>
      </c>
      <c r="H109" s="12">
        <f t="shared" si="17"/>
        <v>20.945515558267235</v>
      </c>
      <c r="I109" s="12">
        <f t="shared" si="18"/>
        <v>7.1189323401613915</v>
      </c>
      <c r="J109" s="12">
        <f t="shared" si="19"/>
        <v>11.74872749844817</v>
      </c>
      <c r="K109" s="12"/>
      <c r="L109" s="12"/>
    </row>
    <row r="110" spans="1:12">
      <c r="A110" s="12" t="s">
        <v>92</v>
      </c>
      <c r="B110" s="12"/>
      <c r="C110" s="12"/>
      <c r="D110" s="12"/>
      <c r="E110" s="12"/>
      <c r="F110" s="12"/>
      <c r="G110" s="12">
        <f t="shared" si="17"/>
        <v>10.919463087248321</v>
      </c>
      <c r="H110" s="12">
        <f t="shared" si="17"/>
        <v>17.967480170835874</v>
      </c>
      <c r="I110" s="12">
        <f t="shared" si="18"/>
        <v>6.3887854334781711</v>
      </c>
      <c r="J110" s="12">
        <f t="shared" si="19"/>
        <v>10.545644527208774</v>
      </c>
      <c r="K110" s="12"/>
      <c r="L110" s="12"/>
    </row>
    <row r="113" spans="1:10">
      <c r="A113" s="12" t="s">
        <v>82</v>
      </c>
      <c r="B113" s="12"/>
      <c r="C113" s="12"/>
      <c r="D113" s="12" t="s">
        <v>7</v>
      </c>
      <c r="E113" s="12" t="s">
        <v>8</v>
      </c>
      <c r="F113" s="12" t="s">
        <v>9</v>
      </c>
      <c r="G113" s="12" t="s">
        <v>4</v>
      </c>
      <c r="H113" s="12" t="s">
        <v>5</v>
      </c>
      <c r="I113" s="12" t="s">
        <v>11</v>
      </c>
      <c r="J113" s="12" t="s">
        <v>12</v>
      </c>
    </row>
    <row r="114" spans="1:10">
      <c r="A114" s="12" t="s">
        <v>276</v>
      </c>
      <c r="B114" s="12"/>
      <c r="C114" s="12"/>
      <c r="D114" s="12">
        <f>D103*100/(P$79*$D$100/O$79)</f>
        <v>31.60508351488744</v>
      </c>
      <c r="E114" s="12">
        <f>E103*100/(P$79*$D$100/O$79)</f>
        <v>55.072331154684107</v>
      </c>
      <c r="F114" s="12">
        <f>F103*100/(P$83*$D$100/O$83)</f>
        <v>32.566602687140119</v>
      </c>
      <c r="G114" s="12">
        <f t="shared" ref="G114:G121" si="20">G103*100/(P$80*$D$100/O$80)</f>
        <v>34.297986577181206</v>
      </c>
      <c r="H114" s="12">
        <f t="shared" ref="H114:H121" si="21">H103*100/(P$80*$D$100/O$80)</f>
        <v>56.708602806589376</v>
      </c>
      <c r="I114" s="12">
        <f t="shared" ref="I114:I120" si="22">I103*100/(P$82*$D$100/O$82)</f>
        <v>10.017364990689012</v>
      </c>
      <c r="J114" s="12">
        <f t="shared" ref="J114:J121" si="23">J103*100/(P$82*$D$100/O$82)</f>
        <v>16.525822470515212</v>
      </c>
    </row>
    <row r="115" spans="1:10">
      <c r="A115" s="12" t="s">
        <v>277</v>
      </c>
      <c r="B115" s="12"/>
      <c r="C115" s="12"/>
      <c r="D115" s="12">
        <f>D104*100/(P$79*$D$100/O$79)</f>
        <v>31.60508351488744</v>
      </c>
      <c r="E115" s="12">
        <f>E104*100/(P$79*$D$100/O$79)</f>
        <v>55.072331154684107</v>
      </c>
      <c r="F115" s="12">
        <f>F104*100/(P$83*$D$100/O$83)</f>
        <v>32.566602687140119</v>
      </c>
      <c r="G115" s="12">
        <f t="shared" si="20"/>
        <v>34.297986577181206</v>
      </c>
      <c r="H115" s="12">
        <f t="shared" si="21"/>
        <v>56.708602806589376</v>
      </c>
      <c r="I115" s="12">
        <f t="shared" si="22"/>
        <v>10.017364990689012</v>
      </c>
      <c r="J115" s="12">
        <f t="shared" si="23"/>
        <v>16.525822470515212</v>
      </c>
    </row>
    <row r="116" spans="1:10">
      <c r="A116" s="12" t="s">
        <v>278</v>
      </c>
      <c r="B116" s="12"/>
      <c r="C116" s="12"/>
      <c r="D116" s="12">
        <f>D105*100/(P$79*$D$100/O$79)</f>
        <v>31.60508351488744</v>
      </c>
      <c r="E116" s="12">
        <f>E105*100/(P$79*$D$100/O$79)</f>
        <v>55.072331154684107</v>
      </c>
      <c r="F116" s="12">
        <f>F105*100/(P$83*$D$100/O$83)</f>
        <v>32.566602687140119</v>
      </c>
      <c r="G116" s="12">
        <f t="shared" si="20"/>
        <v>34.297986577181206</v>
      </c>
      <c r="H116" s="12">
        <f t="shared" si="21"/>
        <v>56.708602806589376</v>
      </c>
      <c r="I116" s="12">
        <f t="shared" si="22"/>
        <v>10.017364990689012</v>
      </c>
      <c r="J116" s="12">
        <f t="shared" si="23"/>
        <v>16.525822470515212</v>
      </c>
    </row>
    <row r="117" spans="1:10" s="12" customFormat="1">
      <c r="A117" s="12" t="s">
        <v>279</v>
      </c>
      <c r="D117" s="12">
        <f>D106*100/(P$79*$D$100/O$79)</f>
        <v>29.80718954248367</v>
      </c>
      <c r="E117" s="12">
        <f>E106*100/(P$79*$D$100/O$79)</f>
        <v>51.760421205519258</v>
      </c>
      <c r="F117" s="12">
        <f>F106*100/(P$83*$D$100/O$83)</f>
        <v>30.714011516314777</v>
      </c>
      <c r="G117" s="12">
        <f t="shared" si="20"/>
        <v>32.349237339841373</v>
      </c>
      <c r="H117" s="12">
        <f t="shared" si="21"/>
        <v>53.298291641244667</v>
      </c>
      <c r="I117" s="12">
        <f t="shared" si="22"/>
        <v>9.4514121663563024</v>
      </c>
      <c r="J117" s="12">
        <f t="shared" si="23"/>
        <v>15.596042830540037</v>
      </c>
    </row>
    <row r="118" spans="1:10" s="12" customFormat="1">
      <c r="A118" s="12" t="s">
        <v>280</v>
      </c>
      <c r="D118" s="12">
        <f>D107*100/(P$79*$D$100/O$79)</f>
        <v>24.224255628177207</v>
      </c>
      <c r="E118" s="12">
        <f>E107*100/(P$79*$D$100/O$79)</f>
        <v>41.067683369644165</v>
      </c>
      <c r="F118" s="12">
        <f>F107*100/(P$83*$D$100/O$83)</f>
        <v>24.96122840690979</v>
      </c>
      <c r="G118" s="12">
        <f t="shared" si="20"/>
        <v>25.626052471018916</v>
      </c>
      <c r="H118" s="12">
        <f t="shared" si="21"/>
        <v>42.287858450274548</v>
      </c>
      <c r="I118" s="12">
        <f t="shared" si="22"/>
        <v>8.545887647423962</v>
      </c>
      <c r="J118" s="12">
        <f t="shared" si="23"/>
        <v>14.100310366232154</v>
      </c>
    </row>
    <row r="119" spans="1:10" s="12" customFormat="1">
      <c r="A119" s="12" t="s">
        <v>281</v>
      </c>
      <c r="G119" s="12">
        <f t="shared" si="20"/>
        <v>20.851616839536302</v>
      </c>
      <c r="H119" s="12">
        <f t="shared" si="21"/>
        <v>34.395424039048194</v>
      </c>
      <c r="I119" s="12">
        <f t="shared" si="22"/>
        <v>7.8829143389199254</v>
      </c>
      <c r="J119" s="12">
        <f t="shared" si="23"/>
        <v>13.008829919304782</v>
      </c>
    </row>
    <row r="120" spans="1:10" s="12" customFormat="1">
      <c r="A120" s="12" t="s">
        <v>282</v>
      </c>
      <c r="G120" s="12">
        <f t="shared" si="20"/>
        <v>12.471995118974984</v>
      </c>
      <c r="H120" s="12">
        <f t="shared" si="21"/>
        <v>20.559304453935326</v>
      </c>
      <c r="I120" s="12">
        <f t="shared" si="22"/>
        <v>6.9369646182495357</v>
      </c>
      <c r="J120" s="12">
        <f t="shared" si="23"/>
        <v>11.448417132216017</v>
      </c>
    </row>
    <row r="121" spans="1:10">
      <c r="A121" s="12" t="s">
        <v>92</v>
      </c>
      <c r="B121" s="12"/>
      <c r="C121" s="12"/>
      <c r="D121" s="12"/>
      <c r="E121" s="12"/>
      <c r="F121" s="12"/>
      <c r="G121" s="12">
        <f t="shared" si="20"/>
        <v>10.718120805369127</v>
      </c>
      <c r="H121" s="12">
        <f t="shared" si="21"/>
        <v>17.636180597925563</v>
      </c>
      <c r="I121" s="12">
        <f>J20*$D$100/$C$100</f>
        <v>6.2214611872146124</v>
      </c>
      <c r="J121" s="12">
        <f t="shared" si="23"/>
        <v>10.276086281812541</v>
      </c>
    </row>
    <row r="122" spans="1:10">
      <c r="A122" s="12" t="s">
        <v>3</v>
      </c>
      <c r="B122" s="12"/>
      <c r="C122" s="12"/>
      <c r="D122" s="12"/>
      <c r="E122" s="12"/>
      <c r="F122" s="12"/>
      <c r="G122" s="12">
        <f>G21*$D$100/$C$100</f>
        <v>3.131115459882583</v>
      </c>
      <c r="H122" s="12">
        <f t="shared" ref="H122" si="24">H21*$D$100/$C$100</f>
        <v>4.6966731898238745</v>
      </c>
      <c r="I122" s="12">
        <f>J21*$D$100/$C$100</f>
        <v>1.451402478799739</v>
      </c>
      <c r="J122" s="12">
        <f>L21*$D$100/$C$100</f>
        <v>2.4706457925636007</v>
      </c>
    </row>
    <row r="124" spans="1:10">
      <c r="A124" s="12" t="s">
        <v>83</v>
      </c>
      <c r="B124" s="12"/>
      <c r="C124" s="12"/>
      <c r="D124" s="12" t="s">
        <v>7</v>
      </c>
      <c r="E124" s="12" t="s">
        <v>8</v>
      </c>
      <c r="F124" s="12" t="s">
        <v>9</v>
      </c>
      <c r="G124" s="12" t="s">
        <v>4</v>
      </c>
      <c r="H124" s="12" t="s">
        <v>5</v>
      </c>
      <c r="I124" s="12" t="s">
        <v>11</v>
      </c>
      <c r="J124" s="12" t="s">
        <v>12</v>
      </c>
    </row>
    <row r="125" spans="1:10">
      <c r="A125" s="12" t="s">
        <v>276</v>
      </c>
      <c r="B125" s="12"/>
      <c r="C125" s="12"/>
      <c r="D125" s="12">
        <f>D114*100/(O$79*$D$100/N$79)</f>
        <v>31.338271604938264</v>
      </c>
      <c r="E125" s="12">
        <f>E114*100/(O$79*$D$100/N$79)</f>
        <v>54.607407407407401</v>
      </c>
      <c r="F125" s="12">
        <f>F114*100/(O$83*$D$100/N$83)</f>
        <v>31.476775431861814</v>
      </c>
      <c r="G125" s="12">
        <f>G114*100/(O$80*$D$100/N$80)</f>
        <v>33.417449664429533</v>
      </c>
      <c r="H125" s="12">
        <f>H114*100/(O$80*$D$100/N$80)</f>
        <v>55.252715070164733</v>
      </c>
      <c r="I125" s="12">
        <f>I114*100/(O$82*$D$100/N$82)</f>
        <v>9.716139044072003</v>
      </c>
      <c r="J125" s="12">
        <f>J114*100/(O$82*$D$100/N$82)</f>
        <v>16.028884750672464</v>
      </c>
    </row>
    <row r="126" spans="1:10">
      <c r="A126" s="12" t="s">
        <v>277</v>
      </c>
      <c r="B126" s="12"/>
      <c r="C126" s="12"/>
      <c r="D126" s="12">
        <f t="shared" ref="D126:D129" si="25">D115*100/(O$79*$D$100/N$79)</f>
        <v>31.338271604938264</v>
      </c>
      <c r="E126" s="12">
        <f t="shared" ref="E126:E129" si="26">E115*100/(O$79*$D$100/N$79)</f>
        <v>54.607407407407401</v>
      </c>
      <c r="F126" s="12">
        <f t="shared" ref="F126:F129" si="27">F115*100/(O$83*$D$100/N$83)</f>
        <v>31.476775431861814</v>
      </c>
      <c r="G126" s="12">
        <f t="shared" ref="G126:G132" si="28">G115*100/(O$80*$D$100/N$80)</f>
        <v>33.417449664429533</v>
      </c>
      <c r="H126" s="12">
        <f t="shared" ref="H126:H132" si="29">H115*100/(O$80*$D$100/N$80)</f>
        <v>55.252715070164733</v>
      </c>
      <c r="I126" s="12">
        <f t="shared" ref="I126:I132" si="30">I115*100/(O$82*$D$100/N$82)</f>
        <v>9.716139044072003</v>
      </c>
      <c r="J126" s="12">
        <f t="shared" ref="J126:J132" si="31">J115*100/(O$82*$D$100/N$82)</f>
        <v>16.028884750672464</v>
      </c>
    </row>
    <row r="127" spans="1:10">
      <c r="A127" s="12" t="s">
        <v>278</v>
      </c>
      <c r="B127" s="12"/>
      <c r="C127" s="12"/>
      <c r="D127" s="12">
        <f t="shared" si="25"/>
        <v>31.338271604938264</v>
      </c>
      <c r="E127" s="12">
        <f t="shared" si="26"/>
        <v>54.607407407407401</v>
      </c>
      <c r="F127" s="12">
        <f t="shared" si="27"/>
        <v>31.476775431861814</v>
      </c>
      <c r="G127" s="12">
        <f t="shared" si="28"/>
        <v>33.417449664429533</v>
      </c>
      <c r="H127" s="12">
        <f t="shared" si="29"/>
        <v>55.252715070164733</v>
      </c>
      <c r="I127" s="12">
        <f t="shared" si="30"/>
        <v>9.716139044072003</v>
      </c>
      <c r="J127" s="12">
        <f t="shared" si="31"/>
        <v>16.028884750672464</v>
      </c>
    </row>
    <row r="128" spans="1:10" s="12" customFormat="1">
      <c r="A128" s="12" t="s">
        <v>279</v>
      </c>
      <c r="D128" s="12">
        <f t="shared" si="25"/>
        <v>29.555555555555557</v>
      </c>
      <c r="E128" s="12">
        <f t="shared" si="26"/>
        <v>51.323456790123458</v>
      </c>
      <c r="F128" s="12">
        <f t="shared" si="27"/>
        <v>29.686180422264876</v>
      </c>
      <c r="G128" s="12">
        <f t="shared" si="28"/>
        <v>31.518730933496045</v>
      </c>
      <c r="H128" s="12">
        <f t="shared" si="29"/>
        <v>51.92995729103113</v>
      </c>
      <c r="I128" s="12">
        <f t="shared" si="30"/>
        <v>9.1672046348024008</v>
      </c>
      <c r="J128" s="12">
        <f t="shared" si="31"/>
        <v>15.12706393544382</v>
      </c>
    </row>
    <row r="129" spans="1:10" s="12" customFormat="1">
      <c r="A129" s="12" t="s">
        <v>280</v>
      </c>
      <c r="D129" s="12">
        <f t="shared" si="25"/>
        <v>24.019753086419758</v>
      </c>
      <c r="E129" s="12">
        <f t="shared" si="26"/>
        <v>40.720987654320986</v>
      </c>
      <c r="F129" s="12">
        <f t="shared" si="27"/>
        <v>24.125911708253362</v>
      </c>
      <c r="G129" s="12">
        <f t="shared" si="28"/>
        <v>24.968151311775475</v>
      </c>
      <c r="H129" s="12">
        <f t="shared" si="29"/>
        <v>41.202196461256861</v>
      </c>
      <c r="I129" s="12">
        <f t="shared" si="30"/>
        <v>8.2889095799710333</v>
      </c>
      <c r="J129" s="12">
        <f t="shared" si="31"/>
        <v>13.67630871094558</v>
      </c>
    </row>
    <row r="130" spans="1:10" s="12" customFormat="1">
      <c r="A130" s="12" t="s">
        <v>281</v>
      </c>
      <c r="G130" s="12">
        <f t="shared" si="28"/>
        <v>20.316290420988405</v>
      </c>
      <c r="H130" s="12">
        <f t="shared" si="29"/>
        <v>33.512385600976202</v>
      </c>
      <c r="I130" s="12">
        <f t="shared" si="30"/>
        <v>7.6458721291123517</v>
      </c>
      <c r="J130" s="12">
        <f t="shared" si="31"/>
        <v>12.617649493068489</v>
      </c>
    </row>
    <row r="131" spans="1:10" s="12" customFormat="1">
      <c r="A131" s="12" t="s">
        <v>282</v>
      </c>
      <c r="G131" s="12">
        <f t="shared" si="28"/>
        <v>12.151799877974376</v>
      </c>
      <c r="H131" s="12">
        <f t="shared" si="29"/>
        <v>20.031482611348384</v>
      </c>
      <c r="I131" s="12">
        <f t="shared" si="30"/>
        <v>6.7283674736188699</v>
      </c>
      <c r="J131" s="12">
        <f t="shared" si="31"/>
        <v>11.104158907510861</v>
      </c>
    </row>
    <row r="132" spans="1:10">
      <c r="A132" s="12" t="s">
        <v>92</v>
      </c>
      <c r="B132" s="12"/>
      <c r="C132" s="12"/>
      <c r="D132" s="12"/>
      <c r="E132" s="12"/>
      <c r="F132" s="12"/>
      <c r="G132" s="12">
        <f t="shared" si="28"/>
        <v>10.442953020134228</v>
      </c>
      <c r="H132" s="12">
        <f t="shared" si="29"/>
        <v>17.18340451494814</v>
      </c>
      <c r="I132" s="12">
        <f t="shared" si="30"/>
        <v>6.0343795008428343</v>
      </c>
      <c r="J132" s="12">
        <f t="shared" si="31"/>
        <v>9.9670804883095379</v>
      </c>
    </row>
    <row r="133" spans="1:10">
      <c r="A133" s="12" t="s">
        <v>3</v>
      </c>
      <c r="B133" s="12"/>
      <c r="C133" s="12"/>
      <c r="D133" s="12"/>
      <c r="E133" s="12"/>
      <c r="F133" s="12"/>
      <c r="G133" s="12">
        <f>G122*100/(O$90*$D$100/N$90)</f>
        <v>3.0514779078632372</v>
      </c>
      <c r="H133" s="12">
        <f>H122*100/(O$90*$D$100/N$90)</f>
        <v>4.5772168617948559</v>
      </c>
      <c r="I133" s="12">
        <f>I122*100/(O$92*$D$100/N$92)</f>
        <v>1.4104776875942382</v>
      </c>
      <c r="J133" s="12">
        <f>J122*100/(O$92*$D$100/N$92)</f>
        <v>2.4009816816913152</v>
      </c>
    </row>
    <row r="135" spans="1:10">
      <c r="A135" s="12" t="s">
        <v>84</v>
      </c>
      <c r="B135" s="12"/>
      <c r="C135" s="12"/>
      <c r="D135" s="12" t="s">
        <v>7</v>
      </c>
      <c r="E135" s="12" t="s">
        <v>8</v>
      </c>
      <c r="F135" s="12" t="s">
        <v>9</v>
      </c>
      <c r="G135" s="12" t="s">
        <v>4</v>
      </c>
      <c r="H135" s="12" t="s">
        <v>5</v>
      </c>
      <c r="I135" s="12" t="s">
        <v>11</v>
      </c>
      <c r="J135" s="12" t="s">
        <v>12</v>
      </c>
    </row>
    <row r="136" spans="1:10">
      <c r="A136" s="12" t="s">
        <v>276</v>
      </c>
      <c r="B136" s="12"/>
      <c r="C136" s="12"/>
      <c r="D136" s="12">
        <f>D125*100/(N$79*$D$100/M$79)</f>
        <v>29.009731299927374</v>
      </c>
      <c r="E136" s="12">
        <f>E125*100/(N$79*$D$100/M$79)</f>
        <v>50.549891067538127</v>
      </c>
      <c r="F136" s="12">
        <f>F125*100/(N$83*$D$100/M$83)</f>
        <v>30.066410748560468</v>
      </c>
      <c r="G136" s="12">
        <f>G125*100/(N$80*$D$100/M$80)</f>
        <v>31.957046979865776</v>
      </c>
      <c r="H136" s="12">
        <f>H125*100/(N$80*$D$100/M$80)</f>
        <v>52.838071995118973</v>
      </c>
      <c r="I136" s="12">
        <f>I125*100/(N$82*$D$100/M$82)</f>
        <v>9.331595282433268</v>
      </c>
      <c r="J136" s="12">
        <f>J125*100/(N$82*$D$100/M$82)</f>
        <v>15.394496172149807</v>
      </c>
    </row>
    <row r="137" spans="1:10">
      <c r="A137" s="12" t="s">
        <v>277</v>
      </c>
      <c r="B137" s="12"/>
      <c r="C137" s="12"/>
      <c r="D137" s="12">
        <f>D126*100/(N$79*$D$100/M$79)</f>
        <v>29.009731299927374</v>
      </c>
      <c r="E137" s="12">
        <f>E126*100/(N$79*$D$100/M$79)</f>
        <v>50.549891067538127</v>
      </c>
      <c r="F137" s="12">
        <f>F126*100/(N$83*$D$100/M$83)</f>
        <v>30.066410748560468</v>
      </c>
      <c r="G137" s="12">
        <f>G126*100/(N$80*$D$100/M$80)</f>
        <v>31.957046979865776</v>
      </c>
      <c r="H137" s="12">
        <f>H126*100/(N$80*$D$100/M$80)</f>
        <v>52.838071995118973</v>
      </c>
      <c r="I137" s="12">
        <f>I126*100/(N$82*$D$100/M$82)</f>
        <v>9.331595282433268</v>
      </c>
      <c r="J137" s="12">
        <f>J126*100/(N$82*$D$100/M$82)</f>
        <v>15.394496172149807</v>
      </c>
    </row>
    <row r="138" spans="1:10">
      <c r="A138" s="12" t="s">
        <v>278</v>
      </c>
      <c r="B138" s="12"/>
      <c r="C138" s="12"/>
      <c r="D138" s="12">
        <f>D127*100/(N$79*$D$100/M$79)</f>
        <v>29.009731299927374</v>
      </c>
      <c r="E138" s="12">
        <f>E127*100/(N$79*$D$100/M$79)</f>
        <v>50.549891067538127</v>
      </c>
      <c r="F138" s="12">
        <f>F127*100/(N$83*$D$100/M$83)</f>
        <v>30.066410748560468</v>
      </c>
      <c r="G138" s="12">
        <f>G127*100/(N$80*$D$100/M$80)</f>
        <v>31.957046979865776</v>
      </c>
      <c r="H138" s="12">
        <f>H127*100/(N$80*$D$100/M$80)</f>
        <v>52.838071995118973</v>
      </c>
      <c r="I138" s="12">
        <f>I127*100/(N$82*$D$100/M$82)</f>
        <v>9.331595282433268</v>
      </c>
      <c r="J138" s="12">
        <f>J127*100/(N$82*$D$100/M$82)</f>
        <v>15.394496172149807</v>
      </c>
    </row>
    <row r="139" spans="1:10" s="12" customFormat="1">
      <c r="A139" s="12" t="s">
        <v>279</v>
      </c>
      <c r="D139" s="12">
        <f t="shared" ref="D139:D140" si="32">D128*100/(N$79*$D$100/M$79)</f>
        <v>27.359477124183012</v>
      </c>
      <c r="E139" s="12">
        <f t="shared" ref="E139:E140" si="33">E128*100/(N$79*$D$100/M$79)</f>
        <v>47.509949164851129</v>
      </c>
      <c r="F139" s="12">
        <f t="shared" ref="F139:F140" si="34">F128*100/(N$83*$D$100/M$83)</f>
        <v>28.356046065259111</v>
      </c>
      <c r="G139" s="12">
        <f t="shared" ref="G139:G143" si="35">G128*100/(N$80*$D$100/M$80)</f>
        <v>30.141305674191592</v>
      </c>
      <c r="H139" s="12">
        <f t="shared" ref="H139:H143" si="36">H128*100/(N$80*$D$100/M$80)</f>
        <v>49.660524710189158</v>
      </c>
      <c r="I139" s="12">
        <f t="shared" ref="I139:I143" si="37">I128*100/(N$82*$D$100/M$82)</f>
        <v>8.8043865094144422</v>
      </c>
      <c r="J139" s="12">
        <f t="shared" ref="J139:J143" si="38">J128*100/(N$82*$D$100/M$82)</f>
        <v>14.528367473618866</v>
      </c>
    </row>
    <row r="140" spans="1:10" s="12" customFormat="1">
      <c r="A140" s="12" t="s">
        <v>280</v>
      </c>
      <c r="D140" s="12">
        <f t="shared" si="32"/>
        <v>22.235003631082073</v>
      </c>
      <c r="E140" s="12">
        <f t="shared" si="33"/>
        <v>37.695279593318809</v>
      </c>
      <c r="F140" s="12">
        <f t="shared" si="34"/>
        <v>23.044913627639154</v>
      </c>
      <c r="G140" s="12">
        <f t="shared" si="35"/>
        <v>23.876998169615625</v>
      </c>
      <c r="H140" s="12">
        <f t="shared" si="36"/>
        <v>39.401586333129956</v>
      </c>
      <c r="I140" s="12">
        <f t="shared" si="37"/>
        <v>7.9608524725843166</v>
      </c>
      <c r="J140" s="12">
        <f t="shared" si="38"/>
        <v>13.135030002069104</v>
      </c>
    </row>
    <row r="141" spans="1:10" s="12" customFormat="1">
      <c r="A141" s="12" t="s">
        <v>281</v>
      </c>
      <c r="G141" s="12">
        <f t="shared" si="35"/>
        <v>19.428431970713849</v>
      </c>
      <c r="H141" s="12">
        <f t="shared" si="36"/>
        <v>32.047834045149486</v>
      </c>
      <c r="I141" s="12">
        <f t="shared" si="37"/>
        <v>7.3432650527622583</v>
      </c>
      <c r="J141" s="12">
        <f t="shared" si="38"/>
        <v>12.118270225532797</v>
      </c>
    </row>
    <row r="142" spans="1:10" s="12" customFormat="1">
      <c r="A142" s="12" t="s">
        <v>282</v>
      </c>
      <c r="G142" s="12">
        <f t="shared" si="35"/>
        <v>11.620744356314828</v>
      </c>
      <c r="H142" s="12">
        <f t="shared" si="36"/>
        <v>19.156070774862723</v>
      </c>
      <c r="I142" s="12">
        <f t="shared" si="37"/>
        <v>6.462073246430788</v>
      </c>
      <c r="J142" s="12">
        <f t="shared" si="38"/>
        <v>10.66468032278088</v>
      </c>
    </row>
    <row r="143" spans="1:10">
      <c r="A143" s="12" t="s">
        <v>92</v>
      </c>
      <c r="B143" s="12"/>
      <c r="C143" s="12"/>
      <c r="D143" s="12"/>
      <c r="E143" s="12"/>
      <c r="F143" s="12"/>
      <c r="G143" s="12">
        <f t="shared" si="35"/>
        <v>9.9865771812080535</v>
      </c>
      <c r="H143" s="12">
        <f t="shared" si="36"/>
        <v>16.432458816351435</v>
      </c>
      <c r="I143" s="12">
        <f t="shared" si="37"/>
        <v>5.7955518161129067</v>
      </c>
      <c r="J143" s="12">
        <f t="shared" si="38"/>
        <v>9.5726050072418776</v>
      </c>
    </row>
    <row r="144" spans="1:10">
      <c r="A144" s="12" t="s">
        <v>3</v>
      </c>
      <c r="B144" s="12"/>
      <c r="C144" s="12"/>
      <c r="D144" s="12"/>
      <c r="E144" s="12"/>
      <c r="F144" s="12"/>
      <c r="G144" s="12">
        <f>G133*100/(N$90*$D$100/M$90)</f>
        <v>2.9213384935877205</v>
      </c>
      <c r="H144" s="12">
        <f>H133*100/(N$90*$D$100/M$90)</f>
        <v>4.3820077403815807</v>
      </c>
      <c r="I144" s="12">
        <f>I133*100/(N$92*$D$100/M$92)</f>
        <v>1.350518109781528</v>
      </c>
      <c r="J144" s="12">
        <f>J133*100/(N$92*$D$100/M$92)</f>
        <v>2.2989156587854094</v>
      </c>
    </row>
    <row r="146" spans="1:10">
      <c r="A146" s="12" t="s">
        <v>85</v>
      </c>
      <c r="B146" s="12"/>
      <c r="C146" s="12"/>
      <c r="D146" s="12" t="s">
        <v>7</v>
      </c>
      <c r="E146" s="12" t="s">
        <v>8</v>
      </c>
      <c r="F146" s="12" t="s">
        <v>9</v>
      </c>
      <c r="G146" s="12" t="s">
        <v>4</v>
      </c>
      <c r="H146" s="12" t="s">
        <v>5</v>
      </c>
      <c r="I146" s="12" t="s">
        <v>11</v>
      </c>
      <c r="J146" s="12" t="s">
        <v>12</v>
      </c>
    </row>
    <row r="147" spans="1:10">
      <c r="A147" s="12" t="s">
        <v>276</v>
      </c>
      <c r="B147" s="12"/>
      <c r="C147" s="12"/>
      <c r="D147" s="12">
        <f>D136*100/(M$79*$D$100/L$79)</f>
        <v>28.136528685548292</v>
      </c>
      <c r="E147" s="12">
        <f>E136*100/(M$79*$D$100/L$79)</f>
        <v>49.028322440087152</v>
      </c>
      <c r="F147" s="12">
        <f>F136*100/(M$83*$D$100/L$83)</f>
        <v>28.420985284708909</v>
      </c>
      <c r="G147" s="12">
        <f>G136*100/(M$80*$D$100/L$80)</f>
        <v>30.02416107382551</v>
      </c>
      <c r="H147" s="12">
        <f>H136*100/(M$80*$D$100/L$80)</f>
        <v>49.64222086638194</v>
      </c>
      <c r="I147" s="12">
        <f>I136*100/(M$82*$D$100/L$82)</f>
        <v>8.8060521415269992</v>
      </c>
      <c r="J147" s="12">
        <f>J136*100/(M$82*$D$100/L$82)</f>
        <v>14.527498448168844</v>
      </c>
    </row>
    <row r="148" spans="1:10">
      <c r="A148" s="12" t="s">
        <v>277</v>
      </c>
      <c r="B148" s="12"/>
      <c r="C148" s="12"/>
      <c r="D148" s="12">
        <f>D137*100/(M$79*$D$100/L$79)</f>
        <v>28.136528685548292</v>
      </c>
      <c r="E148" s="12">
        <f>E137*100/(M$79*$D$100/L$79)</f>
        <v>49.028322440087152</v>
      </c>
      <c r="F148" s="12">
        <f>F137*100/(M$83*$D$100/L$83)</f>
        <v>28.420985284708909</v>
      </c>
      <c r="G148" s="12">
        <f>G137*100/(M$80*$D$100/L$80)</f>
        <v>30.02416107382551</v>
      </c>
      <c r="H148" s="12">
        <f>H137*100/(M$80*$D$100/L$80)</f>
        <v>49.64222086638194</v>
      </c>
      <c r="I148" s="12">
        <f>I137*100/(M$82*$D$100/L$82)</f>
        <v>8.8060521415269992</v>
      </c>
      <c r="J148" s="12">
        <f>J137*100/(M$82*$D$100/L$82)</f>
        <v>14.527498448168844</v>
      </c>
    </row>
    <row r="149" spans="1:10">
      <c r="A149" s="12" t="s">
        <v>278</v>
      </c>
      <c r="B149" s="12"/>
      <c r="C149" s="12"/>
      <c r="D149" s="12">
        <f>D138*100/(M$79*$D$100/L$79)</f>
        <v>28.136528685548292</v>
      </c>
      <c r="E149" s="12">
        <f>E138*100/(M$79*$D$100/L$79)</f>
        <v>49.028322440087152</v>
      </c>
      <c r="F149" s="12">
        <f>F138*100/(M$83*$D$100/L$83)</f>
        <v>28.420985284708909</v>
      </c>
      <c r="G149" s="12">
        <f>G138*100/(M$80*$D$100/L$80)</f>
        <v>30.02416107382551</v>
      </c>
      <c r="H149" s="12">
        <f>H138*100/(M$80*$D$100/L$80)</f>
        <v>49.64222086638194</v>
      </c>
      <c r="I149" s="12">
        <f>I138*100/(M$82*$D$100/L$82)</f>
        <v>8.8060521415269992</v>
      </c>
      <c r="J149" s="12">
        <f>J138*100/(M$82*$D$100/L$82)</f>
        <v>14.527498448168844</v>
      </c>
    </row>
    <row r="150" spans="1:10" s="12" customFormat="1">
      <c r="A150" s="12" t="s">
        <v>279</v>
      </c>
      <c r="D150" s="12">
        <f t="shared" ref="D150:D151" si="39">D139*100/(M$79*$D$100/L$79)</f>
        <v>26.535947712418309</v>
      </c>
      <c r="E150" s="12">
        <f t="shared" ref="E150:E151" si="40">E139*100/(M$79*$D$100/L$79)</f>
        <v>46.07988380537401</v>
      </c>
      <c r="F150" s="12">
        <f t="shared" ref="F150:F151" si="41">F139*100/(M$83*$D$100/L$83)</f>
        <v>26.804222648752397</v>
      </c>
      <c r="G150" s="12">
        <f t="shared" ref="G150:G154" si="42">G139*100/(M$80*$D$100/L$80)</f>
        <v>28.318242830994524</v>
      </c>
      <c r="H150" s="12">
        <f t="shared" ref="H150:H154" si="43">H139*100/(M$80*$D$100/L$80)</f>
        <v>46.656863941427716</v>
      </c>
      <c r="I150" s="12">
        <f t="shared" ref="I150:I154" si="44">I139*100/(M$82*$D$100/L$82)</f>
        <v>8.3085350713842328</v>
      </c>
      <c r="J150" s="12">
        <f t="shared" ref="J150:J154" si="45">J139*100/(M$82*$D$100/L$82)</f>
        <v>13.710148975791432</v>
      </c>
    </row>
    <row r="151" spans="1:10" s="12" customFormat="1">
      <c r="A151" s="12" t="s">
        <v>280</v>
      </c>
      <c r="D151" s="12">
        <f t="shared" si="39"/>
        <v>21.565722585330438</v>
      </c>
      <c r="E151" s="12">
        <f t="shared" si="40"/>
        <v>36.560639070442996</v>
      </c>
      <c r="F151" s="12">
        <f t="shared" si="41"/>
        <v>21.783749200255919</v>
      </c>
      <c r="G151" s="12">
        <f t="shared" si="42"/>
        <v>22.432824893227586</v>
      </c>
      <c r="H151" s="12">
        <f t="shared" si="43"/>
        <v>37.018425869432576</v>
      </c>
      <c r="I151" s="12">
        <f t="shared" si="44"/>
        <v>7.5125077591558043</v>
      </c>
      <c r="J151" s="12">
        <f t="shared" si="45"/>
        <v>12.395282433271257</v>
      </c>
    </row>
    <row r="152" spans="1:10" s="12" customFormat="1">
      <c r="A152" s="12" t="s">
        <v>281</v>
      </c>
      <c r="G152" s="12">
        <f t="shared" si="42"/>
        <v>18.253325198291641</v>
      </c>
      <c r="H152" s="12">
        <f t="shared" si="43"/>
        <v>30.109456985967057</v>
      </c>
      <c r="I152" s="12">
        <f t="shared" si="44"/>
        <v>6.9297020484171314</v>
      </c>
      <c r="J152" s="12">
        <f t="shared" si="45"/>
        <v>11.435785226567351</v>
      </c>
    </row>
    <row r="153" spans="1:10" s="12" customFormat="1">
      <c r="A153" s="12" t="s">
        <v>282</v>
      </c>
      <c r="G153" s="12">
        <f t="shared" si="42"/>
        <v>10.917876754118367</v>
      </c>
      <c r="H153" s="12">
        <f t="shared" si="43"/>
        <v>17.997437461866994</v>
      </c>
      <c r="I153" s="12">
        <f t="shared" si="44"/>
        <v>6.0981378026070763</v>
      </c>
      <c r="J153" s="12">
        <f t="shared" si="45"/>
        <v>10.064059590316573</v>
      </c>
    </row>
    <row r="154" spans="1:10">
      <c r="A154" s="12" t="s">
        <v>92</v>
      </c>
      <c r="B154" s="12"/>
      <c r="C154" s="12"/>
      <c r="D154" s="12"/>
      <c r="E154" s="12"/>
      <c r="F154" s="12"/>
      <c r="G154" s="12">
        <f t="shared" si="42"/>
        <v>9.3825503355704694</v>
      </c>
      <c r="H154" s="12">
        <f t="shared" si="43"/>
        <v>15.438560097620501</v>
      </c>
      <c r="I154" s="12">
        <f t="shared" si="44"/>
        <v>5.4691539803153395</v>
      </c>
      <c r="J154" s="12">
        <f t="shared" si="45"/>
        <v>9.0334885164494096</v>
      </c>
    </row>
    <row r="155" spans="1:10">
      <c r="A155" s="12" t="s">
        <v>3</v>
      </c>
      <c r="B155" s="12"/>
      <c r="C155" s="12"/>
      <c r="D155" s="12"/>
      <c r="E155" s="12"/>
      <c r="F155" s="12"/>
      <c r="G155" s="12">
        <f>G144*100/(M$90*$D$100/L$90)</f>
        <v>2.7406972170560331</v>
      </c>
      <c r="H155" s="12">
        <f>H144*100/(M$90*$D$100/L$90)</f>
        <v>4.111045825584049</v>
      </c>
      <c r="I155" s="12">
        <f>I144*100/(M$92*$D$100/L$92)</f>
        <v>1.2705720060312471</v>
      </c>
      <c r="J155" s="12">
        <f>J144*100/(M$92*$D$100/L$92)</f>
        <v>2.1628276282442012</v>
      </c>
    </row>
    <row r="157" spans="1:10">
      <c r="A157" s="12" t="s">
        <v>86</v>
      </c>
      <c r="B157" s="12"/>
      <c r="C157" s="12"/>
      <c r="D157" s="12" t="s">
        <v>7</v>
      </c>
      <c r="E157" s="12" t="s">
        <v>8</v>
      </c>
      <c r="F157" s="12" t="s">
        <v>9</v>
      </c>
      <c r="G157" s="12" t="s">
        <v>4</v>
      </c>
      <c r="H157" s="12" t="s">
        <v>5</v>
      </c>
      <c r="I157" s="12" t="s">
        <v>11</v>
      </c>
      <c r="J157" s="12" t="s">
        <v>12</v>
      </c>
    </row>
    <row r="158" spans="1:10">
      <c r="A158" s="12" t="s">
        <v>276</v>
      </c>
      <c r="B158" s="12"/>
      <c r="C158" s="12"/>
      <c r="D158" s="12">
        <f>D147*100/(L$79*$D$100/K$79)</f>
        <v>26.171822803195354</v>
      </c>
      <c r="E158" s="12">
        <f>E147*100/(L$79*$D$100/K$79)</f>
        <v>45.604793028322447</v>
      </c>
      <c r="F158" s="12">
        <f>F147*100/(L$83*$D$100/K$83)</f>
        <v>27.074728087012172</v>
      </c>
      <c r="G158" s="12">
        <f>G147*100/(L$80*$D$100/K$80)</f>
        <v>28.284563758389265</v>
      </c>
      <c r="H158" s="12">
        <f>H147*100/(L$80*$D$100/K$80)</f>
        <v>46.765954850518597</v>
      </c>
      <c r="I158" s="12">
        <f>I147*100/(L$82*$D$100/K$82)</f>
        <v>8.2036002482929824</v>
      </c>
      <c r="J158" s="12">
        <f>J147*100/(L$82*$D$100/K$82)</f>
        <v>13.533623008483348</v>
      </c>
    </row>
    <row r="159" spans="1:10">
      <c r="A159" s="12" t="s">
        <v>277</v>
      </c>
      <c r="B159" s="12"/>
      <c r="C159" s="12"/>
      <c r="D159" s="12">
        <f>D148*100/(L$79*$D$100/K$79)</f>
        <v>26.171822803195354</v>
      </c>
      <c r="E159" s="12">
        <f>E148*100/(L$79*$D$100/K$79)</f>
        <v>45.604793028322447</v>
      </c>
      <c r="F159" s="12">
        <f>F148*100/(L$83*$D$100/K$83)</f>
        <v>27.074728087012172</v>
      </c>
      <c r="G159" s="12">
        <f>G148*100/(L$80*$D$100/K$80)</f>
        <v>28.284563758389265</v>
      </c>
      <c r="H159" s="12">
        <f>H148*100/(L$80*$D$100/K$80)</f>
        <v>46.765954850518597</v>
      </c>
      <c r="I159" s="12">
        <f>I148*100/(L$82*$D$100/K$82)</f>
        <v>8.2036002482929824</v>
      </c>
      <c r="J159" s="12">
        <f>J148*100/(L$82*$D$100/K$82)</f>
        <v>13.533623008483348</v>
      </c>
    </row>
    <row r="160" spans="1:10">
      <c r="A160" s="12" t="s">
        <v>278</v>
      </c>
      <c r="B160" s="12"/>
      <c r="C160" s="12"/>
      <c r="D160" s="12">
        <f>D149*100/(L$79*$D$100/K$79)</f>
        <v>26.171822803195354</v>
      </c>
      <c r="E160" s="12">
        <f>E149*100/(L$79*$D$100/K$79)</f>
        <v>45.604793028322447</v>
      </c>
      <c r="F160" s="12">
        <f>F149*100/(L$83*$D$100/K$83)</f>
        <v>27.074728087012172</v>
      </c>
      <c r="G160" s="12">
        <f>G149*100/(L$80*$D$100/K$80)</f>
        <v>28.284563758389265</v>
      </c>
      <c r="H160" s="12">
        <f>H149*100/(L$80*$D$100/K$80)</f>
        <v>46.765954850518597</v>
      </c>
      <c r="I160" s="12">
        <f>I149*100/(L$82*$D$100/K$82)</f>
        <v>8.2036002482929824</v>
      </c>
      <c r="J160" s="12">
        <f>J149*100/(L$82*$D$100/K$82)</f>
        <v>13.533623008483348</v>
      </c>
    </row>
    <row r="161" spans="1:10" s="12" customFormat="1">
      <c r="A161" s="12" t="s">
        <v>279</v>
      </c>
      <c r="D161" s="12">
        <f t="shared" ref="D161:D162" si="46">D150*100/(L$79*$D$100/K$79)</f>
        <v>24.683006535947722</v>
      </c>
      <c r="E161" s="12">
        <f t="shared" ref="E161:E162" si="47">E150*100/(L$79*$D$100/K$79)</f>
        <v>42.862236746550487</v>
      </c>
      <c r="F161" s="12">
        <f t="shared" ref="F161:F162" si="48">F150*100/(L$83*$D$100/K$83)</f>
        <v>25.534548944337811</v>
      </c>
      <c r="G161" s="12">
        <f t="shared" ref="G161:G165" si="49">G150*100/(L$80*$D$100/K$80)</f>
        <v>26.677486272117154</v>
      </c>
      <c r="H161" s="12">
        <f t="shared" ref="H161:H165" si="50">H150*100/(L$80*$D$100/K$80)</f>
        <v>43.953569249542412</v>
      </c>
      <c r="I161" s="12">
        <f t="shared" ref="I161:I165" si="51">I150*100/(L$82*$D$100/K$82)</f>
        <v>7.740120008276433</v>
      </c>
      <c r="J161" s="12">
        <f t="shared" ref="J161:J165" si="52">J150*100/(L$82*$D$100/K$82)</f>
        <v>12.772191185599006</v>
      </c>
    </row>
    <row r="162" spans="1:10" s="12" customFormat="1">
      <c r="A162" s="12" t="s">
        <v>280</v>
      </c>
      <c r="D162" s="12">
        <f t="shared" si="46"/>
        <v>20.059840232389259</v>
      </c>
      <c r="E162" s="12">
        <f t="shared" si="47"/>
        <v>34.007697893972406</v>
      </c>
      <c r="F162" s="12">
        <f t="shared" si="48"/>
        <v>20.751887396033272</v>
      </c>
      <c r="G162" s="12">
        <f t="shared" si="49"/>
        <v>21.133068944478342</v>
      </c>
      <c r="H162" s="12">
        <f t="shared" si="50"/>
        <v>34.873581452104929</v>
      </c>
      <c r="I162" s="12">
        <f t="shared" si="51"/>
        <v>6.9985516242499486</v>
      </c>
      <c r="J162" s="12">
        <f t="shared" si="52"/>
        <v>11.547279122698114</v>
      </c>
    </row>
    <row r="163" spans="1:10" s="12" customFormat="1">
      <c r="A163" s="12" t="s">
        <v>281</v>
      </c>
      <c r="G163" s="12">
        <f t="shared" si="49"/>
        <v>17.195729103111649</v>
      </c>
      <c r="H163" s="12">
        <f t="shared" si="50"/>
        <v>28.364917632702866</v>
      </c>
      <c r="I163" s="12">
        <f t="shared" si="51"/>
        <v>6.4556176288019849</v>
      </c>
      <c r="J163" s="12">
        <f t="shared" si="52"/>
        <v>10.653424374094765</v>
      </c>
    </row>
    <row r="164" spans="1:10" s="12" customFormat="1">
      <c r="A164" s="12" t="s">
        <v>282</v>
      </c>
      <c r="G164" s="12">
        <f t="shared" si="49"/>
        <v>10.285295912141549</v>
      </c>
      <c r="H164" s="12">
        <f t="shared" si="50"/>
        <v>16.954667480170833</v>
      </c>
      <c r="I164" s="12">
        <f t="shared" si="51"/>
        <v>5.6809435133457482</v>
      </c>
      <c r="J164" s="12">
        <f t="shared" si="52"/>
        <v>9.3755431409062684</v>
      </c>
    </row>
    <row r="165" spans="1:10">
      <c r="A165" s="12" t="s">
        <v>92</v>
      </c>
      <c r="B165" s="12"/>
      <c r="C165" s="12"/>
      <c r="D165" s="12"/>
      <c r="E165" s="12"/>
      <c r="F165" s="12"/>
      <c r="G165" s="12">
        <f t="shared" si="49"/>
        <v>8.8389261744966419</v>
      </c>
      <c r="H165" s="12">
        <f t="shared" si="50"/>
        <v>14.544051250762656</v>
      </c>
      <c r="I165" s="12">
        <f t="shared" si="51"/>
        <v>5.0949906075717868</v>
      </c>
      <c r="J165" s="12">
        <f t="shared" si="52"/>
        <v>8.4154769294434093</v>
      </c>
    </row>
    <row r="166" spans="1:10">
      <c r="A166" s="12" t="s">
        <v>3</v>
      </c>
      <c r="B166" s="12"/>
      <c r="C166" s="12"/>
      <c r="D166" s="12"/>
      <c r="E166" s="12"/>
      <c r="F166" s="12"/>
      <c r="G166" s="12">
        <f>G155*100/(L$90*$D$100/K$90)</f>
        <v>2.5833644923348857</v>
      </c>
      <c r="H166" s="12">
        <f>H155*100/(L$90*$D$100/K$90)</f>
        <v>3.8750467385023284</v>
      </c>
      <c r="I166" s="12">
        <f>I155*100/(L$92*$D$100/K$92)</f>
        <v>1.2010950349149319</v>
      </c>
      <c r="J166" s="12">
        <f>J155*100/(L$92*$D$100/K$92)</f>
        <v>2.0445606493214847</v>
      </c>
    </row>
    <row r="168" spans="1:10">
      <c r="A168" s="12" t="s">
        <v>87</v>
      </c>
      <c r="B168" s="12"/>
      <c r="C168" s="12"/>
      <c r="D168" s="12" t="s">
        <v>7</v>
      </c>
      <c r="E168" s="12" t="s">
        <v>8</v>
      </c>
      <c r="F168" s="12" t="s">
        <v>9</v>
      </c>
      <c r="G168" s="12" t="s">
        <v>4</v>
      </c>
      <c r="H168" s="12" t="s">
        <v>5</v>
      </c>
      <c r="I168" s="12" t="s">
        <v>11</v>
      </c>
      <c r="J168" s="12" t="s">
        <v>12</v>
      </c>
    </row>
    <row r="169" spans="1:10">
      <c r="A169" s="12" t="s">
        <v>276</v>
      </c>
      <c r="B169" s="12"/>
      <c r="C169" s="12"/>
      <c r="D169" s="12">
        <f>D158*100/(K$79*$D$100/J$79)</f>
        <v>25.832244008714596</v>
      </c>
      <c r="E169" s="12">
        <f>E158*100/(K$79*$D$100/J$79)</f>
        <v>45.013071895424844</v>
      </c>
      <c r="F169" s="12">
        <f>F158*100/(K$83*$D$100/J$83)</f>
        <v>26.967882277671162</v>
      </c>
      <c r="G169" s="12">
        <f>G158*100/(K$80*$D$100/J$80)</f>
        <v>28.177181208053693</v>
      </c>
      <c r="H169" s="12">
        <f>H158*100/(K$80*$D$100/J$80)</f>
        <v>46.58840756558876</v>
      </c>
      <c r="I169" s="12">
        <f>I158*100/(K$82*$D$100/J$82)</f>
        <v>8.2036002482929824</v>
      </c>
      <c r="J169" s="12">
        <f>J158*100/(K$82*$D$100/J$82)</f>
        <v>13.533623008483348</v>
      </c>
    </row>
    <row r="170" spans="1:10">
      <c r="A170" s="12" t="s">
        <v>277</v>
      </c>
      <c r="B170" s="12"/>
      <c r="C170" s="12"/>
      <c r="D170" s="12">
        <f>D159*100/(K$79*$D$100/J$79)</f>
        <v>25.832244008714596</v>
      </c>
      <c r="E170" s="12">
        <f>E159*100/(K$79*$D$100/J$79)</f>
        <v>45.013071895424844</v>
      </c>
      <c r="F170" s="12">
        <f>F159*100/(K$83*$D$100/J$83)</f>
        <v>26.967882277671162</v>
      </c>
      <c r="G170" s="12">
        <f>G159*100/(K$80*$D$100/J$80)</f>
        <v>28.177181208053693</v>
      </c>
      <c r="H170" s="12">
        <f>H159*100/(K$80*$D$100/J$80)</f>
        <v>46.58840756558876</v>
      </c>
      <c r="I170" s="12">
        <f>I159*100/(K$82*$D$100/J$82)</f>
        <v>8.2036002482929824</v>
      </c>
      <c r="J170" s="12">
        <f>J159*100/(K$82*$D$100/J$82)</f>
        <v>13.533623008483348</v>
      </c>
    </row>
    <row r="171" spans="1:10">
      <c r="A171" s="12" t="s">
        <v>278</v>
      </c>
      <c r="B171" s="12"/>
      <c r="C171" s="12"/>
      <c r="D171" s="12">
        <f>D160*100/(K$79*$D$100/J$79)</f>
        <v>25.832244008714596</v>
      </c>
      <c r="E171" s="12">
        <f>E160*100/(K$79*$D$100/J$79)</f>
        <v>45.013071895424844</v>
      </c>
      <c r="F171" s="12">
        <f>F160*100/(K$83*$D$100/J$83)</f>
        <v>26.967882277671162</v>
      </c>
      <c r="G171" s="12">
        <f>G160*100/(K$80*$D$100/J$80)</f>
        <v>28.177181208053693</v>
      </c>
      <c r="H171" s="12">
        <f>H160*100/(K$80*$D$100/J$80)</f>
        <v>46.58840756558876</v>
      </c>
      <c r="I171" s="12">
        <f>I160*100/(K$82*$D$100/J$82)</f>
        <v>8.2036002482929824</v>
      </c>
      <c r="J171" s="12">
        <f>J160*100/(K$82*$D$100/J$82)</f>
        <v>13.533623008483348</v>
      </c>
    </row>
    <row r="172" spans="1:10" s="12" customFormat="1">
      <c r="A172" s="12" t="s">
        <v>279</v>
      </c>
      <c r="D172" s="12">
        <f t="shared" ref="D172:D173" si="53">D161*100/(K$79*$D$100/J$79)</f>
        <v>24.362745098039223</v>
      </c>
      <c r="E172" s="12">
        <f t="shared" ref="E172:E173" si="54">E161*100/(K$79*$D$100/J$79)</f>
        <v>42.306100217864937</v>
      </c>
      <c r="F172" s="12">
        <f t="shared" ref="F172:F173" si="55">F161*100/(K$83*$D$100/J$83)</f>
        <v>25.433781190019193</v>
      </c>
      <c r="G172" s="12">
        <f t="shared" ref="G172:G176" si="56">G161*100/(K$80*$D$100/J$80)</f>
        <v>26.576205003050649</v>
      </c>
      <c r="H172" s="12">
        <f t="shared" ref="H172:H176" si="57">H161*100/(K$80*$D$100/J$80)</f>
        <v>43.786699206833447</v>
      </c>
      <c r="I172" s="12">
        <f t="shared" ref="I172:I176" si="58">I161*100/(K$82*$D$100/J$82)</f>
        <v>7.740120008276433</v>
      </c>
      <c r="J172" s="12">
        <f t="shared" ref="J172:J176" si="59">J161*100/(K$82*$D$100/J$82)</f>
        <v>12.772191185599006</v>
      </c>
    </row>
    <row r="173" spans="1:10" s="12" customFormat="1">
      <c r="A173" s="12" t="s">
        <v>280</v>
      </c>
      <c r="D173" s="12">
        <f t="shared" si="53"/>
        <v>19.799564270152512</v>
      </c>
      <c r="E173" s="12">
        <f t="shared" si="54"/>
        <v>33.566448801742915</v>
      </c>
      <c r="F173" s="12">
        <f t="shared" si="55"/>
        <v>20.669993602047345</v>
      </c>
      <c r="G173" s="12">
        <f t="shared" si="56"/>
        <v>21.052837095790117</v>
      </c>
      <c r="H173" s="12">
        <f t="shared" si="57"/>
        <v>34.741183648566185</v>
      </c>
      <c r="I173" s="12">
        <f t="shared" si="58"/>
        <v>6.9985516242499486</v>
      </c>
      <c r="J173" s="12">
        <f t="shared" si="59"/>
        <v>11.547279122698114</v>
      </c>
    </row>
    <row r="174" spans="1:10" s="12" customFormat="1">
      <c r="A174" s="12" t="s">
        <v>281</v>
      </c>
      <c r="G174" s="12">
        <f t="shared" si="56"/>
        <v>17.130445393532639</v>
      </c>
      <c r="H174" s="12">
        <f t="shared" si="57"/>
        <v>28.257230018303847</v>
      </c>
      <c r="I174" s="12">
        <f t="shared" si="58"/>
        <v>6.4556176288019849</v>
      </c>
      <c r="J174" s="12">
        <f t="shared" si="59"/>
        <v>10.653424374094765</v>
      </c>
    </row>
    <row r="175" spans="1:10" s="12" customFormat="1">
      <c r="A175" s="12" t="s">
        <v>282</v>
      </c>
      <c r="G175" s="12">
        <f t="shared" si="56"/>
        <v>10.246247712019526</v>
      </c>
      <c r="H175" s="12">
        <f t="shared" si="57"/>
        <v>16.890298962782182</v>
      </c>
      <c r="I175" s="12">
        <f t="shared" si="58"/>
        <v>5.6809435133457491</v>
      </c>
      <c r="J175" s="12">
        <f t="shared" si="59"/>
        <v>9.3755431409062684</v>
      </c>
    </row>
    <row r="176" spans="1:10">
      <c r="A176" s="12" t="s">
        <v>92</v>
      </c>
      <c r="B176" s="12"/>
      <c r="C176" s="12"/>
      <c r="D176" s="12"/>
      <c r="E176" s="12"/>
      <c r="F176" s="12"/>
      <c r="G176" s="12">
        <f t="shared" si="56"/>
        <v>8.8053691275167765</v>
      </c>
      <c r="H176" s="12">
        <f t="shared" si="57"/>
        <v>14.488834655277605</v>
      </c>
      <c r="I176" s="12">
        <f t="shared" si="58"/>
        <v>5.0949906075717868</v>
      </c>
      <c r="J176" s="12">
        <f t="shared" si="59"/>
        <v>8.4154769294434093</v>
      </c>
    </row>
    <row r="177" spans="1:10">
      <c r="A177" s="12" t="s">
        <v>3</v>
      </c>
      <c r="B177" s="12"/>
      <c r="C177" s="12"/>
      <c r="D177" s="12"/>
      <c r="E177" s="12"/>
      <c r="F177" s="12"/>
      <c r="G177" s="12">
        <f>G166*100/(K$90*$D$100/J$90)</f>
        <v>2.5678254577945254</v>
      </c>
      <c r="H177" s="12">
        <f>H166*100/(K$90*$D$100/J$90)</f>
        <v>3.8517381866917879</v>
      </c>
      <c r="I177" s="12">
        <f>I166*100/(K$92*$D$100/J$92)</f>
        <v>1.2020467742452923</v>
      </c>
      <c r="J177" s="12">
        <f>J166*100/(K$92*$D$100/J$92)</f>
        <v>2.0461807449231659</v>
      </c>
    </row>
    <row r="181" spans="1:10">
      <c r="A181" t="s">
        <v>120</v>
      </c>
    </row>
    <row r="184" spans="1:10">
      <c r="A184" s="12" t="s">
        <v>115</v>
      </c>
      <c r="B184" s="12"/>
      <c r="C184" s="12">
        <v>2009</v>
      </c>
      <c r="D184" s="12">
        <v>2010</v>
      </c>
      <c r="E184" s="12">
        <v>2011</v>
      </c>
      <c r="F184" s="12">
        <v>2012</v>
      </c>
      <c r="G184" s="12">
        <v>2013</v>
      </c>
      <c r="H184" s="12">
        <v>2014</v>
      </c>
      <c r="I184" s="12">
        <v>2015</v>
      </c>
    </row>
    <row r="185" spans="1:10">
      <c r="A185" s="12" t="s">
        <v>276</v>
      </c>
      <c r="B185" s="12"/>
      <c r="C185" s="12">
        <f>$I$75*I169 +$J$75*J169</f>
        <v>9.0031036623215357</v>
      </c>
      <c r="D185" s="12">
        <f>$I$75*I158 +$J$75*J158</f>
        <v>9.0031036623215357</v>
      </c>
      <c r="E185" s="12">
        <f>$I$75*I147 +$J$75*J147</f>
        <v>9.6642690875232766</v>
      </c>
      <c r="F185" s="12">
        <f>$I$75*I136 +$J$75*J136</f>
        <v>10.241030415890748</v>
      </c>
      <c r="G185" s="12">
        <f>$I$75*I125 +$J$75*J125</f>
        <v>10.663050900062071</v>
      </c>
      <c r="H185" s="12">
        <f>$I$75*I114 +$J$75*J114</f>
        <v>10.993633612662943</v>
      </c>
      <c r="I185" s="12">
        <f>$I$75*I103 +$J$75*J103</f>
        <v>11.282014276846677</v>
      </c>
    </row>
    <row r="186" spans="1:10">
      <c r="A186" s="12" t="s">
        <v>277</v>
      </c>
      <c r="B186" s="12"/>
      <c r="C186" s="12">
        <f t="shared" ref="C186:C191" si="60">$I$75*I170 +$J$75*J170</f>
        <v>9.0031036623215357</v>
      </c>
      <c r="D186" s="12">
        <f t="shared" ref="D186:D192" si="61">$I$75*I159 +$J$75*J159</f>
        <v>9.0031036623215357</v>
      </c>
      <c r="E186" s="12">
        <f t="shared" ref="E186:E192" si="62">$I$75*I148 +$J$75*J148</f>
        <v>9.6642690875232766</v>
      </c>
      <c r="F186" s="12">
        <f t="shared" ref="F186:F192" si="63">$I$75*I137 +$J$75*J137</f>
        <v>10.241030415890748</v>
      </c>
      <c r="G186" s="12">
        <f t="shared" ref="G186:G192" si="64">$I$75*I126 +$J$75*J126</f>
        <v>10.663050900062071</v>
      </c>
      <c r="H186" s="12">
        <f t="shared" ref="H186:H192" si="65">$I$75*I115 +$J$75*J115</f>
        <v>10.993633612662943</v>
      </c>
      <c r="I186" s="12">
        <f t="shared" ref="I186:I192" si="66">$I$75*I104 +$J$75*J104</f>
        <v>11.282014276846677</v>
      </c>
    </row>
    <row r="187" spans="1:10">
      <c r="A187" s="12" t="s">
        <v>278</v>
      </c>
      <c r="B187" s="12"/>
      <c r="C187" s="12">
        <f t="shared" si="60"/>
        <v>9.0031036623215357</v>
      </c>
      <c r="D187" s="12">
        <f t="shared" si="61"/>
        <v>9.0031036623215357</v>
      </c>
      <c r="E187" s="12">
        <f t="shared" si="62"/>
        <v>9.6642690875232766</v>
      </c>
      <c r="F187" s="12">
        <f t="shared" si="63"/>
        <v>10.241030415890748</v>
      </c>
      <c r="G187" s="12">
        <f t="shared" si="64"/>
        <v>10.663050900062071</v>
      </c>
      <c r="H187" s="12">
        <f t="shared" si="65"/>
        <v>10.993633612662943</v>
      </c>
      <c r="I187" s="12">
        <f t="shared" si="66"/>
        <v>11.282014276846677</v>
      </c>
    </row>
    <row r="188" spans="1:10">
      <c r="A188" s="12" t="s">
        <v>279</v>
      </c>
      <c r="B188" s="12"/>
      <c r="C188" s="12">
        <f t="shared" si="60"/>
        <v>8.4949306848748183</v>
      </c>
      <c r="D188" s="12">
        <f t="shared" si="61"/>
        <v>8.4949306848748183</v>
      </c>
      <c r="E188" s="12">
        <f t="shared" si="62"/>
        <v>9.1187771570453116</v>
      </c>
      <c r="F188" s="12">
        <f t="shared" si="63"/>
        <v>9.6629836540451048</v>
      </c>
      <c r="G188" s="12">
        <f t="shared" si="64"/>
        <v>10.061183529898614</v>
      </c>
      <c r="H188" s="12">
        <f t="shared" si="65"/>
        <v>10.373106765983863</v>
      </c>
      <c r="I188" s="12">
        <f t="shared" si="66"/>
        <v>10.645210014483759</v>
      </c>
    </row>
    <row r="189" spans="1:10" s="12" customFormat="1">
      <c r="A189" s="12" t="s">
        <v>280</v>
      </c>
      <c r="C189" s="12">
        <f t="shared" si="60"/>
        <v>7.6808607490171728</v>
      </c>
      <c r="D189" s="12">
        <f t="shared" si="61"/>
        <v>7.6808607490171728</v>
      </c>
      <c r="E189" s="12">
        <f>$I$75*I151 +$J$75*J151</f>
        <v>8.2449239602731215</v>
      </c>
      <c r="F189" s="12">
        <f t="shared" si="63"/>
        <v>8.7369791020070355</v>
      </c>
      <c r="G189" s="12">
        <f t="shared" si="64"/>
        <v>9.0970194496172159</v>
      </c>
      <c r="H189" s="12">
        <f t="shared" si="65"/>
        <v>9.3790510552451902</v>
      </c>
      <c r="I189" s="12">
        <f t="shared" si="66"/>
        <v>9.6250786261121455</v>
      </c>
    </row>
    <row r="190" spans="1:10" s="12" customFormat="1">
      <c r="A190" s="12" t="s">
        <v>281</v>
      </c>
      <c r="C190" s="12">
        <f>$I$75*I174 +$J$75*J174</f>
        <v>7.085288640595901</v>
      </c>
      <c r="D190" s="12">
        <f t="shared" si="61"/>
        <v>7.085288640595901</v>
      </c>
      <c r="E190" s="12">
        <f t="shared" si="62"/>
        <v>7.6056145251396634</v>
      </c>
      <c r="F190" s="12">
        <f t="shared" si="63"/>
        <v>8.0595158286778386</v>
      </c>
      <c r="G190" s="12">
        <f t="shared" si="64"/>
        <v>8.3916387337057721</v>
      </c>
      <c r="H190" s="12">
        <f t="shared" si="65"/>
        <v>8.6518016759776533</v>
      </c>
      <c r="I190" s="12">
        <f t="shared" si="66"/>
        <v>8.8787523277467404</v>
      </c>
    </row>
    <row r="191" spans="1:10" s="12" customFormat="1">
      <c r="A191" s="12" t="s">
        <v>282</v>
      </c>
      <c r="C191" s="12">
        <f t="shared" si="60"/>
        <v>6.2351334574798276</v>
      </c>
      <c r="D191" s="12">
        <f>$I$75*I164 +$J$75*J164</f>
        <v>6.2351334574798258</v>
      </c>
      <c r="E191" s="12">
        <f t="shared" si="62"/>
        <v>6.6930260707635005</v>
      </c>
      <c r="F191" s="12">
        <f t="shared" si="63"/>
        <v>7.0924643078833016</v>
      </c>
      <c r="G191" s="12">
        <f t="shared" si="64"/>
        <v>7.3847361887026688</v>
      </c>
      <c r="H191" s="12">
        <f t="shared" si="65"/>
        <v>7.6136824953445075</v>
      </c>
      <c r="I191" s="12">
        <f t="shared" si="66"/>
        <v>7.8134016139044089</v>
      </c>
    </row>
    <row r="192" spans="1:10">
      <c r="A192" s="12" t="s">
        <v>92</v>
      </c>
      <c r="B192" s="12"/>
      <c r="C192" s="12">
        <f>$I$75*I176 +$J$75*J176</f>
        <v>5.5930635558525301</v>
      </c>
      <c r="D192" s="12">
        <f t="shared" si="61"/>
        <v>5.5930635558525301</v>
      </c>
      <c r="E192" s="12">
        <f t="shared" si="62"/>
        <v>6.0038041607354504</v>
      </c>
      <c r="F192" s="12">
        <f t="shared" si="63"/>
        <v>6.3621097947822527</v>
      </c>
      <c r="G192" s="12">
        <f t="shared" si="64"/>
        <v>6.6242846489628402</v>
      </c>
      <c r="H192" s="12">
        <f t="shared" si="65"/>
        <v>6.8296549514043017</v>
      </c>
      <c r="I192" s="12">
        <f t="shared" si="66"/>
        <v>7.0123142975377615</v>
      </c>
    </row>
    <row r="195" spans="1:11">
      <c r="E195" s="12"/>
      <c r="F195" s="12"/>
      <c r="G195" s="12"/>
      <c r="H195" s="12"/>
    </row>
    <row r="196" spans="1:11" s="12" customFormat="1"/>
    <row r="197" spans="1:11">
      <c r="A197" s="12" t="s">
        <v>116</v>
      </c>
      <c r="B197" s="12"/>
      <c r="C197" s="12">
        <v>2009</v>
      </c>
      <c r="D197" s="12">
        <v>2010</v>
      </c>
      <c r="E197" s="12">
        <v>2011</v>
      </c>
      <c r="F197" s="12">
        <v>2012</v>
      </c>
      <c r="G197" s="12">
        <v>2013</v>
      </c>
      <c r="H197" s="12">
        <v>2014</v>
      </c>
      <c r="I197" s="12">
        <v>2015</v>
      </c>
      <c r="J197" s="12"/>
      <c r="K197" s="12"/>
    </row>
    <row r="198" spans="1:11">
      <c r="A198" s="12" t="s">
        <v>276</v>
      </c>
      <c r="B198" s="12"/>
      <c r="C198" s="12">
        <f>$I$75*G169 +$J$75*H169</f>
        <v>30.938865161683953</v>
      </c>
      <c r="D198" s="12">
        <f>$I$75*G158 +$J$75*H158</f>
        <v>31.056772422208663</v>
      </c>
      <c r="E198" s="12">
        <f>$I$75*G147 +$J$75*H147</f>
        <v>32.966870042708976</v>
      </c>
      <c r="F198" s="12">
        <f>$I$75*G136 +$J$75*H136</f>
        <v>35.089200732153756</v>
      </c>
      <c r="G198" s="12">
        <f>$I$75*G125 +$J$75*H125</f>
        <v>36.692739475289812</v>
      </c>
      <c r="H198" s="12">
        <f>$I$75*G114 +$J$75*H114</f>
        <v>37.659579011592427</v>
      </c>
      <c r="I198" s="12">
        <f>$I$75*G103 +$J$75*H103</f>
        <v>38.367022574740695</v>
      </c>
      <c r="J198" s="12"/>
      <c r="K198" s="12"/>
    </row>
    <row r="199" spans="1:11">
      <c r="A199" s="12" t="s">
        <v>277</v>
      </c>
      <c r="B199" s="12"/>
      <c r="C199" s="12">
        <f t="shared" ref="C199:C205" si="67">$I$75*G170 +$J$75*H170</f>
        <v>30.938865161683953</v>
      </c>
      <c r="D199" s="12">
        <f t="shared" ref="D199:D205" si="68">$I$75*G159 +$J$75*H159</f>
        <v>31.056772422208663</v>
      </c>
      <c r="E199" s="12">
        <f t="shared" ref="E199:E205" si="69">$I$75*G148 +$J$75*H148</f>
        <v>32.966870042708976</v>
      </c>
      <c r="F199" s="12">
        <f t="shared" ref="F199:F205" si="70">$I$75*G137 +$J$75*H137</f>
        <v>35.089200732153756</v>
      </c>
      <c r="G199" s="12">
        <f t="shared" ref="G199:G205" si="71">$I$75*G126 +$J$75*H126</f>
        <v>36.692739475289812</v>
      </c>
      <c r="H199" s="12">
        <f t="shared" ref="H199:H205" si="72">$I$75*G115 +$J$75*H115</f>
        <v>37.659579011592427</v>
      </c>
      <c r="I199" s="12">
        <f t="shared" ref="I199:I205" si="73">$I$75*G104 +$J$75*H104</f>
        <v>38.367022574740695</v>
      </c>
      <c r="J199" s="12"/>
      <c r="K199" s="12"/>
    </row>
    <row r="200" spans="1:11">
      <c r="A200" s="12" t="s">
        <v>278</v>
      </c>
      <c r="B200" s="12"/>
      <c r="C200" s="12">
        <f t="shared" si="67"/>
        <v>30.938865161683953</v>
      </c>
      <c r="D200" s="12">
        <f t="shared" si="68"/>
        <v>31.056772422208663</v>
      </c>
      <c r="E200" s="12">
        <f t="shared" si="69"/>
        <v>32.966870042708976</v>
      </c>
      <c r="F200" s="12">
        <f t="shared" si="70"/>
        <v>35.089200732153756</v>
      </c>
      <c r="G200" s="12">
        <f t="shared" si="71"/>
        <v>36.692739475289812</v>
      </c>
      <c r="H200" s="12">
        <f t="shared" si="72"/>
        <v>37.659579011592427</v>
      </c>
      <c r="I200" s="12">
        <f t="shared" si="73"/>
        <v>38.367022574740695</v>
      </c>
      <c r="J200" s="12"/>
      <c r="K200" s="12"/>
    </row>
    <row r="201" spans="1:11">
      <c r="A201" s="12" t="s">
        <v>279</v>
      </c>
      <c r="B201" s="12"/>
      <c r="C201" s="12">
        <f t="shared" si="67"/>
        <v>29.157779133618071</v>
      </c>
      <c r="D201" s="12">
        <f t="shared" si="68"/>
        <v>29.268898718730942</v>
      </c>
      <c r="E201" s="12">
        <f t="shared" si="69"/>
        <v>31.069035997559503</v>
      </c>
      <c r="F201" s="12">
        <f t="shared" si="70"/>
        <v>33.06918852959123</v>
      </c>
      <c r="G201" s="12">
        <f t="shared" si="71"/>
        <v>34.58041488712631</v>
      </c>
      <c r="H201" s="12">
        <f t="shared" si="72"/>
        <v>35.491595485051867</v>
      </c>
      <c r="I201" s="12">
        <f t="shared" si="73"/>
        <v>36.158312995729105</v>
      </c>
      <c r="J201" s="12"/>
      <c r="K201" s="12"/>
    </row>
    <row r="202" spans="1:11" s="12" customFormat="1">
      <c r="A202" s="12" t="s">
        <v>280</v>
      </c>
      <c r="C202" s="12">
        <f t="shared" si="67"/>
        <v>23.106089078706525</v>
      </c>
      <c r="D202" s="12">
        <f t="shared" si="68"/>
        <v>23.194145820622332</v>
      </c>
      <c r="E202" s="12">
        <f t="shared" si="69"/>
        <v>24.620665039658334</v>
      </c>
      <c r="F202" s="12">
        <f t="shared" si="70"/>
        <v>26.205686394142774</v>
      </c>
      <c r="G202" s="12">
        <f t="shared" si="71"/>
        <v>27.403258084197681</v>
      </c>
      <c r="H202" s="12">
        <f t="shared" si="72"/>
        <v>28.12532336790726</v>
      </c>
      <c r="I202" s="12">
        <f t="shared" si="73"/>
        <v>28.653663819402073</v>
      </c>
    </row>
    <row r="203" spans="1:11" s="12" customFormat="1">
      <c r="A203" s="12" t="s">
        <v>281</v>
      </c>
      <c r="C203" s="12">
        <f t="shared" si="67"/>
        <v>18.79946308724832</v>
      </c>
      <c r="D203" s="12">
        <f t="shared" si="68"/>
        <v>18.871107382550331</v>
      </c>
      <c r="E203" s="12">
        <f t="shared" si="69"/>
        <v>20.031744966442954</v>
      </c>
      <c r="F203" s="12">
        <f t="shared" si="70"/>
        <v>21.321342281879193</v>
      </c>
      <c r="G203" s="12">
        <f t="shared" si="71"/>
        <v>22.295704697986576</v>
      </c>
      <c r="H203" s="12">
        <f t="shared" si="72"/>
        <v>22.883187919463083</v>
      </c>
      <c r="I203" s="12">
        <f t="shared" si="73"/>
        <v>23.313053691275165</v>
      </c>
    </row>
    <row r="204" spans="1:11" s="12" customFormat="1">
      <c r="A204" s="12" t="s">
        <v>282</v>
      </c>
      <c r="C204" s="12">
        <f t="shared" si="67"/>
        <v>11.242855399633925</v>
      </c>
      <c r="D204" s="12">
        <f t="shared" si="68"/>
        <v>11.285701647345942</v>
      </c>
      <c r="E204" s="12">
        <f t="shared" si="69"/>
        <v>11.979810860280661</v>
      </c>
      <c r="F204" s="12">
        <f t="shared" si="70"/>
        <v>12.751043319097013</v>
      </c>
      <c r="G204" s="12">
        <f t="shared" si="71"/>
        <v>13.333752287980477</v>
      </c>
      <c r="H204" s="12">
        <f t="shared" si="72"/>
        <v>13.685091519219036</v>
      </c>
      <c r="I204" s="12">
        <f t="shared" si="73"/>
        <v>13.942169005491152</v>
      </c>
    </row>
    <row r="205" spans="1:11">
      <c r="A205" s="12" t="s">
        <v>92</v>
      </c>
      <c r="B205" s="12"/>
      <c r="C205" s="12">
        <f t="shared" si="67"/>
        <v>9.6578889566808996</v>
      </c>
      <c r="D205" s="12">
        <f t="shared" si="68"/>
        <v>9.6946949359365444</v>
      </c>
      <c r="E205" s="12">
        <f t="shared" si="69"/>
        <v>10.290951799877973</v>
      </c>
      <c r="F205" s="12">
        <f t="shared" si="70"/>
        <v>10.95345942647956</v>
      </c>
      <c r="G205" s="12">
        <f t="shared" si="71"/>
        <v>11.454020744356315</v>
      </c>
      <c r="H205" s="12">
        <f t="shared" si="72"/>
        <v>11.755829774252591</v>
      </c>
      <c r="I205" s="12">
        <f t="shared" si="73"/>
        <v>11.976665649786453</v>
      </c>
      <c r="J205" s="12"/>
      <c r="K205" s="12"/>
    </row>
    <row r="206" spans="1:1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s="12" customFormat="1"/>
    <row r="208" spans="1:11">
      <c r="A208" s="12" t="s">
        <v>124</v>
      </c>
      <c r="B208" s="12"/>
      <c r="C208" s="12"/>
      <c r="D208" s="12" t="s">
        <v>125</v>
      </c>
      <c r="E208" s="12"/>
      <c r="F208" s="12"/>
      <c r="G208" s="12"/>
      <c r="H208" s="12"/>
      <c r="I208" s="12"/>
      <c r="J208" s="12"/>
      <c r="K208" s="12"/>
    </row>
    <row r="209" spans="1:68">
      <c r="A209" s="2">
        <f>25%*Variables!E27</f>
        <v>0.25</v>
      </c>
      <c r="B209" s="12"/>
      <c r="C209" s="12"/>
      <c r="D209" s="2">
        <f>33%*Variables!E28</f>
        <v>0.30000003000000003</v>
      </c>
      <c r="E209" s="2"/>
      <c r="F209" s="12"/>
      <c r="G209" s="12"/>
      <c r="H209" s="12"/>
      <c r="I209" s="12"/>
      <c r="J209" s="12"/>
      <c r="K209" s="12"/>
    </row>
    <row r="210" spans="1:68">
      <c r="A210" s="2">
        <f>100% - A209</f>
        <v>0.75</v>
      </c>
      <c r="B210" s="12"/>
      <c r="C210" s="12"/>
      <c r="D210" s="8">
        <f>100% - D209</f>
        <v>0.69999996999999992</v>
      </c>
      <c r="E210" s="12"/>
      <c r="F210" s="12"/>
      <c r="G210" s="12"/>
      <c r="H210" s="12"/>
      <c r="I210" s="12"/>
      <c r="J210" s="12"/>
      <c r="K210" s="12"/>
    </row>
    <row r="211" spans="1:68">
      <c r="A211" s="12" t="s">
        <v>119</v>
      </c>
      <c r="B211" s="12"/>
      <c r="C211" s="12">
        <v>2009</v>
      </c>
      <c r="D211" s="12">
        <v>2010</v>
      </c>
      <c r="E211" s="12">
        <v>2011</v>
      </c>
      <c r="F211" s="12">
        <v>2012</v>
      </c>
      <c r="G211" s="12">
        <v>2013</v>
      </c>
      <c r="H211" s="12">
        <v>2014</v>
      </c>
      <c r="I211" s="12">
        <v>2015</v>
      </c>
      <c r="J211" s="12"/>
      <c r="K211" s="12"/>
    </row>
    <row r="212" spans="1:68">
      <c r="A212" s="12" t="s">
        <v>276</v>
      </c>
      <c r="B212" s="12"/>
      <c r="C212" s="12">
        <f>((E58+H58)/(E58+G58+H58)*D169 + (G58)/(E58+G58+H58)*F169)*$A$210 + ((E58+H58)/(E58+G58+H58)*D169 + (G58)/(E58+G58+H58)*F169)*$A$209*$D$210</f>
        <v>24.824223227710831</v>
      </c>
      <c r="D212" s="12">
        <f>((E58+H58)/(E58+G58+H58)*D158 + (G58)/(E58+G58+H58)*F158)*$A$210 + ((E58+H58)/(E58+G58+H58)*D158 + (G58)/(E58+G58+H58)*F158)*$A$209*$D$210</f>
        <v>24.947866706879712</v>
      </c>
      <c r="E212" s="12">
        <f>((E59+H59)/(E59+G59+H59)*D147 + (G59)/(E59+G59+H59)*F147)*$A$210 + ((E59+H59)/(E59+G59+H59)*D147 + (G59)/(E59+G59+H59)*F147)*$A$209*$D$210</f>
        <v>26.251605362758937</v>
      </c>
      <c r="F212" s="12">
        <f>((E60+H60)/(E60+G60+H60)*D136 + (G60)/(E60+G60+H60)*F136)*$A$210 + ((E60+H60)/(E60+G60+H60)*D136 + (G60)/(E60+G60+H60)*F136)*$A$209*$D$210</f>
        <v>27.6543703554808</v>
      </c>
      <c r="G212" s="12">
        <f>((E61+H61)/(E61+G61+H61)*D125 + (G61)/(E61+G61+H61)*F125)*$A$210 + ((E61+H61)/(E61+G61+H61)*D125 + (G61)/(E61+G61+H61)*F125)*$A$209*$D$210</f>
        <v>29.096936256659745</v>
      </c>
      <c r="H212" s="12">
        <f>((E62+H62)/(E62+G62+H62)*D114 + (G62)/(E62+G62+H62)*F114)*$A$210 + ((E62+H62)/(E62+G62+H62)*D114 + (G62)/(E62+G62+H62)*F114)*$A$209*$D$210</f>
        <v>29.996029318533154</v>
      </c>
      <c r="I212" s="12"/>
      <c r="J212" s="12"/>
      <c r="K212" s="12"/>
    </row>
    <row r="213" spans="1:68">
      <c r="A213" s="12" t="s">
        <v>277</v>
      </c>
      <c r="B213" s="12"/>
      <c r="C213" s="12">
        <f>((E58+H58)/(E58+G58+H58)*D169 + (G58)/(E58+G58+H58)*F169)*$A$210 + ((E58+H58)/(E58+G58+H58)*D169 + (G58)/(E58+G58+H58)*F169)*$A$209*$D$210</f>
        <v>24.824223227710831</v>
      </c>
      <c r="D213" s="12">
        <f>((E58+H58)/(E58+G58+H58)*D158 + (G58)/(E58+G58+H58)*F158)*$A$210 + ((E58+H58)/(E58+G58+H58)*D158 + (G58)/(E58+G58+H58)*F158)*$A$209*$D$210</f>
        <v>24.947866706879712</v>
      </c>
      <c r="E213" s="12">
        <f>((E59+H59)/(E59+G59+H59)*D147 + (G59)/(E59+G59+H59)*F147)*$A$210 + ((E59+H59)/(E59+G59+H59)*D147 + (G59)/(E59+G59+H59)*F147)*$A$209*$D$210</f>
        <v>26.251605362758937</v>
      </c>
      <c r="F213" s="12">
        <f>((E60+H60)/(E60+G60+H60)*D136 + (G60)/(E60+G60+H60)*F136)*$A$210 + ((E60+H60)/(E60+G60+H60)*D136 + (G60)/(E60+G60+H60)*F136)*$A$209*$D$210</f>
        <v>27.6543703554808</v>
      </c>
      <c r="G213" s="12">
        <f>((E61+H61)/(E61+G61+H61)*D126 + (G61)/(E61+G61+H61)*F126)*$A$210 + ((E61+H61)/(E61+G61+H61)*D126 + (G61)/(E61+G61+H61)*F126)*$A$209*$D$210</f>
        <v>29.096936256659745</v>
      </c>
      <c r="H213" s="12">
        <f>((E62+H62)/(E62+G62+H62)*D115 + (G62)/(E62+G62+H62)*F115)*$A$210 + ((E62+H62)/(E62+G62+H62)*D115 + (G62)/(E62+G62+H62)*F115)*$A$209*$D$210</f>
        <v>29.996029318533154</v>
      </c>
      <c r="I213" s="12"/>
      <c r="J213" s="12"/>
      <c r="K213" s="12"/>
    </row>
    <row r="214" spans="1:68">
      <c r="A214" s="12" t="s">
        <v>278</v>
      </c>
      <c r="B214" s="12"/>
      <c r="C214" s="12">
        <f>((E58+H58)/(E58+G58+H58)*D170 + (G58)/(E58+G58+H58)*F170)*$A$210 + ((E58+H58)/(E58+G58+H58)*D170 + (G58)/(E58+G58+H58)*F170)*$A$209*$D$210</f>
        <v>24.824223227710831</v>
      </c>
      <c r="D214" s="12">
        <f>((E58+H58)/(E58+G58+H58)*D159 + (G58)/(E58+G58+H58)*F159)*$A$210 + ((E58+H58)/(E58+G58+H58)*D159 + (G58)/(E58+G58+H58)*F159)*$A$209*$D$210</f>
        <v>24.947866706879712</v>
      </c>
      <c r="E214" s="12">
        <f>((E59+H59)/(E59+G59+H59)*D148 + (G59)/(E59+G59+H59)*F148)*$A$210 + ((E59+H59)/(E59+G59+H59)*D148 + (G59)/(E59+G59+H59)*F148)*$A$209*$D$210</f>
        <v>26.251605362758937</v>
      </c>
      <c r="F214" s="12">
        <f>((E60+H60)/(E60+G60+H60)*D137 + (G60)/(E60+G60+H60)*F137)*$A$210 + ((E60+H60)/(E60+G60+H60)*D137 + (G60)/(E60+G60+H60)*F137)*$A$209*$D$210</f>
        <v>27.6543703554808</v>
      </c>
      <c r="G214" s="12">
        <f>((E61+H61)/(E61+G61+H61)*D127 + (G61)/(E61+G61+H61)*F127)*$A$210 + ((E61+H61)/(E61+G61+H61)*D127 + (G61)/(E61+G61+H61)*F127)*$A$209*$D$210</f>
        <v>29.096936256659745</v>
      </c>
      <c r="H214" s="12">
        <f>((E62+H62)/(E62+G62+H62)*D116 + (G62)/(E62+G62+H62)*F116)*$A$210 + ((E62+H62)/(E62+G62+H62)*D116 + (G62)/(E62+G62+H62)*F116)*$A$209*$D$210</f>
        <v>29.996029318533154</v>
      </c>
      <c r="I214" s="12"/>
      <c r="J214" s="12"/>
      <c r="K214" s="12"/>
    </row>
    <row r="215" spans="1:68">
      <c r="A215" s="12" t="s">
        <v>279</v>
      </c>
      <c r="B215" s="12"/>
      <c r="C215" s="12">
        <f>((E58+H58)/(E58+G58+H58)*D172 + (G58)/(E58+G58+H58)*F172)*$A$210 + ((E58+H58)/(E58+G58+H58)*D172 + (G58)/(E58+G58+H58)*F172)*$A$209*$D$210</f>
        <v>23.412066816553615</v>
      </c>
      <c r="D215" s="12">
        <f>((E58+H58)/(E58+G58+H58)*D161 + (G58)/(E58+G58+H58)*F161)*$A$210 + ((E58+H58)/(E58+G58+H58)*D161 + (G58)/(E58+G58+H58)*F161)*$A$209*$D$210</f>
        <v>23.528676684632046</v>
      </c>
      <c r="E215" s="12">
        <f>((E59+H59)/(E59+G59+H59)*D150 + (G59)/(E59+G59+H59)*F150)*$A$210 + ((E59+H59)/(E59+G59+H59)*D150 + (G59)/(E59+G59+H59)*F150)*$A$209*$D$210</f>
        <v>24.75825056667383</v>
      </c>
      <c r="F215" s="12">
        <f>((E60+H60)/(E60+G60+H60)*D139 + (G60)/(E60+G60+H60)*F139)*$A$210 + ((E60+H60)/(E60+G60+H60)*D139 + (G60)/(E60+G60+H60)*F139)*$A$209*$D$210</f>
        <v>26.081217550827692</v>
      </c>
      <c r="G215" s="12">
        <f>((E61+H61)/(E61+G61+H61)*D128 + (G61)/(E61+G61+H61)*F128)*$A$210 + ((E61+H61)/(E61+G61+H61)*D128 + (G61)/(E61+G61+H61)*F128)*$A$209*$D$210</f>
        <v>27.441721319903646</v>
      </c>
      <c r="H215" s="12">
        <f>((E62+H62)/(E62+G62+H62)*D117 + (G62)/(E62+G62+H62)*F117)*$A$210 + ((E62+H62)/(E62+G62+H62)*D117 + (G62)/(E62+G62+H62)*F117)*$A$209*$D$210</f>
        <v>28.289668369275283</v>
      </c>
      <c r="I215" s="12"/>
      <c r="J215" s="12"/>
      <c r="K215" s="12"/>
    </row>
    <row r="216" spans="1:68" s="12" customFormat="1">
      <c r="A216" s="12" t="s">
        <v>280</v>
      </c>
      <c r="C216" s="12">
        <f>((E58+H58)/(E58+G58+H58)*D173 + (G58)/(E58+G58+H58)*F173)*$A$210 + ((E58+H58)/(E58+G58+H58)*D173 + (G58)/(E58+G58+H58)*F173)*$A$209*$D$210</f>
        <v>19.026949539802303</v>
      </c>
      <c r="D216" s="12">
        <f>((E58+H58)/(E58+G58+H58)*D162 + (G58)/(E58+G58+H58)*F162)*$A$210 + ((E58+H58)/(E58+G58+H58)*D162 + (G58)/(E58+G58+H58)*F162)*$A$209*$D$210</f>
        <v>19.121718194494619</v>
      </c>
      <c r="E216" s="12">
        <f>((E59+H59)/(E59+G59+H59)*D151 + (G59)/(E59+G59+H59)*F151)*$A$210 + ((E59+H59)/(E59+G59+H59)*D151 + (G59)/(E59+G59+H59)*F151)*$A$209*$D$210</f>
        <v>20.120990936725406</v>
      </c>
      <c r="F216" s="12">
        <f>((E60+H60)/(E60+G60+H60)*D140 + (G60)/(E60+G60+H60)*F140)*$A$210 + ((E60+H60)/(E60+G60+H60)*D140 + (G60)/(E60+G60+H60)*F140)*$A$209*$D$210</f>
        <v>21.196164104799649</v>
      </c>
      <c r="G216" s="12">
        <f>((E61+H61)/(E61+G61+H61)*D129 + (G61)/(E61+G61+H61)*F129)*$A$210 + ((E61+H61)/(E61+G61+H61)*D129 + (G61)/(E61+G61+H61)*F129)*$A$209*$D$210</f>
        <v>22.301843358397889</v>
      </c>
      <c r="H216" s="12">
        <f>((E62+H62)/(E62+G62+H62)*D118 + (G62)/(E62+G62+H62)*F118)*$A$210 + ((E62+H62)/(E62+G62+H62)*D118 + (G62)/(E62+G62+H62)*F118)*$A$209*$D$210</f>
        <v>22.990968579474515</v>
      </c>
    </row>
    <row r="217" spans="1:68" s="12" customFormat="1">
      <c r="A217" s="12" t="s">
        <v>281</v>
      </c>
      <c r="C217" s="12">
        <f t="shared" ref="C217:I219" si="74">$D$210*C203</f>
        <v>13.159623597089929</v>
      </c>
      <c r="D217" s="12">
        <f t="shared" si="74"/>
        <v>13.209774601652009</v>
      </c>
      <c r="E217" s="12">
        <f t="shared" si="74"/>
        <v>14.022220875557718</v>
      </c>
      <c r="F217" s="12">
        <f>$D$210*F203</f>
        <v>14.924938957675165</v>
      </c>
      <c r="G217" s="12">
        <f t="shared" ref="G217:I218" si="75">$D$210*G203</f>
        <v>15.60699261971946</v>
      </c>
      <c r="H217" s="12">
        <f t="shared" si="75"/>
        <v>16.018230857128518</v>
      </c>
      <c r="I217" s="12">
        <f t="shared" si="75"/>
        <v>16.319136884501003</v>
      </c>
    </row>
    <row r="218" spans="1:68" s="12" customFormat="1">
      <c r="A218" s="12" t="s">
        <v>282</v>
      </c>
      <c r="C218" s="12">
        <f t="shared" si="74"/>
        <v>7.8699984424580842</v>
      </c>
      <c r="D218" s="12">
        <f t="shared" si="74"/>
        <v>7.8999908145711091</v>
      </c>
      <c r="E218" s="12">
        <f t="shared" si="74"/>
        <v>8.3858672428021368</v>
      </c>
      <c r="F218" s="12">
        <f t="shared" si="74"/>
        <v>8.9257299408366091</v>
      </c>
      <c r="G218" s="12">
        <f t="shared" si="75"/>
        <v>9.3336262015737645</v>
      </c>
      <c r="H218" s="12">
        <f t="shared" si="75"/>
        <v>9.5795636529005783</v>
      </c>
      <c r="I218" s="12">
        <f t="shared" si="75"/>
        <v>9.7595178855787346</v>
      </c>
    </row>
    <row r="219" spans="1:68">
      <c r="A219" s="12" t="s">
        <v>10</v>
      </c>
      <c r="B219" s="12"/>
      <c r="C219" s="12">
        <f t="shared" si="74"/>
        <v>6.7605219799399601</v>
      </c>
      <c r="D219" s="12">
        <f t="shared" si="74"/>
        <v>6.7862861643147321</v>
      </c>
      <c r="E219" s="12">
        <f t="shared" si="74"/>
        <v>7.2036659511860268</v>
      </c>
      <c r="F219" s="12">
        <f t="shared" si="74"/>
        <v>7.667421269931908</v>
      </c>
      <c r="G219" s="12">
        <f t="shared" si="74"/>
        <v>8.0178141774287965</v>
      </c>
      <c r="H219" s="12">
        <f t="shared" si="74"/>
        <v>8.2290804893019196</v>
      </c>
      <c r="I219" s="12">
        <f t="shared" si="74"/>
        <v>8.3836655955505464</v>
      </c>
      <c r="J219" s="12"/>
      <c r="K219" s="12"/>
    </row>
    <row r="221" spans="1:68">
      <c r="A221" s="19" t="s">
        <v>162</v>
      </c>
      <c r="B221" s="19"/>
      <c r="C221" s="19"/>
    </row>
    <row r="223" spans="1:68">
      <c r="A223" t="s">
        <v>223</v>
      </c>
      <c r="C223">
        <v>2010</v>
      </c>
      <c r="D223">
        <v>2011</v>
      </c>
      <c r="E223">
        <v>2012</v>
      </c>
      <c r="F223">
        <v>2013</v>
      </c>
      <c r="G223">
        <v>2014</v>
      </c>
      <c r="H223">
        <v>2015</v>
      </c>
      <c r="I223">
        <v>2016</v>
      </c>
      <c r="J223">
        <v>2017</v>
      </c>
      <c r="K223">
        <v>2018</v>
      </c>
      <c r="L223">
        <v>2019</v>
      </c>
      <c r="M223">
        <f>L223+1</f>
        <v>2020</v>
      </c>
      <c r="N223" s="12">
        <f t="shared" ref="N223:O223" si="76">M223+1</f>
        <v>2021</v>
      </c>
      <c r="O223" s="12">
        <f t="shared" si="76"/>
        <v>2022</v>
      </c>
      <c r="P223" s="12">
        <f t="shared" ref="P223:BK223" si="77">O223+1</f>
        <v>2023</v>
      </c>
      <c r="Q223" s="12">
        <f t="shared" si="77"/>
        <v>2024</v>
      </c>
      <c r="R223" s="12">
        <f t="shared" si="77"/>
        <v>2025</v>
      </c>
      <c r="S223" s="12">
        <f t="shared" si="77"/>
        <v>2026</v>
      </c>
      <c r="T223" s="12">
        <f t="shared" si="77"/>
        <v>2027</v>
      </c>
      <c r="U223" s="12">
        <f t="shared" si="77"/>
        <v>2028</v>
      </c>
      <c r="V223" s="12">
        <f t="shared" si="77"/>
        <v>2029</v>
      </c>
      <c r="W223" s="12">
        <f t="shared" si="77"/>
        <v>2030</v>
      </c>
      <c r="X223" s="12">
        <f t="shared" si="77"/>
        <v>2031</v>
      </c>
      <c r="Y223" s="12">
        <f t="shared" si="77"/>
        <v>2032</v>
      </c>
      <c r="Z223" s="12">
        <f t="shared" si="77"/>
        <v>2033</v>
      </c>
      <c r="AA223" s="12">
        <f t="shared" si="77"/>
        <v>2034</v>
      </c>
      <c r="AB223" s="12">
        <f t="shared" si="77"/>
        <v>2035</v>
      </c>
      <c r="AC223" s="12">
        <f t="shared" si="77"/>
        <v>2036</v>
      </c>
      <c r="AD223" s="12">
        <f t="shared" si="77"/>
        <v>2037</v>
      </c>
      <c r="AE223" s="12">
        <f t="shared" si="77"/>
        <v>2038</v>
      </c>
      <c r="AF223" s="12">
        <f t="shared" si="77"/>
        <v>2039</v>
      </c>
      <c r="AG223" s="12">
        <f t="shared" si="77"/>
        <v>2040</v>
      </c>
      <c r="AH223" s="12">
        <f t="shared" si="77"/>
        <v>2041</v>
      </c>
      <c r="AI223" s="12">
        <f t="shared" si="77"/>
        <v>2042</v>
      </c>
      <c r="AJ223" s="12">
        <f t="shared" si="77"/>
        <v>2043</v>
      </c>
      <c r="AK223" s="12">
        <f t="shared" si="77"/>
        <v>2044</v>
      </c>
      <c r="AL223" s="12">
        <f t="shared" si="77"/>
        <v>2045</v>
      </c>
      <c r="AM223" s="12">
        <f t="shared" si="77"/>
        <v>2046</v>
      </c>
      <c r="AN223" s="12">
        <f t="shared" si="77"/>
        <v>2047</v>
      </c>
      <c r="AO223" s="12">
        <f t="shared" si="77"/>
        <v>2048</v>
      </c>
      <c r="AP223" s="12">
        <f t="shared" si="77"/>
        <v>2049</v>
      </c>
      <c r="AQ223" s="12">
        <f t="shared" si="77"/>
        <v>2050</v>
      </c>
      <c r="AR223" s="12">
        <f t="shared" si="77"/>
        <v>2051</v>
      </c>
      <c r="AS223" s="12">
        <f t="shared" si="77"/>
        <v>2052</v>
      </c>
      <c r="AT223" s="12">
        <f t="shared" si="77"/>
        <v>2053</v>
      </c>
      <c r="AU223" s="12">
        <f t="shared" si="77"/>
        <v>2054</v>
      </c>
      <c r="AV223" s="12">
        <f t="shared" si="77"/>
        <v>2055</v>
      </c>
      <c r="AW223" s="12">
        <f t="shared" si="77"/>
        <v>2056</v>
      </c>
      <c r="AX223" s="12">
        <f t="shared" si="77"/>
        <v>2057</v>
      </c>
      <c r="AY223" s="12">
        <f t="shared" si="77"/>
        <v>2058</v>
      </c>
      <c r="AZ223" s="12">
        <f t="shared" si="77"/>
        <v>2059</v>
      </c>
      <c r="BA223" s="12">
        <f t="shared" si="77"/>
        <v>2060</v>
      </c>
      <c r="BB223" s="12">
        <f t="shared" si="77"/>
        <v>2061</v>
      </c>
      <c r="BC223" s="12">
        <f t="shared" si="77"/>
        <v>2062</v>
      </c>
      <c r="BD223" s="12">
        <f t="shared" si="77"/>
        <v>2063</v>
      </c>
      <c r="BE223" s="12">
        <f t="shared" si="77"/>
        <v>2064</v>
      </c>
      <c r="BF223" s="12">
        <f t="shared" si="77"/>
        <v>2065</v>
      </c>
      <c r="BG223" s="12">
        <f t="shared" si="77"/>
        <v>2066</v>
      </c>
      <c r="BH223" s="12">
        <f t="shared" si="77"/>
        <v>2067</v>
      </c>
      <c r="BI223" s="12">
        <f t="shared" si="77"/>
        <v>2068</v>
      </c>
      <c r="BJ223" s="12">
        <f t="shared" si="77"/>
        <v>2069</v>
      </c>
      <c r="BK223" s="12">
        <f t="shared" si="77"/>
        <v>2070</v>
      </c>
      <c r="BL223" s="12"/>
      <c r="BN223" s="12"/>
      <c r="BO223" s="12"/>
      <c r="BP223" s="12"/>
    </row>
    <row r="224" spans="1:68">
      <c r="C224" s="12">
        <f>4.9*Variables!E3</f>
        <v>4.9000000000000004</v>
      </c>
      <c r="D224">
        <f>4.8*Variables!E3</f>
        <v>4.8</v>
      </c>
      <c r="E224">
        <f>3.1*Variables!E3</f>
        <v>3.1</v>
      </c>
      <c r="F224">
        <f>2.8*Variables!E3</f>
        <v>2.8</v>
      </c>
      <c r="G224">
        <f>2.7*Variables!E3</f>
        <v>2.7</v>
      </c>
      <c r="H224">
        <f>3.3*Variables!E3</f>
        <v>3.3</v>
      </c>
      <c r="I224">
        <f>3.6*Variables!E3</f>
        <v>3.6</v>
      </c>
      <c r="J224">
        <f>3.8*Variables!E3</f>
        <v>3.8</v>
      </c>
      <c r="K224">
        <f>3.9*Variables!E3</f>
        <v>3.9</v>
      </c>
      <c r="L224">
        <f>3.75*Variables!E3</f>
        <v>3.75</v>
      </c>
      <c r="M224">
        <f>3.6*Variables!E3</f>
        <v>3.6</v>
      </c>
      <c r="N224">
        <f>3.45*Variables!E3</f>
        <v>3.45</v>
      </c>
      <c r="O224">
        <f>3.3*Variables!E3</f>
        <v>3.3</v>
      </c>
      <c r="P224" s="12">
        <f>3.3*Variables!E3</f>
        <v>3.3</v>
      </c>
      <c r="Q224" s="12">
        <f>3.3*Variables!E3</f>
        <v>3.3</v>
      </c>
      <c r="R224" s="12">
        <f>3.3*Variables!E3</f>
        <v>3.3</v>
      </c>
      <c r="S224" s="12">
        <f>3.3*Variables!E3</f>
        <v>3.3</v>
      </c>
      <c r="T224" s="12">
        <f>3.3*Variables!E3</f>
        <v>3.3</v>
      </c>
      <c r="U224" s="12">
        <f>3.3*Variables!E3</f>
        <v>3.3</v>
      </c>
      <c r="V224" s="12">
        <f>3.5*Variables!E3</f>
        <v>3.5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/>
    </row>
    <row r="225" spans="1:64">
      <c r="A225" t="s">
        <v>165</v>
      </c>
      <c r="C225">
        <f>((C224+100)/(C267+100) - 1)*100</f>
        <v>2.2297587026858467</v>
      </c>
      <c r="D225" s="12">
        <f>((D224+100)/(D267+100) - 1)*100</f>
        <v>2.481860319571294</v>
      </c>
      <c r="E225" s="12">
        <f t="shared" ref="E225:P225" si="78">((E224+100)/(E267+100) - 1)*100</f>
        <v>1.9994261913948597</v>
      </c>
      <c r="F225" s="12">
        <f t="shared" si="78"/>
        <v>1.0577641461208653</v>
      </c>
      <c r="G225" s="12">
        <f t="shared" si="78"/>
        <v>0.48923679060666192</v>
      </c>
      <c r="H225" s="12">
        <f t="shared" si="78"/>
        <v>1.6732283464566899</v>
      </c>
      <c r="I225" s="12">
        <f t="shared" si="78"/>
        <v>1.6683022571148065</v>
      </c>
      <c r="J225" s="12">
        <f t="shared" si="78"/>
        <v>1.8645731108930308</v>
      </c>
      <c r="K225" s="12">
        <f t="shared" si="78"/>
        <v>1.8627450980392313</v>
      </c>
      <c r="L225" s="12">
        <f t="shared" si="78"/>
        <v>1.6658500734933801</v>
      </c>
      <c r="M225" s="12">
        <f t="shared" si="78"/>
        <v>1.4691478942213454</v>
      </c>
      <c r="N225" s="12">
        <f t="shared" si="78"/>
        <v>1.2726382770435585</v>
      </c>
      <c r="O225" s="12">
        <f t="shared" si="78"/>
        <v>1.0763209393346296</v>
      </c>
      <c r="P225" s="12">
        <f t="shared" si="78"/>
        <v>1.0763209393346296</v>
      </c>
      <c r="Q225" s="12">
        <f t="shared" ref="Q225:W225" si="79">((Q224+100)/(Q267+100) - 1)*100</f>
        <v>1.0763209393346296</v>
      </c>
      <c r="R225" s="12">
        <f t="shared" si="79"/>
        <v>1.0763209393346296</v>
      </c>
      <c r="S225" s="12">
        <f t="shared" si="79"/>
        <v>1.0763209393346296</v>
      </c>
      <c r="T225" s="12">
        <f t="shared" si="79"/>
        <v>1.0763209393346296</v>
      </c>
      <c r="U225" s="12">
        <f t="shared" si="79"/>
        <v>1.0763209393346296</v>
      </c>
      <c r="V225" s="12">
        <f t="shared" si="79"/>
        <v>1.2720156555773077</v>
      </c>
      <c r="W225" s="12">
        <f t="shared" si="79"/>
        <v>0</v>
      </c>
      <c r="X225" s="12">
        <f t="shared" ref="X225" si="80">((X224+100)/(X267+100) - 1)*100</f>
        <v>0</v>
      </c>
      <c r="Y225" s="12">
        <f t="shared" ref="Y225" si="81">((Y224+100)/(Y267+100) - 1)*100</f>
        <v>0</v>
      </c>
      <c r="Z225" s="12">
        <f t="shared" ref="Z225" si="82">((Z224+100)/(Z267+100) - 1)*100</f>
        <v>0</v>
      </c>
      <c r="AA225" s="12">
        <f t="shared" ref="AA225" si="83">((AA224+100)/(AA267+100) - 1)*100</f>
        <v>0</v>
      </c>
      <c r="AB225" s="12">
        <f t="shared" ref="AB225" si="84">((AB224+100)/(AB267+100) - 1)*100</f>
        <v>0</v>
      </c>
      <c r="AC225" s="12">
        <f t="shared" ref="AC225" si="85">((AC224+100)/(AC267+100) - 1)*100</f>
        <v>0</v>
      </c>
      <c r="AD225" s="12">
        <f t="shared" ref="AD225" si="86">((AD224+100)/(AD267+100) - 1)*100</f>
        <v>0</v>
      </c>
      <c r="AE225" s="12">
        <f t="shared" ref="AE225" si="87">((AE224+100)/(AE267+100) - 1)*100</f>
        <v>0</v>
      </c>
      <c r="AF225" s="12">
        <f t="shared" ref="AF225" si="88">((AF224+100)/(AF267+100) - 1)*100</f>
        <v>0</v>
      </c>
      <c r="AG225" s="12">
        <f t="shared" ref="AG225" si="89">((AG224+100)/(AG267+100) - 1)*100</f>
        <v>0</v>
      </c>
      <c r="AH225" s="12">
        <f t="shared" ref="AH225" si="90">((AH224+100)/(AH267+100) - 1)*100</f>
        <v>0</v>
      </c>
      <c r="AI225" s="12">
        <f t="shared" ref="AI225" si="91">((AI224+100)/(AI267+100) - 1)*100</f>
        <v>0</v>
      </c>
      <c r="AJ225" s="12">
        <f t="shared" ref="AJ225" si="92">((AJ224+100)/(AJ267+100) - 1)*100</f>
        <v>0</v>
      </c>
      <c r="AK225" s="12">
        <f t="shared" ref="AK225" si="93">((AK224+100)/(AK267+100) - 1)*100</f>
        <v>0</v>
      </c>
      <c r="AL225" s="12">
        <f t="shared" ref="AL225" si="94">((AL224+100)/(AL267+100) - 1)*100</f>
        <v>0</v>
      </c>
      <c r="AM225" s="12">
        <f t="shared" ref="AM225" si="95">((AM224+100)/(AM267+100) - 1)*100</f>
        <v>0</v>
      </c>
      <c r="AN225" s="12">
        <f t="shared" ref="AN225" si="96">((AN224+100)/(AN267+100) - 1)*100</f>
        <v>0</v>
      </c>
      <c r="AO225" s="12">
        <f t="shared" ref="AO225" si="97">((AO224+100)/(AO267+100) - 1)*100</f>
        <v>0</v>
      </c>
      <c r="AP225" s="12">
        <f t="shared" ref="AP225" si="98">((AP224+100)/(AP267+100) - 1)*100</f>
        <v>0</v>
      </c>
      <c r="AQ225" s="12">
        <f t="shared" ref="AQ225" si="99">((AQ224+100)/(AQ267+100) - 1)*100</f>
        <v>0</v>
      </c>
      <c r="AR225" s="12">
        <f t="shared" ref="AR225" si="100">((AR224+100)/(AR267+100) - 1)*100</f>
        <v>0</v>
      </c>
      <c r="AS225" s="12">
        <f t="shared" ref="AS225" si="101">((AS224+100)/(AS267+100) - 1)*100</f>
        <v>0</v>
      </c>
      <c r="AT225" s="12">
        <f t="shared" ref="AT225" si="102">((AT224+100)/(AT267+100) - 1)*100</f>
        <v>0</v>
      </c>
      <c r="AU225" s="12">
        <f t="shared" ref="AU225" si="103">((AU224+100)/(AU267+100) - 1)*100</f>
        <v>0</v>
      </c>
      <c r="AV225" s="12">
        <f t="shared" ref="AV225" si="104">((AV224+100)/(AV267+100) - 1)*100</f>
        <v>0</v>
      </c>
      <c r="AW225" s="12">
        <f t="shared" ref="AW225" si="105">((AW224+100)/(AW267+100) - 1)*100</f>
        <v>0</v>
      </c>
      <c r="AX225" s="12">
        <f t="shared" ref="AX225" si="106">((AX224+100)/(AX267+100) - 1)*100</f>
        <v>0</v>
      </c>
      <c r="AY225" s="12">
        <f t="shared" ref="AY225" si="107">((AY224+100)/(AY267+100) - 1)*100</f>
        <v>0</v>
      </c>
      <c r="AZ225" s="12">
        <f t="shared" ref="AZ225" si="108">((AZ224+100)/(AZ267+100) - 1)*100</f>
        <v>0</v>
      </c>
      <c r="BA225" s="12">
        <f t="shared" ref="BA225" si="109">((BA224+100)/(BA267+100) - 1)*100</f>
        <v>0</v>
      </c>
      <c r="BB225" s="12">
        <f t="shared" ref="BB225" si="110">((BB224+100)/(BB267+100) - 1)*100</f>
        <v>0</v>
      </c>
      <c r="BC225" s="12">
        <f t="shared" ref="BC225" si="111">((BC224+100)/(BC267+100) - 1)*100</f>
        <v>0</v>
      </c>
      <c r="BD225" s="12">
        <f t="shared" ref="BD225" si="112">((BD224+100)/(BD267+100) - 1)*100</f>
        <v>0</v>
      </c>
      <c r="BE225" s="12">
        <f t="shared" ref="BE225" si="113">((BE224+100)/(BE267+100) - 1)*100</f>
        <v>0</v>
      </c>
      <c r="BF225" s="12">
        <f t="shared" ref="BF225" si="114">((BF224+100)/(BF267+100) - 1)*100</f>
        <v>0</v>
      </c>
      <c r="BG225" s="12">
        <f t="shared" ref="BG225" si="115">((BG224+100)/(BG267+100) - 1)*100</f>
        <v>0</v>
      </c>
      <c r="BH225" s="12">
        <f t="shared" ref="BH225" si="116">((BH224+100)/(BH267+100) - 1)*100</f>
        <v>0</v>
      </c>
      <c r="BI225" s="12">
        <f t="shared" ref="BI225" si="117">((BI224+100)/(BI267+100) - 1)*100</f>
        <v>0</v>
      </c>
      <c r="BJ225" s="12">
        <f t="shared" ref="BJ225" si="118">((BJ224+100)/(BJ267+100) - 1)*100</f>
        <v>0</v>
      </c>
      <c r="BK225" s="12">
        <f t="shared" ref="BK225" si="119">((BK224+100)/(BK267+100) - 1)*100</f>
        <v>0</v>
      </c>
      <c r="BL225" s="12"/>
    </row>
    <row r="226" spans="1:64">
      <c r="A226" t="s">
        <v>166</v>
      </c>
      <c r="Q226"/>
    </row>
    <row r="227" spans="1:64">
      <c r="Q227"/>
    </row>
    <row r="228" spans="1:64">
      <c r="A228" s="12" t="s">
        <v>115</v>
      </c>
      <c r="C228">
        <v>2010</v>
      </c>
      <c r="D228">
        <f>D223</f>
        <v>2011</v>
      </c>
      <c r="E228" s="12">
        <f t="shared" ref="E228:P228" si="120">E223</f>
        <v>2012</v>
      </c>
      <c r="F228" s="12">
        <f t="shared" si="120"/>
        <v>2013</v>
      </c>
      <c r="G228" s="12">
        <f t="shared" si="120"/>
        <v>2014</v>
      </c>
      <c r="H228" s="12">
        <f t="shared" si="120"/>
        <v>2015</v>
      </c>
      <c r="I228" s="12">
        <f t="shared" si="120"/>
        <v>2016</v>
      </c>
      <c r="J228" s="12">
        <f t="shared" si="120"/>
        <v>2017</v>
      </c>
      <c r="K228" s="12">
        <f t="shared" si="120"/>
        <v>2018</v>
      </c>
      <c r="L228" s="12">
        <f t="shared" si="120"/>
        <v>2019</v>
      </c>
      <c r="M228" s="12">
        <f t="shared" si="120"/>
        <v>2020</v>
      </c>
      <c r="N228" s="12">
        <f t="shared" si="120"/>
        <v>2021</v>
      </c>
      <c r="O228" s="12">
        <f t="shared" si="120"/>
        <v>2022</v>
      </c>
      <c r="P228" s="12">
        <f t="shared" si="120"/>
        <v>2023</v>
      </c>
      <c r="Q228" s="12">
        <f t="shared" ref="Q228:BK228" si="121">Q223</f>
        <v>2024</v>
      </c>
      <c r="R228" s="12">
        <f t="shared" si="121"/>
        <v>2025</v>
      </c>
      <c r="S228" s="12">
        <f t="shared" si="121"/>
        <v>2026</v>
      </c>
      <c r="T228" s="12">
        <f t="shared" si="121"/>
        <v>2027</v>
      </c>
      <c r="U228" s="12">
        <f t="shared" si="121"/>
        <v>2028</v>
      </c>
      <c r="V228" s="12">
        <f t="shared" si="121"/>
        <v>2029</v>
      </c>
      <c r="W228" s="12">
        <f t="shared" si="121"/>
        <v>2030</v>
      </c>
      <c r="X228" s="12">
        <f t="shared" si="121"/>
        <v>2031</v>
      </c>
      <c r="Y228" s="12">
        <f t="shared" si="121"/>
        <v>2032</v>
      </c>
      <c r="Z228" s="12">
        <f t="shared" si="121"/>
        <v>2033</v>
      </c>
      <c r="AA228" s="12">
        <f t="shared" si="121"/>
        <v>2034</v>
      </c>
      <c r="AB228" s="12">
        <f t="shared" si="121"/>
        <v>2035</v>
      </c>
      <c r="AC228" s="12">
        <f t="shared" si="121"/>
        <v>2036</v>
      </c>
      <c r="AD228" s="12">
        <f t="shared" si="121"/>
        <v>2037</v>
      </c>
      <c r="AE228" s="12">
        <f t="shared" si="121"/>
        <v>2038</v>
      </c>
      <c r="AF228" s="12">
        <f t="shared" si="121"/>
        <v>2039</v>
      </c>
      <c r="AG228" s="12">
        <f t="shared" si="121"/>
        <v>2040</v>
      </c>
      <c r="AH228" s="12">
        <f t="shared" si="121"/>
        <v>2041</v>
      </c>
      <c r="AI228" s="12">
        <f t="shared" si="121"/>
        <v>2042</v>
      </c>
      <c r="AJ228" s="12">
        <f t="shared" si="121"/>
        <v>2043</v>
      </c>
      <c r="AK228" s="12">
        <f t="shared" si="121"/>
        <v>2044</v>
      </c>
      <c r="AL228" s="12">
        <f t="shared" si="121"/>
        <v>2045</v>
      </c>
      <c r="AM228" s="12">
        <f t="shared" si="121"/>
        <v>2046</v>
      </c>
      <c r="AN228" s="12">
        <f t="shared" si="121"/>
        <v>2047</v>
      </c>
      <c r="AO228" s="12">
        <f t="shared" si="121"/>
        <v>2048</v>
      </c>
      <c r="AP228" s="12">
        <f t="shared" si="121"/>
        <v>2049</v>
      </c>
      <c r="AQ228" s="12">
        <f t="shared" si="121"/>
        <v>2050</v>
      </c>
      <c r="AR228" s="12">
        <f t="shared" si="121"/>
        <v>2051</v>
      </c>
      <c r="AS228" s="12">
        <f t="shared" si="121"/>
        <v>2052</v>
      </c>
      <c r="AT228" s="12">
        <f t="shared" si="121"/>
        <v>2053</v>
      </c>
      <c r="AU228" s="12">
        <f t="shared" si="121"/>
        <v>2054</v>
      </c>
      <c r="AV228" s="12">
        <f t="shared" si="121"/>
        <v>2055</v>
      </c>
      <c r="AW228" s="12">
        <f t="shared" si="121"/>
        <v>2056</v>
      </c>
      <c r="AX228" s="12">
        <f t="shared" si="121"/>
        <v>2057</v>
      </c>
      <c r="AY228" s="12">
        <f t="shared" si="121"/>
        <v>2058</v>
      </c>
      <c r="AZ228" s="12">
        <f t="shared" si="121"/>
        <v>2059</v>
      </c>
      <c r="BA228" s="12">
        <f t="shared" si="121"/>
        <v>2060</v>
      </c>
      <c r="BB228" s="12">
        <f t="shared" si="121"/>
        <v>2061</v>
      </c>
      <c r="BC228" s="12">
        <f t="shared" si="121"/>
        <v>2062</v>
      </c>
      <c r="BD228" s="12">
        <f t="shared" si="121"/>
        <v>2063</v>
      </c>
      <c r="BE228" s="12">
        <f t="shared" si="121"/>
        <v>2064</v>
      </c>
      <c r="BF228" s="12">
        <f t="shared" si="121"/>
        <v>2065</v>
      </c>
      <c r="BG228" s="12">
        <f t="shared" si="121"/>
        <v>2066</v>
      </c>
      <c r="BH228" s="12">
        <f t="shared" si="121"/>
        <v>2067</v>
      </c>
      <c r="BI228" s="12">
        <f t="shared" si="121"/>
        <v>2068</v>
      </c>
      <c r="BJ228" s="12">
        <f t="shared" si="121"/>
        <v>2069</v>
      </c>
      <c r="BK228" s="12">
        <f t="shared" si="121"/>
        <v>2070</v>
      </c>
    </row>
    <row r="229" spans="1:64">
      <c r="A229" s="12" t="s">
        <v>276</v>
      </c>
      <c r="C229">
        <f>D185</f>
        <v>9.0031036623215357</v>
      </c>
      <c r="D229">
        <f>C229*(1+D$225/100)</f>
        <v>9.226548119646564</v>
      </c>
      <c r="E229" s="12">
        <f>D229*(1+E$225/100)</f>
        <v>9.4110261393124279</v>
      </c>
      <c r="F229" s="12">
        <f t="shared" ref="F229:O229" si="122">E229*(1+F$225/100)</f>
        <v>9.5105725995961379</v>
      </c>
      <c r="G229" s="12">
        <f t="shared" si="122"/>
        <v>9.5571018197507183</v>
      </c>
      <c r="H229" s="12">
        <f t="shared" si="122"/>
        <v>9.7170139564985156</v>
      </c>
      <c r="I229" s="12">
        <f t="shared" si="122"/>
        <v>9.8791231196589404</v>
      </c>
      <c r="J229" s="12">
        <f t="shared" si="122"/>
        <v>10.063326592940118</v>
      </c>
      <c r="K229" s="12">
        <f t="shared" si="122"/>
        <v>10.250780715749789</v>
      </c>
      <c r="L229" s="12">
        <f t="shared" si="122"/>
        <v>10.421543353836752</v>
      </c>
      <c r="M229" s="12">
        <f t="shared" si="122"/>
        <v>10.574651238565009</v>
      </c>
      <c r="N229" s="12">
        <f t="shared" si="122"/>
        <v>10.709228297890848</v>
      </c>
      <c r="O229" s="12">
        <f t="shared" si="122"/>
        <v>10.824493964502196</v>
      </c>
      <c r="P229" s="12">
        <f t="shared" ref="P229:BK229" si="123">O229*(1+P$225/100)</f>
        <v>10.941000259619146</v>
      </c>
      <c r="Q229" s="12">
        <f t="shared" si="123"/>
        <v>11.058760536386083</v>
      </c>
      <c r="R229" s="12">
        <f t="shared" si="123"/>
        <v>11.177788291670081</v>
      </c>
      <c r="S229" s="12">
        <f t="shared" si="123"/>
        <v>11.298097167607821</v>
      </c>
      <c r="T229" s="12">
        <f t="shared" si="123"/>
        <v>11.419700953169157</v>
      </c>
      <c r="U229" s="12">
        <f t="shared" si="123"/>
        <v>11.542613585737513</v>
      </c>
      <c r="V229" s="12">
        <f t="shared" si="123"/>
        <v>11.689437437610888</v>
      </c>
      <c r="W229" s="12">
        <f t="shared" si="123"/>
        <v>11.689437437610888</v>
      </c>
      <c r="X229" s="12">
        <f t="shared" si="123"/>
        <v>11.689437437610888</v>
      </c>
      <c r="Y229" s="12">
        <f t="shared" si="123"/>
        <v>11.689437437610888</v>
      </c>
      <c r="Z229" s="12">
        <f t="shared" si="123"/>
        <v>11.689437437610888</v>
      </c>
      <c r="AA229" s="12">
        <f t="shared" si="123"/>
        <v>11.689437437610888</v>
      </c>
      <c r="AB229" s="12">
        <f t="shared" si="123"/>
        <v>11.689437437610888</v>
      </c>
      <c r="AC229" s="12">
        <f t="shared" si="123"/>
        <v>11.689437437610888</v>
      </c>
      <c r="AD229" s="12">
        <f t="shared" si="123"/>
        <v>11.689437437610888</v>
      </c>
      <c r="AE229" s="12">
        <f t="shared" si="123"/>
        <v>11.689437437610888</v>
      </c>
      <c r="AF229" s="12">
        <f t="shared" si="123"/>
        <v>11.689437437610888</v>
      </c>
      <c r="AG229" s="12">
        <f t="shared" si="123"/>
        <v>11.689437437610888</v>
      </c>
      <c r="AH229" s="12">
        <f t="shared" si="123"/>
        <v>11.689437437610888</v>
      </c>
      <c r="AI229" s="12">
        <f t="shared" si="123"/>
        <v>11.689437437610888</v>
      </c>
      <c r="AJ229" s="12">
        <f t="shared" si="123"/>
        <v>11.689437437610888</v>
      </c>
      <c r="AK229" s="12">
        <f t="shared" si="123"/>
        <v>11.689437437610888</v>
      </c>
      <c r="AL229" s="12">
        <f t="shared" si="123"/>
        <v>11.689437437610888</v>
      </c>
      <c r="AM229" s="12">
        <f t="shared" si="123"/>
        <v>11.689437437610888</v>
      </c>
      <c r="AN229" s="12">
        <f t="shared" si="123"/>
        <v>11.689437437610888</v>
      </c>
      <c r="AO229" s="12">
        <f t="shared" si="123"/>
        <v>11.689437437610888</v>
      </c>
      <c r="AP229" s="12">
        <f t="shared" si="123"/>
        <v>11.689437437610888</v>
      </c>
      <c r="AQ229" s="12">
        <f t="shared" si="123"/>
        <v>11.689437437610888</v>
      </c>
      <c r="AR229" s="12">
        <f t="shared" si="123"/>
        <v>11.689437437610888</v>
      </c>
      <c r="AS229" s="12">
        <f t="shared" si="123"/>
        <v>11.689437437610888</v>
      </c>
      <c r="AT229" s="12">
        <f t="shared" si="123"/>
        <v>11.689437437610888</v>
      </c>
      <c r="AU229" s="12">
        <f t="shared" si="123"/>
        <v>11.689437437610888</v>
      </c>
      <c r="AV229" s="12">
        <f t="shared" si="123"/>
        <v>11.689437437610888</v>
      </c>
      <c r="AW229" s="12">
        <f t="shared" si="123"/>
        <v>11.689437437610888</v>
      </c>
      <c r="AX229" s="12">
        <f t="shared" si="123"/>
        <v>11.689437437610888</v>
      </c>
      <c r="AY229" s="12">
        <f t="shared" si="123"/>
        <v>11.689437437610888</v>
      </c>
      <c r="AZ229" s="12">
        <f t="shared" si="123"/>
        <v>11.689437437610888</v>
      </c>
      <c r="BA229" s="12">
        <f t="shared" si="123"/>
        <v>11.689437437610888</v>
      </c>
      <c r="BB229" s="12">
        <f t="shared" si="123"/>
        <v>11.689437437610888</v>
      </c>
      <c r="BC229" s="12">
        <f t="shared" si="123"/>
        <v>11.689437437610888</v>
      </c>
      <c r="BD229" s="12">
        <f t="shared" si="123"/>
        <v>11.689437437610888</v>
      </c>
      <c r="BE229" s="12">
        <f t="shared" si="123"/>
        <v>11.689437437610888</v>
      </c>
      <c r="BF229" s="12">
        <f t="shared" si="123"/>
        <v>11.689437437610888</v>
      </c>
      <c r="BG229" s="12">
        <f t="shared" si="123"/>
        <v>11.689437437610888</v>
      </c>
      <c r="BH229" s="12">
        <f t="shared" si="123"/>
        <v>11.689437437610888</v>
      </c>
      <c r="BI229" s="12">
        <f t="shared" si="123"/>
        <v>11.689437437610888</v>
      </c>
      <c r="BJ229" s="12">
        <f t="shared" si="123"/>
        <v>11.689437437610888</v>
      </c>
      <c r="BK229" s="12">
        <f t="shared" si="123"/>
        <v>11.689437437610888</v>
      </c>
    </row>
    <row r="230" spans="1:64">
      <c r="A230" s="12" t="s">
        <v>277</v>
      </c>
      <c r="C230" s="12">
        <f>D186</f>
        <v>9.0031036623215357</v>
      </c>
      <c r="D230" s="12">
        <f>C230*(1+D$225/100)</f>
        <v>9.226548119646564</v>
      </c>
      <c r="E230" s="12">
        <f>D230*(1+E$225/100)</f>
        <v>9.4110261393124279</v>
      </c>
      <c r="F230" s="12">
        <f t="shared" ref="E230:H236" si="124">E230*(1+F$225/100)</f>
        <v>9.5105725995961379</v>
      </c>
      <c r="G230" s="12">
        <f t="shared" si="124"/>
        <v>9.5571018197507183</v>
      </c>
      <c r="H230" s="12">
        <f t="shared" si="124"/>
        <v>9.7170139564985156</v>
      </c>
      <c r="I230" s="12">
        <f t="shared" ref="I230:O230" si="125">H230*(1+I$225/100)</f>
        <v>9.8791231196589404</v>
      </c>
      <c r="J230" s="12">
        <f t="shared" si="125"/>
        <v>10.063326592940118</v>
      </c>
      <c r="K230" s="12">
        <f t="shared" si="125"/>
        <v>10.250780715749789</v>
      </c>
      <c r="L230" s="12">
        <f t="shared" si="125"/>
        <v>10.421543353836752</v>
      </c>
      <c r="M230" s="12">
        <f t="shared" si="125"/>
        <v>10.574651238565009</v>
      </c>
      <c r="N230" s="12">
        <f t="shared" si="125"/>
        <v>10.709228297890848</v>
      </c>
      <c r="O230" s="12">
        <f t="shared" si="125"/>
        <v>10.824493964502196</v>
      </c>
      <c r="P230" s="12">
        <f t="shared" ref="P230:BK230" si="126">O230*(1+P$225/100)</f>
        <v>10.941000259619146</v>
      </c>
      <c r="Q230" s="12">
        <f t="shared" si="126"/>
        <v>11.058760536386083</v>
      </c>
      <c r="R230" s="12">
        <f t="shared" si="126"/>
        <v>11.177788291670081</v>
      </c>
      <c r="S230" s="12">
        <f t="shared" si="126"/>
        <v>11.298097167607821</v>
      </c>
      <c r="T230" s="12">
        <f t="shared" si="126"/>
        <v>11.419700953169157</v>
      </c>
      <c r="U230" s="12">
        <f t="shared" si="126"/>
        <v>11.542613585737513</v>
      </c>
      <c r="V230" s="12">
        <f t="shared" si="126"/>
        <v>11.689437437610888</v>
      </c>
      <c r="W230" s="12">
        <f t="shared" si="126"/>
        <v>11.689437437610888</v>
      </c>
      <c r="X230" s="12">
        <f t="shared" si="126"/>
        <v>11.689437437610888</v>
      </c>
      <c r="Y230" s="12">
        <f t="shared" si="126"/>
        <v>11.689437437610888</v>
      </c>
      <c r="Z230" s="12">
        <f t="shared" si="126"/>
        <v>11.689437437610888</v>
      </c>
      <c r="AA230" s="12">
        <f t="shared" si="126"/>
        <v>11.689437437610888</v>
      </c>
      <c r="AB230" s="12">
        <f t="shared" si="126"/>
        <v>11.689437437610888</v>
      </c>
      <c r="AC230" s="12">
        <f t="shared" si="126"/>
        <v>11.689437437610888</v>
      </c>
      <c r="AD230" s="12">
        <f t="shared" si="126"/>
        <v>11.689437437610888</v>
      </c>
      <c r="AE230" s="12">
        <f t="shared" si="126"/>
        <v>11.689437437610888</v>
      </c>
      <c r="AF230" s="12">
        <f t="shared" si="126"/>
        <v>11.689437437610888</v>
      </c>
      <c r="AG230" s="12">
        <f t="shared" si="126"/>
        <v>11.689437437610888</v>
      </c>
      <c r="AH230" s="12">
        <f t="shared" si="126"/>
        <v>11.689437437610888</v>
      </c>
      <c r="AI230" s="12">
        <f t="shared" si="126"/>
        <v>11.689437437610888</v>
      </c>
      <c r="AJ230" s="12">
        <f t="shared" si="126"/>
        <v>11.689437437610888</v>
      </c>
      <c r="AK230" s="12">
        <f t="shared" si="126"/>
        <v>11.689437437610888</v>
      </c>
      <c r="AL230" s="12">
        <f t="shared" si="126"/>
        <v>11.689437437610888</v>
      </c>
      <c r="AM230" s="12">
        <f t="shared" si="126"/>
        <v>11.689437437610888</v>
      </c>
      <c r="AN230" s="12">
        <f t="shared" si="126"/>
        <v>11.689437437610888</v>
      </c>
      <c r="AO230" s="12">
        <f t="shared" si="126"/>
        <v>11.689437437610888</v>
      </c>
      <c r="AP230" s="12">
        <f t="shared" si="126"/>
        <v>11.689437437610888</v>
      </c>
      <c r="AQ230" s="12">
        <f t="shared" si="126"/>
        <v>11.689437437610888</v>
      </c>
      <c r="AR230" s="12">
        <f t="shared" si="126"/>
        <v>11.689437437610888</v>
      </c>
      <c r="AS230" s="12">
        <f t="shared" si="126"/>
        <v>11.689437437610888</v>
      </c>
      <c r="AT230" s="12">
        <f t="shared" si="126"/>
        <v>11.689437437610888</v>
      </c>
      <c r="AU230" s="12">
        <f t="shared" si="126"/>
        <v>11.689437437610888</v>
      </c>
      <c r="AV230" s="12">
        <f t="shared" si="126"/>
        <v>11.689437437610888</v>
      </c>
      <c r="AW230" s="12">
        <f t="shared" si="126"/>
        <v>11.689437437610888</v>
      </c>
      <c r="AX230" s="12">
        <f t="shared" si="126"/>
        <v>11.689437437610888</v>
      </c>
      <c r="AY230" s="12">
        <f t="shared" si="126"/>
        <v>11.689437437610888</v>
      </c>
      <c r="AZ230" s="12">
        <f t="shared" si="126"/>
        <v>11.689437437610888</v>
      </c>
      <c r="BA230" s="12">
        <f t="shared" si="126"/>
        <v>11.689437437610888</v>
      </c>
      <c r="BB230" s="12">
        <f t="shared" si="126"/>
        <v>11.689437437610888</v>
      </c>
      <c r="BC230" s="12">
        <f t="shared" si="126"/>
        <v>11.689437437610888</v>
      </c>
      <c r="BD230" s="12">
        <f t="shared" si="126"/>
        <v>11.689437437610888</v>
      </c>
      <c r="BE230" s="12">
        <f t="shared" si="126"/>
        <v>11.689437437610888</v>
      </c>
      <c r="BF230" s="12">
        <f t="shared" si="126"/>
        <v>11.689437437610888</v>
      </c>
      <c r="BG230" s="12">
        <f t="shared" si="126"/>
        <v>11.689437437610888</v>
      </c>
      <c r="BH230" s="12">
        <f t="shared" si="126"/>
        <v>11.689437437610888</v>
      </c>
      <c r="BI230" s="12">
        <f t="shared" si="126"/>
        <v>11.689437437610888</v>
      </c>
      <c r="BJ230" s="12">
        <f t="shared" si="126"/>
        <v>11.689437437610888</v>
      </c>
      <c r="BK230" s="12">
        <f t="shared" si="126"/>
        <v>11.689437437610888</v>
      </c>
    </row>
    <row r="231" spans="1:64">
      <c r="A231" s="12" t="s">
        <v>278</v>
      </c>
      <c r="C231" s="12">
        <f>D187</f>
        <v>9.0031036623215357</v>
      </c>
      <c r="D231" s="12">
        <f t="shared" ref="D231:D236" si="127">C231*(1+D$225/100)</f>
        <v>9.226548119646564</v>
      </c>
      <c r="E231" s="12">
        <f>D231*(1+E$225/100)</f>
        <v>9.4110261393124279</v>
      </c>
      <c r="F231" s="12">
        <f t="shared" si="124"/>
        <v>9.5105725995961379</v>
      </c>
      <c r="G231" s="12">
        <f t="shared" si="124"/>
        <v>9.5571018197507183</v>
      </c>
      <c r="H231" s="12">
        <f t="shared" si="124"/>
        <v>9.7170139564985156</v>
      </c>
      <c r="I231" s="12">
        <f t="shared" ref="I231:O231" si="128">H231*(1+I$225/100)</f>
        <v>9.8791231196589404</v>
      </c>
      <c r="J231" s="12">
        <f t="shared" si="128"/>
        <v>10.063326592940118</v>
      </c>
      <c r="K231" s="12">
        <f t="shared" si="128"/>
        <v>10.250780715749789</v>
      </c>
      <c r="L231" s="12">
        <f t="shared" si="128"/>
        <v>10.421543353836752</v>
      </c>
      <c r="M231" s="12">
        <f t="shared" si="128"/>
        <v>10.574651238565009</v>
      </c>
      <c r="N231" s="12">
        <f t="shared" si="128"/>
        <v>10.709228297890848</v>
      </c>
      <c r="O231" s="12">
        <f t="shared" si="128"/>
        <v>10.824493964502196</v>
      </c>
      <c r="P231" s="12">
        <f t="shared" ref="P231:BK231" si="129">O231*(1+P$225/100)</f>
        <v>10.941000259619146</v>
      </c>
      <c r="Q231" s="12">
        <f t="shared" si="129"/>
        <v>11.058760536386083</v>
      </c>
      <c r="R231" s="12">
        <f t="shared" si="129"/>
        <v>11.177788291670081</v>
      </c>
      <c r="S231" s="12">
        <f t="shared" si="129"/>
        <v>11.298097167607821</v>
      </c>
      <c r="T231" s="12">
        <f t="shared" si="129"/>
        <v>11.419700953169157</v>
      </c>
      <c r="U231" s="12">
        <f t="shared" si="129"/>
        <v>11.542613585737513</v>
      </c>
      <c r="V231" s="12">
        <f t="shared" si="129"/>
        <v>11.689437437610888</v>
      </c>
      <c r="W231" s="12">
        <f t="shared" si="129"/>
        <v>11.689437437610888</v>
      </c>
      <c r="X231" s="12">
        <f t="shared" si="129"/>
        <v>11.689437437610888</v>
      </c>
      <c r="Y231" s="12">
        <f t="shared" si="129"/>
        <v>11.689437437610888</v>
      </c>
      <c r="Z231" s="12">
        <f t="shared" si="129"/>
        <v>11.689437437610888</v>
      </c>
      <c r="AA231" s="12">
        <f t="shared" si="129"/>
        <v>11.689437437610888</v>
      </c>
      <c r="AB231" s="12">
        <f t="shared" si="129"/>
        <v>11.689437437610888</v>
      </c>
      <c r="AC231" s="12">
        <f t="shared" si="129"/>
        <v>11.689437437610888</v>
      </c>
      <c r="AD231" s="12">
        <f t="shared" si="129"/>
        <v>11.689437437610888</v>
      </c>
      <c r="AE231" s="12">
        <f t="shared" si="129"/>
        <v>11.689437437610888</v>
      </c>
      <c r="AF231" s="12">
        <f t="shared" si="129"/>
        <v>11.689437437610888</v>
      </c>
      <c r="AG231" s="12">
        <f t="shared" si="129"/>
        <v>11.689437437610888</v>
      </c>
      <c r="AH231" s="12">
        <f t="shared" si="129"/>
        <v>11.689437437610888</v>
      </c>
      <c r="AI231" s="12">
        <f t="shared" si="129"/>
        <v>11.689437437610888</v>
      </c>
      <c r="AJ231" s="12">
        <f t="shared" si="129"/>
        <v>11.689437437610888</v>
      </c>
      <c r="AK231" s="12">
        <f t="shared" si="129"/>
        <v>11.689437437610888</v>
      </c>
      <c r="AL231" s="12">
        <f t="shared" si="129"/>
        <v>11.689437437610888</v>
      </c>
      <c r="AM231" s="12">
        <f t="shared" si="129"/>
        <v>11.689437437610888</v>
      </c>
      <c r="AN231" s="12">
        <f t="shared" si="129"/>
        <v>11.689437437610888</v>
      </c>
      <c r="AO231" s="12">
        <f t="shared" si="129"/>
        <v>11.689437437610888</v>
      </c>
      <c r="AP231" s="12">
        <f t="shared" si="129"/>
        <v>11.689437437610888</v>
      </c>
      <c r="AQ231" s="12">
        <f t="shared" si="129"/>
        <v>11.689437437610888</v>
      </c>
      <c r="AR231" s="12">
        <f t="shared" si="129"/>
        <v>11.689437437610888</v>
      </c>
      <c r="AS231" s="12">
        <f t="shared" si="129"/>
        <v>11.689437437610888</v>
      </c>
      <c r="AT231" s="12">
        <f t="shared" si="129"/>
        <v>11.689437437610888</v>
      </c>
      <c r="AU231" s="12">
        <f t="shared" si="129"/>
        <v>11.689437437610888</v>
      </c>
      <c r="AV231" s="12">
        <f t="shared" si="129"/>
        <v>11.689437437610888</v>
      </c>
      <c r="AW231" s="12">
        <f t="shared" si="129"/>
        <v>11.689437437610888</v>
      </c>
      <c r="AX231" s="12">
        <f t="shared" si="129"/>
        <v>11.689437437610888</v>
      </c>
      <c r="AY231" s="12">
        <f t="shared" si="129"/>
        <v>11.689437437610888</v>
      </c>
      <c r="AZ231" s="12">
        <f t="shared" si="129"/>
        <v>11.689437437610888</v>
      </c>
      <c r="BA231" s="12">
        <f t="shared" si="129"/>
        <v>11.689437437610888</v>
      </c>
      <c r="BB231" s="12">
        <f t="shared" si="129"/>
        <v>11.689437437610888</v>
      </c>
      <c r="BC231" s="12">
        <f t="shared" si="129"/>
        <v>11.689437437610888</v>
      </c>
      <c r="BD231" s="12">
        <f t="shared" si="129"/>
        <v>11.689437437610888</v>
      </c>
      <c r="BE231" s="12">
        <f t="shared" si="129"/>
        <v>11.689437437610888</v>
      </c>
      <c r="BF231" s="12">
        <f t="shared" si="129"/>
        <v>11.689437437610888</v>
      </c>
      <c r="BG231" s="12">
        <f t="shared" si="129"/>
        <v>11.689437437610888</v>
      </c>
      <c r="BH231" s="12">
        <f t="shared" si="129"/>
        <v>11.689437437610888</v>
      </c>
      <c r="BI231" s="12">
        <f t="shared" si="129"/>
        <v>11.689437437610888</v>
      </c>
      <c r="BJ231" s="12">
        <f t="shared" si="129"/>
        <v>11.689437437610888</v>
      </c>
      <c r="BK231" s="12">
        <f t="shared" si="129"/>
        <v>11.689437437610888</v>
      </c>
    </row>
    <row r="232" spans="1:64">
      <c r="A232" s="12" t="s">
        <v>279</v>
      </c>
      <c r="C232" s="12">
        <f>D188</f>
        <v>8.4949306848748183</v>
      </c>
      <c r="D232" s="12">
        <f t="shared" si="127"/>
        <v>8.7057629987178125</v>
      </c>
      <c r="E232" s="12">
        <f t="shared" si="124"/>
        <v>8.8798283042749393</v>
      </c>
      <c r="F232" s="12">
        <f t="shared" si="124"/>
        <v>8.973755944314652</v>
      </c>
      <c r="G232" s="12">
        <f t="shared" si="124"/>
        <v>9.0176588598934924</v>
      </c>
      <c r="H232" s="12">
        <f t="shared" si="124"/>
        <v>9.1685448841239943</v>
      </c>
      <c r="I232" s="12">
        <f t="shared" ref="I232:O235" si="130">H232*(1+I$225/100)</f>
        <v>9.3215039253704184</v>
      </c>
      <c r="J232" s="12">
        <f t="shared" si="130"/>
        <v>9.4953101810937142</v>
      </c>
      <c r="K232" s="12">
        <f t="shared" si="130"/>
        <v>9.6721836060356576</v>
      </c>
      <c r="L232" s="12">
        <f t="shared" si="130"/>
        <v>9.8333076837452165</v>
      </c>
      <c r="M232" s="12">
        <f t="shared" si="130"/>
        <v>9.9777735165132651</v>
      </c>
      <c r="N232" s="12">
        <f t="shared" si="130"/>
        <v>10.104754481481129</v>
      </c>
      <c r="O232" s="12">
        <f t="shared" si="130"/>
        <v>10.213514069833664</v>
      </c>
      <c r="P232" s="12">
        <f t="shared" ref="P232:BK232" si="131">O232*(1+P$225/100)</f>
        <v>10.323444260409172</v>
      </c>
      <c r="Q232" s="12">
        <f t="shared" si="131"/>
        <v>10.434557652644495</v>
      </c>
      <c r="R232" s="12">
        <f t="shared" si="131"/>
        <v>10.546866981586852</v>
      </c>
      <c r="S232" s="12">
        <f t="shared" si="131"/>
        <v>10.660385119353442</v>
      </c>
      <c r="T232" s="12">
        <f t="shared" si="131"/>
        <v>10.775125076606756</v>
      </c>
      <c r="U232" s="12">
        <f t="shared" si="131"/>
        <v>10.891100004045771</v>
      </c>
      <c r="V232" s="12">
        <f t="shared" si="131"/>
        <v>11.029636501161814</v>
      </c>
      <c r="W232" s="12">
        <f t="shared" si="131"/>
        <v>11.029636501161814</v>
      </c>
      <c r="X232" s="12">
        <f t="shared" si="131"/>
        <v>11.029636501161814</v>
      </c>
      <c r="Y232" s="12">
        <f t="shared" si="131"/>
        <v>11.029636501161814</v>
      </c>
      <c r="Z232" s="12">
        <f t="shared" si="131"/>
        <v>11.029636501161814</v>
      </c>
      <c r="AA232" s="12">
        <f t="shared" si="131"/>
        <v>11.029636501161814</v>
      </c>
      <c r="AB232" s="12">
        <f t="shared" si="131"/>
        <v>11.029636501161814</v>
      </c>
      <c r="AC232" s="12">
        <f t="shared" si="131"/>
        <v>11.029636501161814</v>
      </c>
      <c r="AD232" s="12">
        <f t="shared" si="131"/>
        <v>11.029636501161814</v>
      </c>
      <c r="AE232" s="12">
        <f t="shared" si="131"/>
        <v>11.029636501161814</v>
      </c>
      <c r="AF232" s="12">
        <f t="shared" si="131"/>
        <v>11.029636501161814</v>
      </c>
      <c r="AG232" s="12">
        <f t="shared" si="131"/>
        <v>11.029636501161814</v>
      </c>
      <c r="AH232" s="12">
        <f t="shared" si="131"/>
        <v>11.029636501161814</v>
      </c>
      <c r="AI232" s="12">
        <f t="shared" si="131"/>
        <v>11.029636501161814</v>
      </c>
      <c r="AJ232" s="12">
        <f t="shared" si="131"/>
        <v>11.029636501161814</v>
      </c>
      <c r="AK232" s="12">
        <f t="shared" si="131"/>
        <v>11.029636501161814</v>
      </c>
      <c r="AL232" s="12">
        <f t="shared" si="131"/>
        <v>11.029636501161814</v>
      </c>
      <c r="AM232" s="12">
        <f t="shared" si="131"/>
        <v>11.029636501161814</v>
      </c>
      <c r="AN232" s="12">
        <f t="shared" si="131"/>
        <v>11.029636501161814</v>
      </c>
      <c r="AO232" s="12">
        <f t="shared" si="131"/>
        <v>11.029636501161814</v>
      </c>
      <c r="AP232" s="12">
        <f t="shared" si="131"/>
        <v>11.029636501161814</v>
      </c>
      <c r="AQ232" s="12">
        <f t="shared" si="131"/>
        <v>11.029636501161814</v>
      </c>
      <c r="AR232" s="12">
        <f t="shared" si="131"/>
        <v>11.029636501161814</v>
      </c>
      <c r="AS232" s="12">
        <f t="shared" si="131"/>
        <v>11.029636501161814</v>
      </c>
      <c r="AT232" s="12">
        <f t="shared" si="131"/>
        <v>11.029636501161814</v>
      </c>
      <c r="AU232" s="12">
        <f t="shared" si="131"/>
        <v>11.029636501161814</v>
      </c>
      <c r="AV232" s="12">
        <f t="shared" si="131"/>
        <v>11.029636501161814</v>
      </c>
      <c r="AW232" s="12">
        <f t="shared" si="131"/>
        <v>11.029636501161814</v>
      </c>
      <c r="AX232" s="12">
        <f t="shared" si="131"/>
        <v>11.029636501161814</v>
      </c>
      <c r="AY232" s="12">
        <f t="shared" si="131"/>
        <v>11.029636501161814</v>
      </c>
      <c r="AZ232" s="12">
        <f t="shared" si="131"/>
        <v>11.029636501161814</v>
      </c>
      <c r="BA232" s="12">
        <f t="shared" si="131"/>
        <v>11.029636501161814</v>
      </c>
      <c r="BB232" s="12">
        <f t="shared" si="131"/>
        <v>11.029636501161814</v>
      </c>
      <c r="BC232" s="12">
        <f t="shared" si="131"/>
        <v>11.029636501161814</v>
      </c>
      <c r="BD232" s="12">
        <f t="shared" si="131"/>
        <v>11.029636501161814</v>
      </c>
      <c r="BE232" s="12">
        <f t="shared" si="131"/>
        <v>11.029636501161814</v>
      </c>
      <c r="BF232" s="12">
        <f t="shared" si="131"/>
        <v>11.029636501161814</v>
      </c>
      <c r="BG232" s="12">
        <f t="shared" si="131"/>
        <v>11.029636501161814</v>
      </c>
      <c r="BH232" s="12">
        <f t="shared" si="131"/>
        <v>11.029636501161814</v>
      </c>
      <c r="BI232" s="12">
        <f t="shared" si="131"/>
        <v>11.029636501161814</v>
      </c>
      <c r="BJ232" s="12">
        <f t="shared" si="131"/>
        <v>11.029636501161814</v>
      </c>
      <c r="BK232" s="12">
        <f t="shared" si="131"/>
        <v>11.029636501161814</v>
      </c>
    </row>
    <row r="233" spans="1:64" s="12" customFormat="1">
      <c r="A233" s="12" t="s">
        <v>280</v>
      </c>
      <c r="C233" s="12">
        <f t="shared" ref="C233:C235" si="132">D189</f>
        <v>7.6808607490171728</v>
      </c>
      <c r="D233" s="12">
        <f>C233*(1+D$225/100)</f>
        <v>7.8714889841485567</v>
      </c>
      <c r="E233" s="12">
        <f t="shared" si="124"/>
        <v>8.0288735965503832</v>
      </c>
      <c r="F233" s="12">
        <f t="shared" si="124"/>
        <v>8.1138001427920585</v>
      </c>
      <c r="G233" s="12">
        <f t="shared" si="124"/>
        <v>8.1534958382068936</v>
      </c>
      <c r="H233" s="12">
        <f t="shared" si="124"/>
        <v>8.2899224417989377</v>
      </c>
      <c r="I233" s="12">
        <f t="shared" si="130"/>
        <v>8.4282234050085361</v>
      </c>
      <c r="J233" s="12">
        <f t="shared" si="130"/>
        <v>8.5853737923443187</v>
      </c>
      <c r="K233" s="12">
        <f t="shared" si="130"/>
        <v>8.7452974218095569</v>
      </c>
      <c r="L233" s="12">
        <f t="shared" si="130"/>
        <v>8.8909809653379863</v>
      </c>
      <c r="M233" s="12">
        <f t="shared" si="130"/>
        <v>9.0216026249658707</v>
      </c>
      <c r="N233" s="12">
        <f t="shared" si="130"/>
        <v>9.1364149931739522</v>
      </c>
      <c r="O233" s="12">
        <f t="shared" si="130"/>
        <v>9.2347521408499915</v>
      </c>
      <c r="P233" s="12">
        <f t="shared" ref="P233:BK233" si="133">O233*(1+P$225/100)</f>
        <v>9.3341477118376126</v>
      </c>
      <c r="Q233" s="12">
        <f t="shared" si="133"/>
        <v>9.4346130981685459</v>
      </c>
      <c r="R233" s="12">
        <f t="shared" si="133"/>
        <v>9.5361598144893414</v>
      </c>
      <c r="S233" s="12">
        <f t="shared" si="133"/>
        <v>9.6387994993811041</v>
      </c>
      <c r="T233" s="12">
        <f t="shared" si="133"/>
        <v>9.7425439166934247</v>
      </c>
      <c r="U233" s="12">
        <f t="shared" si="133"/>
        <v>9.8474049568926674</v>
      </c>
      <c r="V233" s="12">
        <f t="shared" si="133"/>
        <v>9.9726654896124387</v>
      </c>
      <c r="W233" s="12">
        <f t="shared" si="133"/>
        <v>9.9726654896124387</v>
      </c>
      <c r="X233" s="12">
        <f t="shared" si="133"/>
        <v>9.9726654896124387</v>
      </c>
      <c r="Y233" s="12">
        <f t="shared" si="133"/>
        <v>9.9726654896124387</v>
      </c>
      <c r="Z233" s="12">
        <f t="shared" si="133"/>
        <v>9.9726654896124387</v>
      </c>
      <c r="AA233" s="12">
        <f t="shared" si="133"/>
        <v>9.9726654896124387</v>
      </c>
      <c r="AB233" s="12">
        <f t="shared" si="133"/>
        <v>9.9726654896124387</v>
      </c>
      <c r="AC233" s="12">
        <f t="shared" si="133"/>
        <v>9.9726654896124387</v>
      </c>
      <c r="AD233" s="12">
        <f t="shared" si="133"/>
        <v>9.9726654896124387</v>
      </c>
      <c r="AE233" s="12">
        <f t="shared" si="133"/>
        <v>9.9726654896124387</v>
      </c>
      <c r="AF233" s="12">
        <f t="shared" si="133"/>
        <v>9.9726654896124387</v>
      </c>
      <c r="AG233" s="12">
        <f t="shared" si="133"/>
        <v>9.9726654896124387</v>
      </c>
      <c r="AH233" s="12">
        <f t="shared" si="133"/>
        <v>9.9726654896124387</v>
      </c>
      <c r="AI233" s="12">
        <f t="shared" si="133"/>
        <v>9.9726654896124387</v>
      </c>
      <c r="AJ233" s="12">
        <f t="shared" si="133"/>
        <v>9.9726654896124387</v>
      </c>
      <c r="AK233" s="12">
        <f t="shared" si="133"/>
        <v>9.9726654896124387</v>
      </c>
      <c r="AL233" s="12">
        <f t="shared" si="133"/>
        <v>9.9726654896124387</v>
      </c>
      <c r="AM233" s="12">
        <f t="shared" si="133"/>
        <v>9.9726654896124387</v>
      </c>
      <c r="AN233" s="12">
        <f t="shared" si="133"/>
        <v>9.9726654896124387</v>
      </c>
      <c r="AO233" s="12">
        <f t="shared" si="133"/>
        <v>9.9726654896124387</v>
      </c>
      <c r="AP233" s="12">
        <f t="shared" si="133"/>
        <v>9.9726654896124387</v>
      </c>
      <c r="AQ233" s="12">
        <f t="shared" si="133"/>
        <v>9.9726654896124387</v>
      </c>
      <c r="AR233" s="12">
        <f t="shared" si="133"/>
        <v>9.9726654896124387</v>
      </c>
      <c r="AS233" s="12">
        <f t="shared" si="133"/>
        <v>9.9726654896124387</v>
      </c>
      <c r="AT233" s="12">
        <f t="shared" si="133"/>
        <v>9.9726654896124387</v>
      </c>
      <c r="AU233" s="12">
        <f t="shared" si="133"/>
        <v>9.9726654896124387</v>
      </c>
      <c r="AV233" s="12">
        <f t="shared" si="133"/>
        <v>9.9726654896124387</v>
      </c>
      <c r="AW233" s="12">
        <f t="shared" si="133"/>
        <v>9.9726654896124387</v>
      </c>
      <c r="AX233" s="12">
        <f t="shared" si="133"/>
        <v>9.9726654896124387</v>
      </c>
      <c r="AY233" s="12">
        <f t="shared" si="133"/>
        <v>9.9726654896124387</v>
      </c>
      <c r="AZ233" s="12">
        <f t="shared" si="133"/>
        <v>9.9726654896124387</v>
      </c>
      <c r="BA233" s="12">
        <f t="shared" si="133"/>
        <v>9.9726654896124387</v>
      </c>
      <c r="BB233" s="12">
        <f t="shared" si="133"/>
        <v>9.9726654896124387</v>
      </c>
      <c r="BC233" s="12">
        <f t="shared" si="133"/>
        <v>9.9726654896124387</v>
      </c>
      <c r="BD233" s="12">
        <f t="shared" si="133"/>
        <v>9.9726654896124387</v>
      </c>
      <c r="BE233" s="12">
        <f t="shared" si="133"/>
        <v>9.9726654896124387</v>
      </c>
      <c r="BF233" s="12">
        <f t="shared" si="133"/>
        <v>9.9726654896124387</v>
      </c>
      <c r="BG233" s="12">
        <f t="shared" si="133"/>
        <v>9.9726654896124387</v>
      </c>
      <c r="BH233" s="12">
        <f t="shared" si="133"/>
        <v>9.9726654896124387</v>
      </c>
      <c r="BI233" s="12">
        <f t="shared" si="133"/>
        <v>9.9726654896124387</v>
      </c>
      <c r="BJ233" s="12">
        <f t="shared" si="133"/>
        <v>9.9726654896124387</v>
      </c>
      <c r="BK233" s="12">
        <f t="shared" si="133"/>
        <v>9.9726654896124387</v>
      </c>
    </row>
    <row r="234" spans="1:64" s="12" customFormat="1">
      <c r="A234" s="12" t="s">
        <v>281</v>
      </c>
      <c r="C234" s="12">
        <f t="shared" si="132"/>
        <v>7.085288640595901</v>
      </c>
      <c r="D234" s="12">
        <f t="shared" si="127"/>
        <v>7.2611356078939426</v>
      </c>
      <c r="E234" s="12">
        <f t="shared" si="124"/>
        <v>7.4063166550308726</v>
      </c>
      <c r="F234" s="12">
        <f t="shared" si="124"/>
        <v>7.4846580171559669</v>
      </c>
      <c r="G234" s="12">
        <f t="shared" si="124"/>
        <v>7.5212757178269847</v>
      </c>
      <c r="H234" s="12">
        <f t="shared" si="124"/>
        <v>7.6471238351528292</v>
      </c>
      <c r="I234" s="12">
        <f t="shared" si="130"/>
        <v>7.7747009746990479</v>
      </c>
      <c r="J234" s="12">
        <f t="shared" si="130"/>
        <v>7.9196659585256244</v>
      </c>
      <c r="K234" s="12">
        <f t="shared" si="130"/>
        <v>8.0671891479491418</v>
      </c>
      <c r="L234" s="12">
        <f t="shared" si="130"/>
        <v>8.2015764242991018</v>
      </c>
      <c r="M234" s="12">
        <f t="shared" si="130"/>
        <v>8.3220697116296467</v>
      </c>
      <c r="N234" s="12">
        <f t="shared" si="130"/>
        <v>8.4279795562220947</v>
      </c>
      <c r="O234" s="12">
        <f t="shared" si="130"/>
        <v>8.5186916649485553</v>
      </c>
      <c r="P234" s="12">
        <f t="shared" ref="P234:BK234" si="134">O234*(1+P$225/100)</f>
        <v>8.6103801270957501</v>
      </c>
      <c r="Q234" s="12">
        <f t="shared" si="134"/>
        <v>8.7030554513599885</v>
      </c>
      <c r="R234" s="12">
        <f t="shared" si="134"/>
        <v>8.7967282595448797</v>
      </c>
      <c r="S234" s="12">
        <f t="shared" si="134"/>
        <v>8.8914092877787283</v>
      </c>
      <c r="T234" s="12">
        <f t="shared" si="134"/>
        <v>8.9871093877450345</v>
      </c>
      <c r="U234" s="12">
        <f t="shared" si="134"/>
        <v>9.0838395279262425</v>
      </c>
      <c r="V234" s="12">
        <f t="shared" si="134"/>
        <v>9.1993873888489848</v>
      </c>
      <c r="W234" s="12">
        <f t="shared" si="134"/>
        <v>9.1993873888489848</v>
      </c>
      <c r="X234" s="12">
        <f t="shared" si="134"/>
        <v>9.1993873888489848</v>
      </c>
      <c r="Y234" s="12">
        <f t="shared" si="134"/>
        <v>9.1993873888489848</v>
      </c>
      <c r="Z234" s="12">
        <f t="shared" si="134"/>
        <v>9.1993873888489848</v>
      </c>
      <c r="AA234" s="12">
        <f t="shared" si="134"/>
        <v>9.1993873888489848</v>
      </c>
      <c r="AB234" s="12">
        <f t="shared" si="134"/>
        <v>9.1993873888489848</v>
      </c>
      <c r="AC234" s="12">
        <f t="shared" si="134"/>
        <v>9.1993873888489848</v>
      </c>
      <c r="AD234" s="12">
        <f t="shared" si="134"/>
        <v>9.1993873888489848</v>
      </c>
      <c r="AE234" s="12">
        <f t="shared" si="134"/>
        <v>9.1993873888489848</v>
      </c>
      <c r="AF234" s="12">
        <f t="shared" si="134"/>
        <v>9.1993873888489848</v>
      </c>
      <c r="AG234" s="12">
        <f t="shared" si="134"/>
        <v>9.1993873888489848</v>
      </c>
      <c r="AH234" s="12">
        <f t="shared" si="134"/>
        <v>9.1993873888489848</v>
      </c>
      <c r="AI234" s="12">
        <f t="shared" si="134"/>
        <v>9.1993873888489848</v>
      </c>
      <c r="AJ234" s="12">
        <f t="shared" si="134"/>
        <v>9.1993873888489848</v>
      </c>
      <c r="AK234" s="12">
        <f t="shared" si="134"/>
        <v>9.1993873888489848</v>
      </c>
      <c r="AL234" s="12">
        <f t="shared" si="134"/>
        <v>9.1993873888489848</v>
      </c>
      <c r="AM234" s="12">
        <f t="shared" si="134"/>
        <v>9.1993873888489848</v>
      </c>
      <c r="AN234" s="12">
        <f t="shared" si="134"/>
        <v>9.1993873888489848</v>
      </c>
      <c r="AO234" s="12">
        <f t="shared" si="134"/>
        <v>9.1993873888489848</v>
      </c>
      <c r="AP234" s="12">
        <f t="shared" si="134"/>
        <v>9.1993873888489848</v>
      </c>
      <c r="AQ234" s="12">
        <f t="shared" si="134"/>
        <v>9.1993873888489848</v>
      </c>
      <c r="AR234" s="12">
        <f t="shared" si="134"/>
        <v>9.1993873888489848</v>
      </c>
      <c r="AS234" s="12">
        <f t="shared" si="134"/>
        <v>9.1993873888489848</v>
      </c>
      <c r="AT234" s="12">
        <f t="shared" si="134"/>
        <v>9.1993873888489848</v>
      </c>
      <c r="AU234" s="12">
        <f t="shared" si="134"/>
        <v>9.1993873888489848</v>
      </c>
      <c r="AV234" s="12">
        <f t="shared" si="134"/>
        <v>9.1993873888489848</v>
      </c>
      <c r="AW234" s="12">
        <f t="shared" si="134"/>
        <v>9.1993873888489848</v>
      </c>
      <c r="AX234" s="12">
        <f t="shared" si="134"/>
        <v>9.1993873888489848</v>
      </c>
      <c r="AY234" s="12">
        <f t="shared" si="134"/>
        <v>9.1993873888489848</v>
      </c>
      <c r="AZ234" s="12">
        <f t="shared" si="134"/>
        <v>9.1993873888489848</v>
      </c>
      <c r="BA234" s="12">
        <f t="shared" si="134"/>
        <v>9.1993873888489848</v>
      </c>
      <c r="BB234" s="12">
        <f t="shared" si="134"/>
        <v>9.1993873888489848</v>
      </c>
      <c r="BC234" s="12">
        <f t="shared" si="134"/>
        <v>9.1993873888489848</v>
      </c>
      <c r="BD234" s="12">
        <f t="shared" si="134"/>
        <v>9.1993873888489848</v>
      </c>
      <c r="BE234" s="12">
        <f t="shared" si="134"/>
        <v>9.1993873888489848</v>
      </c>
      <c r="BF234" s="12">
        <f t="shared" si="134"/>
        <v>9.1993873888489848</v>
      </c>
      <c r="BG234" s="12">
        <f t="shared" si="134"/>
        <v>9.1993873888489848</v>
      </c>
      <c r="BH234" s="12">
        <f t="shared" si="134"/>
        <v>9.1993873888489848</v>
      </c>
      <c r="BI234" s="12">
        <f t="shared" si="134"/>
        <v>9.1993873888489848</v>
      </c>
      <c r="BJ234" s="12">
        <f t="shared" si="134"/>
        <v>9.1993873888489848</v>
      </c>
      <c r="BK234" s="12">
        <f t="shared" si="134"/>
        <v>9.1993873888489848</v>
      </c>
    </row>
    <row r="235" spans="1:64" s="12" customFormat="1">
      <c r="A235" s="12" t="s">
        <v>282</v>
      </c>
      <c r="C235" s="12">
        <f t="shared" si="132"/>
        <v>6.2351334574798258</v>
      </c>
      <c r="D235" s="12">
        <f>C235*(1+D$225/100)</f>
        <v>6.3898807606333312</v>
      </c>
      <c r="E235" s="12">
        <f t="shared" si="124"/>
        <v>6.5176417101603352</v>
      </c>
      <c r="F235" s="12">
        <f t="shared" si="124"/>
        <v>6.5865829873430304</v>
      </c>
      <c r="G235" s="12">
        <f t="shared" si="124"/>
        <v>6.6188069745609521</v>
      </c>
      <c r="H235" s="12">
        <f t="shared" si="124"/>
        <v>6.7295547290565585</v>
      </c>
      <c r="I235" s="12">
        <f t="shared" si="130"/>
        <v>6.8418240424951851</v>
      </c>
      <c r="J235" s="12">
        <f t="shared" si="130"/>
        <v>6.9693948538861648</v>
      </c>
      <c r="K235" s="12">
        <f t="shared" si="130"/>
        <v>7.0992169148899276</v>
      </c>
      <c r="L235" s="12">
        <f t="shared" si="130"/>
        <v>7.2174792250840758</v>
      </c>
      <c r="M235" s="12">
        <f t="shared" si="130"/>
        <v>7.3235146691352613</v>
      </c>
      <c r="N235" s="12">
        <f t="shared" si="130"/>
        <v>7.4167165200395768</v>
      </c>
      <c r="O235" s="12">
        <f t="shared" si="130"/>
        <v>7.4965441929558532</v>
      </c>
      <c r="P235" s="12">
        <f t="shared" ref="P235:BK235" si="135">O235*(1+P$225/100)</f>
        <v>7.5772310678311117</v>
      </c>
      <c r="Q235" s="12">
        <f t="shared" si="135"/>
        <v>7.6587863924359469</v>
      </c>
      <c r="R235" s="12">
        <f t="shared" si="135"/>
        <v>7.7412195140766462</v>
      </c>
      <c r="S235" s="12">
        <f t="shared" si="135"/>
        <v>7.8245398806665118</v>
      </c>
      <c r="T235" s="12">
        <f t="shared" si="135"/>
        <v>7.9087570418087143</v>
      </c>
      <c r="U235" s="12">
        <f t="shared" si="135"/>
        <v>7.9938806498908033</v>
      </c>
      <c r="V235" s="12">
        <f t="shared" si="135"/>
        <v>8.095564063245579</v>
      </c>
      <c r="W235" s="12">
        <f t="shared" si="135"/>
        <v>8.095564063245579</v>
      </c>
      <c r="X235" s="12">
        <f t="shared" si="135"/>
        <v>8.095564063245579</v>
      </c>
      <c r="Y235" s="12">
        <f t="shared" si="135"/>
        <v>8.095564063245579</v>
      </c>
      <c r="Z235" s="12">
        <f t="shared" si="135"/>
        <v>8.095564063245579</v>
      </c>
      <c r="AA235" s="12">
        <f t="shared" si="135"/>
        <v>8.095564063245579</v>
      </c>
      <c r="AB235" s="12">
        <f t="shared" si="135"/>
        <v>8.095564063245579</v>
      </c>
      <c r="AC235" s="12">
        <f t="shared" si="135"/>
        <v>8.095564063245579</v>
      </c>
      <c r="AD235" s="12">
        <f t="shared" si="135"/>
        <v>8.095564063245579</v>
      </c>
      <c r="AE235" s="12">
        <f t="shared" si="135"/>
        <v>8.095564063245579</v>
      </c>
      <c r="AF235" s="12">
        <f t="shared" si="135"/>
        <v>8.095564063245579</v>
      </c>
      <c r="AG235" s="12">
        <f t="shared" si="135"/>
        <v>8.095564063245579</v>
      </c>
      <c r="AH235" s="12">
        <f t="shared" si="135"/>
        <v>8.095564063245579</v>
      </c>
      <c r="AI235" s="12">
        <f t="shared" si="135"/>
        <v>8.095564063245579</v>
      </c>
      <c r="AJ235" s="12">
        <f t="shared" si="135"/>
        <v>8.095564063245579</v>
      </c>
      <c r="AK235" s="12">
        <f t="shared" si="135"/>
        <v>8.095564063245579</v>
      </c>
      <c r="AL235" s="12">
        <f t="shared" si="135"/>
        <v>8.095564063245579</v>
      </c>
      <c r="AM235" s="12">
        <f t="shared" si="135"/>
        <v>8.095564063245579</v>
      </c>
      <c r="AN235" s="12">
        <f t="shared" si="135"/>
        <v>8.095564063245579</v>
      </c>
      <c r="AO235" s="12">
        <f t="shared" si="135"/>
        <v>8.095564063245579</v>
      </c>
      <c r="AP235" s="12">
        <f t="shared" si="135"/>
        <v>8.095564063245579</v>
      </c>
      <c r="AQ235" s="12">
        <f t="shared" si="135"/>
        <v>8.095564063245579</v>
      </c>
      <c r="AR235" s="12">
        <f t="shared" si="135"/>
        <v>8.095564063245579</v>
      </c>
      <c r="AS235" s="12">
        <f t="shared" si="135"/>
        <v>8.095564063245579</v>
      </c>
      <c r="AT235" s="12">
        <f t="shared" si="135"/>
        <v>8.095564063245579</v>
      </c>
      <c r="AU235" s="12">
        <f t="shared" si="135"/>
        <v>8.095564063245579</v>
      </c>
      <c r="AV235" s="12">
        <f t="shared" si="135"/>
        <v>8.095564063245579</v>
      </c>
      <c r="AW235" s="12">
        <f t="shared" si="135"/>
        <v>8.095564063245579</v>
      </c>
      <c r="AX235" s="12">
        <f t="shared" si="135"/>
        <v>8.095564063245579</v>
      </c>
      <c r="AY235" s="12">
        <f t="shared" si="135"/>
        <v>8.095564063245579</v>
      </c>
      <c r="AZ235" s="12">
        <f t="shared" si="135"/>
        <v>8.095564063245579</v>
      </c>
      <c r="BA235" s="12">
        <f t="shared" si="135"/>
        <v>8.095564063245579</v>
      </c>
      <c r="BB235" s="12">
        <f t="shared" si="135"/>
        <v>8.095564063245579</v>
      </c>
      <c r="BC235" s="12">
        <f t="shared" si="135"/>
        <v>8.095564063245579</v>
      </c>
      <c r="BD235" s="12">
        <f t="shared" si="135"/>
        <v>8.095564063245579</v>
      </c>
      <c r="BE235" s="12">
        <f t="shared" si="135"/>
        <v>8.095564063245579</v>
      </c>
      <c r="BF235" s="12">
        <f t="shared" si="135"/>
        <v>8.095564063245579</v>
      </c>
      <c r="BG235" s="12">
        <f t="shared" si="135"/>
        <v>8.095564063245579</v>
      </c>
      <c r="BH235" s="12">
        <f t="shared" si="135"/>
        <v>8.095564063245579</v>
      </c>
      <c r="BI235" s="12">
        <f t="shared" si="135"/>
        <v>8.095564063245579</v>
      </c>
      <c r="BJ235" s="12">
        <f t="shared" si="135"/>
        <v>8.095564063245579</v>
      </c>
      <c r="BK235" s="12">
        <f t="shared" si="135"/>
        <v>8.095564063245579</v>
      </c>
    </row>
    <row r="236" spans="1:64">
      <c r="A236" s="12" t="s">
        <v>10</v>
      </c>
      <c r="C236" s="12">
        <f>D192</f>
        <v>5.5930635558525301</v>
      </c>
      <c r="D236" s="12">
        <f t="shared" si="127"/>
        <v>5.7318755808936377</v>
      </c>
      <c r="E236" s="12">
        <f t="shared" si="124"/>
        <v>5.846480202516191</v>
      </c>
      <c r="F236" s="12">
        <f t="shared" si="124"/>
        <v>5.9083221739084619</v>
      </c>
      <c r="G236" s="12">
        <f t="shared" si="124"/>
        <v>5.9372278596907933</v>
      </c>
      <c r="H236" s="12">
        <f t="shared" si="124"/>
        <v>6.0365712392328632</v>
      </c>
      <c r="I236" s="12">
        <f t="shared" ref="I236:O236" si="136">H236*(1+I$225/100)</f>
        <v>6.137279493469328</v>
      </c>
      <c r="J236" s="12">
        <f t="shared" si="136"/>
        <v>6.2517135566449094</v>
      </c>
      <c r="K236" s="12">
        <f t="shared" si="136"/>
        <v>6.3681670444647667</v>
      </c>
      <c r="L236" s="12">
        <f t="shared" si="136"/>
        <v>6.4742511598551644</v>
      </c>
      <c r="M236" s="12">
        <f t="shared" si="136"/>
        <v>6.5693674844367775</v>
      </c>
      <c r="N236" s="12">
        <f t="shared" si="136"/>
        <v>6.6529717696033739</v>
      </c>
      <c r="O236" s="12">
        <f t="shared" si="136"/>
        <v>6.724579097847637</v>
      </c>
      <c r="P236" s="12">
        <f t="shared" ref="P236:BK236" si="137">O236*(1+P$225/100)</f>
        <v>6.7969571507598907</v>
      </c>
      <c r="Q236" s="12">
        <f t="shared" si="137"/>
        <v>6.8701142238111217</v>
      </c>
      <c r="R236" s="12">
        <f t="shared" si="137"/>
        <v>6.9440587017582072</v>
      </c>
      <c r="S236" s="12">
        <f t="shared" si="137"/>
        <v>7.0187990596049188</v>
      </c>
      <c r="T236" s="12">
        <f t="shared" si="137"/>
        <v>7.0943438635732683</v>
      </c>
      <c r="U236" s="12">
        <f t="shared" si="137"/>
        <v>7.1707017720853088</v>
      </c>
      <c r="V236" s="12">
        <f t="shared" si="137"/>
        <v>7.2619142212409935</v>
      </c>
      <c r="W236" s="12">
        <f t="shared" si="137"/>
        <v>7.2619142212409935</v>
      </c>
      <c r="X236" s="12">
        <f t="shared" si="137"/>
        <v>7.2619142212409935</v>
      </c>
      <c r="Y236" s="12">
        <f t="shared" si="137"/>
        <v>7.2619142212409935</v>
      </c>
      <c r="Z236" s="12">
        <f t="shared" si="137"/>
        <v>7.2619142212409935</v>
      </c>
      <c r="AA236" s="12">
        <f t="shared" si="137"/>
        <v>7.2619142212409935</v>
      </c>
      <c r="AB236" s="12">
        <f t="shared" si="137"/>
        <v>7.2619142212409935</v>
      </c>
      <c r="AC236" s="12">
        <f t="shared" si="137"/>
        <v>7.2619142212409935</v>
      </c>
      <c r="AD236" s="12">
        <f t="shared" si="137"/>
        <v>7.2619142212409935</v>
      </c>
      <c r="AE236" s="12">
        <f t="shared" si="137"/>
        <v>7.2619142212409935</v>
      </c>
      <c r="AF236" s="12">
        <f t="shared" si="137"/>
        <v>7.2619142212409935</v>
      </c>
      <c r="AG236" s="12">
        <f t="shared" si="137"/>
        <v>7.2619142212409935</v>
      </c>
      <c r="AH236" s="12">
        <f t="shared" si="137"/>
        <v>7.2619142212409935</v>
      </c>
      <c r="AI236" s="12">
        <f t="shared" si="137"/>
        <v>7.2619142212409935</v>
      </c>
      <c r="AJ236" s="12">
        <f t="shared" si="137"/>
        <v>7.2619142212409935</v>
      </c>
      <c r="AK236" s="12">
        <f t="shared" si="137"/>
        <v>7.2619142212409935</v>
      </c>
      <c r="AL236" s="12">
        <f t="shared" si="137"/>
        <v>7.2619142212409935</v>
      </c>
      <c r="AM236" s="12">
        <f t="shared" si="137"/>
        <v>7.2619142212409935</v>
      </c>
      <c r="AN236" s="12">
        <f t="shared" si="137"/>
        <v>7.2619142212409935</v>
      </c>
      <c r="AO236" s="12">
        <f t="shared" si="137"/>
        <v>7.2619142212409935</v>
      </c>
      <c r="AP236" s="12">
        <f t="shared" si="137"/>
        <v>7.2619142212409935</v>
      </c>
      <c r="AQ236" s="12">
        <f t="shared" si="137"/>
        <v>7.2619142212409935</v>
      </c>
      <c r="AR236" s="12">
        <f t="shared" si="137"/>
        <v>7.2619142212409935</v>
      </c>
      <c r="AS236" s="12">
        <f t="shared" si="137"/>
        <v>7.2619142212409935</v>
      </c>
      <c r="AT236" s="12">
        <f t="shared" si="137"/>
        <v>7.2619142212409935</v>
      </c>
      <c r="AU236" s="12">
        <f t="shared" si="137"/>
        <v>7.2619142212409935</v>
      </c>
      <c r="AV236" s="12">
        <f t="shared" si="137"/>
        <v>7.2619142212409935</v>
      </c>
      <c r="AW236" s="12">
        <f t="shared" si="137"/>
        <v>7.2619142212409935</v>
      </c>
      <c r="AX236" s="12">
        <f t="shared" si="137"/>
        <v>7.2619142212409935</v>
      </c>
      <c r="AY236" s="12">
        <f t="shared" si="137"/>
        <v>7.2619142212409935</v>
      </c>
      <c r="AZ236" s="12">
        <f t="shared" si="137"/>
        <v>7.2619142212409935</v>
      </c>
      <c r="BA236" s="12">
        <f t="shared" si="137"/>
        <v>7.2619142212409935</v>
      </c>
      <c r="BB236" s="12">
        <f t="shared" si="137"/>
        <v>7.2619142212409935</v>
      </c>
      <c r="BC236" s="12">
        <f t="shared" si="137"/>
        <v>7.2619142212409935</v>
      </c>
      <c r="BD236" s="12">
        <f t="shared" si="137"/>
        <v>7.2619142212409935</v>
      </c>
      <c r="BE236" s="12">
        <f t="shared" si="137"/>
        <v>7.2619142212409935</v>
      </c>
      <c r="BF236" s="12">
        <f t="shared" si="137"/>
        <v>7.2619142212409935</v>
      </c>
      <c r="BG236" s="12">
        <f t="shared" si="137"/>
        <v>7.2619142212409935</v>
      </c>
      <c r="BH236" s="12">
        <f t="shared" si="137"/>
        <v>7.2619142212409935</v>
      </c>
      <c r="BI236" s="12">
        <f t="shared" si="137"/>
        <v>7.2619142212409935</v>
      </c>
      <c r="BJ236" s="12">
        <f t="shared" si="137"/>
        <v>7.2619142212409935</v>
      </c>
      <c r="BK236" s="12">
        <f t="shared" si="137"/>
        <v>7.2619142212409935</v>
      </c>
    </row>
    <row r="237" spans="1:64">
      <c r="A237" s="12"/>
      <c r="C237" s="12"/>
      <c r="I237" s="12"/>
      <c r="J237" s="12"/>
      <c r="K237" s="12"/>
      <c r="L237" s="12"/>
      <c r="M237" s="12"/>
      <c r="N237" s="12"/>
      <c r="O237" s="12"/>
      <c r="P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</row>
    <row r="238" spans="1:64">
      <c r="A238" s="12"/>
      <c r="C238" s="12"/>
      <c r="I238" s="12"/>
      <c r="J238" s="12"/>
      <c r="K238" s="12"/>
      <c r="L238" s="12"/>
      <c r="M238" s="12"/>
      <c r="N238" s="12"/>
      <c r="O238" s="12"/>
      <c r="P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</row>
    <row r="239" spans="1:64">
      <c r="A239" s="12"/>
      <c r="C239" s="12"/>
      <c r="I239" s="12"/>
      <c r="J239" s="12"/>
      <c r="K239" s="12"/>
      <c r="L239" s="12"/>
      <c r="M239" s="12"/>
      <c r="N239" s="12"/>
      <c r="O239" s="12"/>
      <c r="P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</row>
    <row r="240" spans="1:64">
      <c r="A240" s="12" t="s">
        <v>116</v>
      </c>
      <c r="C240" s="12">
        <f>D197</f>
        <v>2010</v>
      </c>
      <c r="D240">
        <f>D223</f>
        <v>2011</v>
      </c>
      <c r="E240" s="12">
        <f t="shared" ref="E240:P240" si="138">E223</f>
        <v>2012</v>
      </c>
      <c r="F240" s="12">
        <f t="shared" si="138"/>
        <v>2013</v>
      </c>
      <c r="G240" s="12">
        <f t="shared" si="138"/>
        <v>2014</v>
      </c>
      <c r="H240" s="12">
        <f t="shared" si="138"/>
        <v>2015</v>
      </c>
      <c r="I240" s="12">
        <f t="shared" si="138"/>
        <v>2016</v>
      </c>
      <c r="J240" s="12">
        <f t="shared" si="138"/>
        <v>2017</v>
      </c>
      <c r="K240" s="12">
        <f t="shared" si="138"/>
        <v>2018</v>
      </c>
      <c r="L240" s="12">
        <f t="shared" si="138"/>
        <v>2019</v>
      </c>
      <c r="M240" s="12">
        <f t="shared" si="138"/>
        <v>2020</v>
      </c>
      <c r="N240" s="12">
        <f t="shared" si="138"/>
        <v>2021</v>
      </c>
      <c r="O240" s="12">
        <f t="shared" si="138"/>
        <v>2022</v>
      </c>
      <c r="P240" s="12">
        <f t="shared" si="138"/>
        <v>2023</v>
      </c>
      <c r="Q240" s="12">
        <f t="shared" ref="Q240:BK240" si="139">Q223</f>
        <v>2024</v>
      </c>
      <c r="R240" s="12">
        <f t="shared" si="139"/>
        <v>2025</v>
      </c>
      <c r="S240" s="12">
        <f t="shared" si="139"/>
        <v>2026</v>
      </c>
      <c r="T240" s="12">
        <f t="shared" si="139"/>
        <v>2027</v>
      </c>
      <c r="U240" s="12">
        <f t="shared" si="139"/>
        <v>2028</v>
      </c>
      <c r="V240" s="12">
        <f t="shared" si="139"/>
        <v>2029</v>
      </c>
      <c r="W240" s="12">
        <f t="shared" si="139"/>
        <v>2030</v>
      </c>
      <c r="X240" s="12">
        <f t="shared" si="139"/>
        <v>2031</v>
      </c>
      <c r="Y240" s="12">
        <f t="shared" si="139"/>
        <v>2032</v>
      </c>
      <c r="Z240" s="12">
        <f t="shared" si="139"/>
        <v>2033</v>
      </c>
      <c r="AA240" s="12">
        <f t="shared" si="139"/>
        <v>2034</v>
      </c>
      <c r="AB240" s="12">
        <f t="shared" si="139"/>
        <v>2035</v>
      </c>
      <c r="AC240" s="12">
        <f t="shared" si="139"/>
        <v>2036</v>
      </c>
      <c r="AD240" s="12">
        <f t="shared" si="139"/>
        <v>2037</v>
      </c>
      <c r="AE240" s="12">
        <f t="shared" si="139"/>
        <v>2038</v>
      </c>
      <c r="AF240" s="12">
        <f t="shared" si="139"/>
        <v>2039</v>
      </c>
      <c r="AG240" s="12">
        <f t="shared" si="139"/>
        <v>2040</v>
      </c>
      <c r="AH240" s="12">
        <f t="shared" si="139"/>
        <v>2041</v>
      </c>
      <c r="AI240" s="12">
        <f t="shared" si="139"/>
        <v>2042</v>
      </c>
      <c r="AJ240" s="12">
        <f t="shared" si="139"/>
        <v>2043</v>
      </c>
      <c r="AK240" s="12">
        <f t="shared" si="139"/>
        <v>2044</v>
      </c>
      <c r="AL240" s="12">
        <f t="shared" si="139"/>
        <v>2045</v>
      </c>
      <c r="AM240" s="12">
        <f t="shared" si="139"/>
        <v>2046</v>
      </c>
      <c r="AN240" s="12">
        <f t="shared" si="139"/>
        <v>2047</v>
      </c>
      <c r="AO240" s="12">
        <f t="shared" si="139"/>
        <v>2048</v>
      </c>
      <c r="AP240" s="12">
        <f t="shared" si="139"/>
        <v>2049</v>
      </c>
      <c r="AQ240" s="12">
        <f t="shared" si="139"/>
        <v>2050</v>
      </c>
      <c r="AR240" s="12">
        <f t="shared" si="139"/>
        <v>2051</v>
      </c>
      <c r="AS240" s="12">
        <f t="shared" si="139"/>
        <v>2052</v>
      </c>
      <c r="AT240" s="12">
        <f t="shared" si="139"/>
        <v>2053</v>
      </c>
      <c r="AU240" s="12">
        <f t="shared" si="139"/>
        <v>2054</v>
      </c>
      <c r="AV240" s="12">
        <f t="shared" si="139"/>
        <v>2055</v>
      </c>
      <c r="AW240" s="12">
        <f t="shared" si="139"/>
        <v>2056</v>
      </c>
      <c r="AX240" s="12">
        <f t="shared" si="139"/>
        <v>2057</v>
      </c>
      <c r="AY240" s="12">
        <f t="shared" si="139"/>
        <v>2058</v>
      </c>
      <c r="AZ240" s="12">
        <f t="shared" si="139"/>
        <v>2059</v>
      </c>
      <c r="BA240" s="12">
        <f t="shared" si="139"/>
        <v>2060</v>
      </c>
      <c r="BB240" s="12">
        <f t="shared" si="139"/>
        <v>2061</v>
      </c>
      <c r="BC240" s="12">
        <f t="shared" si="139"/>
        <v>2062</v>
      </c>
      <c r="BD240" s="12">
        <f t="shared" si="139"/>
        <v>2063</v>
      </c>
      <c r="BE240" s="12">
        <f t="shared" si="139"/>
        <v>2064</v>
      </c>
      <c r="BF240" s="12">
        <f t="shared" si="139"/>
        <v>2065</v>
      </c>
      <c r="BG240" s="12">
        <f t="shared" si="139"/>
        <v>2066</v>
      </c>
      <c r="BH240" s="12">
        <f t="shared" si="139"/>
        <v>2067</v>
      </c>
      <c r="BI240" s="12">
        <f t="shared" si="139"/>
        <v>2068</v>
      </c>
      <c r="BJ240" s="12">
        <f t="shared" si="139"/>
        <v>2069</v>
      </c>
      <c r="BK240" s="12">
        <f t="shared" si="139"/>
        <v>2070</v>
      </c>
    </row>
    <row r="241" spans="1:63">
      <c r="A241" s="12" t="s">
        <v>276</v>
      </c>
      <c r="C241" s="12">
        <f>D198</f>
        <v>31.056772422208663</v>
      </c>
      <c r="D241">
        <f>C241*(1+D$225/100)</f>
        <v>31.827558133495021</v>
      </c>
      <c r="E241" s="12">
        <f t="shared" ref="E241:O248" si="140">D241*(1+E$225/100)</f>
        <v>32.463926666897542</v>
      </c>
      <c r="F241" s="12">
        <f t="shared" si="140"/>
        <v>32.807318443602952</v>
      </c>
      <c r="G241" s="12">
        <f t="shared" si="140"/>
        <v>32.96782391544054</v>
      </c>
      <c r="H241" s="12">
        <f t="shared" si="140"/>
        <v>33.519450890403618</v>
      </c>
      <c r="I241" s="12">
        <f t="shared" si="140"/>
        <v>34.078656646180711</v>
      </c>
      <c r="J241" s="12">
        <f t="shared" si="140"/>
        <v>34.714078114558959</v>
      </c>
      <c r="K241" s="12">
        <f t="shared" si="140"/>
        <v>35.360712902967414</v>
      </c>
      <c r="L241" s="12">
        <f t="shared" si="140"/>
        <v>35.949769364849281</v>
      </c>
      <c r="M241" s="12">
        <f t="shared" si="140"/>
        <v>36.477924644450397</v>
      </c>
      <c r="N241" s="12">
        <f t="shared" si="140"/>
        <v>36.94215667614678</v>
      </c>
      <c r="O241" s="12">
        <f t="shared" si="140"/>
        <v>37.339772843893954</v>
      </c>
      <c r="P241" s="12">
        <f t="shared" ref="P241:BK241" si="141">O241*(1+P$225/100)</f>
        <v>37.74166863771277</v>
      </c>
      <c r="Q241" s="12">
        <f t="shared" si="141"/>
        <v>38.147890120114766</v>
      </c>
      <c r="R241" s="12">
        <f t="shared" si="141"/>
        <v>38.558483849391926</v>
      </c>
      <c r="S241" s="12">
        <f t="shared" si="141"/>
        <v>38.973496884952894</v>
      </c>
      <c r="T241" s="12">
        <f t="shared" si="141"/>
        <v>39.392976792716574</v>
      </c>
      <c r="U241" s="12">
        <f t="shared" si="141"/>
        <v>39.816971650563815</v>
      </c>
      <c r="V241" s="12">
        <f t="shared" si="141"/>
        <v>40.323449763535763</v>
      </c>
      <c r="W241" s="12">
        <f t="shared" si="141"/>
        <v>40.323449763535763</v>
      </c>
      <c r="X241" s="12">
        <f t="shared" si="141"/>
        <v>40.323449763535763</v>
      </c>
      <c r="Y241" s="12">
        <f t="shared" si="141"/>
        <v>40.323449763535763</v>
      </c>
      <c r="Z241" s="12">
        <f t="shared" si="141"/>
        <v>40.323449763535763</v>
      </c>
      <c r="AA241" s="12">
        <f t="shared" si="141"/>
        <v>40.323449763535763</v>
      </c>
      <c r="AB241" s="12">
        <f t="shared" si="141"/>
        <v>40.323449763535763</v>
      </c>
      <c r="AC241" s="12">
        <f t="shared" si="141"/>
        <v>40.323449763535763</v>
      </c>
      <c r="AD241" s="12">
        <f t="shared" si="141"/>
        <v>40.323449763535763</v>
      </c>
      <c r="AE241" s="12">
        <f t="shared" si="141"/>
        <v>40.323449763535763</v>
      </c>
      <c r="AF241" s="12">
        <f t="shared" si="141"/>
        <v>40.323449763535763</v>
      </c>
      <c r="AG241" s="12">
        <f t="shared" si="141"/>
        <v>40.323449763535763</v>
      </c>
      <c r="AH241" s="12">
        <f t="shared" si="141"/>
        <v>40.323449763535763</v>
      </c>
      <c r="AI241" s="12">
        <f t="shared" si="141"/>
        <v>40.323449763535763</v>
      </c>
      <c r="AJ241" s="12">
        <f t="shared" si="141"/>
        <v>40.323449763535763</v>
      </c>
      <c r="AK241" s="12">
        <f t="shared" si="141"/>
        <v>40.323449763535763</v>
      </c>
      <c r="AL241" s="12">
        <f t="shared" si="141"/>
        <v>40.323449763535763</v>
      </c>
      <c r="AM241" s="12">
        <f t="shared" si="141"/>
        <v>40.323449763535763</v>
      </c>
      <c r="AN241" s="12">
        <f t="shared" si="141"/>
        <v>40.323449763535763</v>
      </c>
      <c r="AO241" s="12">
        <f t="shared" si="141"/>
        <v>40.323449763535763</v>
      </c>
      <c r="AP241" s="12">
        <f t="shared" si="141"/>
        <v>40.323449763535763</v>
      </c>
      <c r="AQ241" s="12">
        <f t="shared" si="141"/>
        <v>40.323449763535763</v>
      </c>
      <c r="AR241" s="12">
        <f t="shared" si="141"/>
        <v>40.323449763535763</v>
      </c>
      <c r="AS241" s="12">
        <f t="shared" si="141"/>
        <v>40.323449763535763</v>
      </c>
      <c r="AT241" s="12">
        <f t="shared" si="141"/>
        <v>40.323449763535763</v>
      </c>
      <c r="AU241" s="12">
        <f t="shared" si="141"/>
        <v>40.323449763535763</v>
      </c>
      <c r="AV241" s="12">
        <f t="shared" si="141"/>
        <v>40.323449763535763</v>
      </c>
      <c r="AW241" s="12">
        <f t="shared" si="141"/>
        <v>40.323449763535763</v>
      </c>
      <c r="AX241" s="12">
        <f t="shared" si="141"/>
        <v>40.323449763535763</v>
      </c>
      <c r="AY241" s="12">
        <f t="shared" si="141"/>
        <v>40.323449763535763</v>
      </c>
      <c r="AZ241" s="12">
        <f t="shared" si="141"/>
        <v>40.323449763535763</v>
      </c>
      <c r="BA241" s="12">
        <f t="shared" si="141"/>
        <v>40.323449763535763</v>
      </c>
      <c r="BB241" s="12">
        <f t="shared" si="141"/>
        <v>40.323449763535763</v>
      </c>
      <c r="BC241" s="12">
        <f t="shared" si="141"/>
        <v>40.323449763535763</v>
      </c>
      <c r="BD241" s="12">
        <f t="shared" si="141"/>
        <v>40.323449763535763</v>
      </c>
      <c r="BE241" s="12">
        <f t="shared" si="141"/>
        <v>40.323449763535763</v>
      </c>
      <c r="BF241" s="12">
        <f t="shared" si="141"/>
        <v>40.323449763535763</v>
      </c>
      <c r="BG241" s="12">
        <f t="shared" si="141"/>
        <v>40.323449763535763</v>
      </c>
      <c r="BH241" s="12">
        <f t="shared" si="141"/>
        <v>40.323449763535763</v>
      </c>
      <c r="BI241" s="12">
        <f t="shared" si="141"/>
        <v>40.323449763535763</v>
      </c>
      <c r="BJ241" s="12">
        <f t="shared" si="141"/>
        <v>40.323449763535763</v>
      </c>
      <c r="BK241" s="12">
        <f t="shared" si="141"/>
        <v>40.323449763535763</v>
      </c>
    </row>
    <row r="242" spans="1:63">
      <c r="A242" s="12" t="s">
        <v>277</v>
      </c>
      <c r="C242" s="12">
        <f>D199</f>
        <v>31.056772422208663</v>
      </c>
      <c r="D242" s="12">
        <f>C242*(1+D$225/100)</f>
        <v>31.827558133495021</v>
      </c>
      <c r="E242" s="12">
        <f t="shared" ref="D242:O248" si="142">D242*(1+E$225/100)</f>
        <v>32.463926666897542</v>
      </c>
      <c r="F242" s="12">
        <f t="shared" si="142"/>
        <v>32.807318443602952</v>
      </c>
      <c r="G242" s="12">
        <f t="shared" si="142"/>
        <v>32.96782391544054</v>
      </c>
      <c r="H242" s="12">
        <f t="shared" si="142"/>
        <v>33.519450890403618</v>
      </c>
      <c r="I242" s="12">
        <f t="shared" si="142"/>
        <v>34.078656646180711</v>
      </c>
      <c r="J242" s="12">
        <f t="shared" si="142"/>
        <v>34.714078114558959</v>
      </c>
      <c r="K242" s="12">
        <f t="shared" si="142"/>
        <v>35.360712902967414</v>
      </c>
      <c r="L242" s="12">
        <f t="shared" si="142"/>
        <v>35.949769364849281</v>
      </c>
      <c r="M242" s="12">
        <f t="shared" si="142"/>
        <v>36.477924644450397</v>
      </c>
      <c r="N242" s="12">
        <f t="shared" si="142"/>
        <v>36.94215667614678</v>
      </c>
      <c r="O242" s="12">
        <f t="shared" si="142"/>
        <v>37.339772843893954</v>
      </c>
      <c r="P242" s="12">
        <f t="shared" ref="P242:BK242" si="143">O242*(1+P$225/100)</f>
        <v>37.74166863771277</v>
      </c>
      <c r="Q242" s="12">
        <f t="shared" si="143"/>
        <v>38.147890120114766</v>
      </c>
      <c r="R242" s="12">
        <f t="shared" si="143"/>
        <v>38.558483849391926</v>
      </c>
      <c r="S242" s="12">
        <f t="shared" si="143"/>
        <v>38.973496884952894</v>
      </c>
      <c r="T242" s="12">
        <f t="shared" si="143"/>
        <v>39.392976792716574</v>
      </c>
      <c r="U242" s="12">
        <f t="shared" si="143"/>
        <v>39.816971650563815</v>
      </c>
      <c r="V242" s="12">
        <f t="shared" si="143"/>
        <v>40.323449763535763</v>
      </c>
      <c r="W242" s="12">
        <f t="shared" si="143"/>
        <v>40.323449763535763</v>
      </c>
      <c r="X242" s="12">
        <f t="shared" si="143"/>
        <v>40.323449763535763</v>
      </c>
      <c r="Y242" s="12">
        <f t="shared" si="143"/>
        <v>40.323449763535763</v>
      </c>
      <c r="Z242" s="12">
        <f t="shared" si="143"/>
        <v>40.323449763535763</v>
      </c>
      <c r="AA242" s="12">
        <f t="shared" si="143"/>
        <v>40.323449763535763</v>
      </c>
      <c r="AB242" s="12">
        <f t="shared" si="143"/>
        <v>40.323449763535763</v>
      </c>
      <c r="AC242" s="12">
        <f t="shared" si="143"/>
        <v>40.323449763535763</v>
      </c>
      <c r="AD242" s="12">
        <f t="shared" si="143"/>
        <v>40.323449763535763</v>
      </c>
      <c r="AE242" s="12">
        <f t="shared" si="143"/>
        <v>40.323449763535763</v>
      </c>
      <c r="AF242" s="12">
        <f t="shared" si="143"/>
        <v>40.323449763535763</v>
      </c>
      <c r="AG242" s="12">
        <f t="shared" si="143"/>
        <v>40.323449763535763</v>
      </c>
      <c r="AH242" s="12">
        <f t="shared" si="143"/>
        <v>40.323449763535763</v>
      </c>
      <c r="AI242" s="12">
        <f t="shared" si="143"/>
        <v>40.323449763535763</v>
      </c>
      <c r="AJ242" s="12">
        <f t="shared" si="143"/>
        <v>40.323449763535763</v>
      </c>
      <c r="AK242" s="12">
        <f t="shared" si="143"/>
        <v>40.323449763535763</v>
      </c>
      <c r="AL242" s="12">
        <f t="shared" si="143"/>
        <v>40.323449763535763</v>
      </c>
      <c r="AM242" s="12">
        <f t="shared" si="143"/>
        <v>40.323449763535763</v>
      </c>
      <c r="AN242" s="12">
        <f t="shared" si="143"/>
        <v>40.323449763535763</v>
      </c>
      <c r="AO242" s="12">
        <f t="shared" si="143"/>
        <v>40.323449763535763</v>
      </c>
      <c r="AP242" s="12">
        <f t="shared" si="143"/>
        <v>40.323449763535763</v>
      </c>
      <c r="AQ242" s="12">
        <f t="shared" si="143"/>
        <v>40.323449763535763</v>
      </c>
      <c r="AR242" s="12">
        <f t="shared" si="143"/>
        <v>40.323449763535763</v>
      </c>
      <c r="AS242" s="12">
        <f t="shared" si="143"/>
        <v>40.323449763535763</v>
      </c>
      <c r="AT242" s="12">
        <f t="shared" si="143"/>
        <v>40.323449763535763</v>
      </c>
      <c r="AU242" s="12">
        <f t="shared" si="143"/>
        <v>40.323449763535763</v>
      </c>
      <c r="AV242" s="12">
        <f t="shared" si="143"/>
        <v>40.323449763535763</v>
      </c>
      <c r="AW242" s="12">
        <f t="shared" si="143"/>
        <v>40.323449763535763</v>
      </c>
      <c r="AX242" s="12">
        <f t="shared" si="143"/>
        <v>40.323449763535763</v>
      </c>
      <c r="AY242" s="12">
        <f t="shared" si="143"/>
        <v>40.323449763535763</v>
      </c>
      <c r="AZ242" s="12">
        <f t="shared" si="143"/>
        <v>40.323449763535763</v>
      </c>
      <c r="BA242" s="12">
        <f t="shared" si="143"/>
        <v>40.323449763535763</v>
      </c>
      <c r="BB242" s="12">
        <f t="shared" si="143"/>
        <v>40.323449763535763</v>
      </c>
      <c r="BC242" s="12">
        <f t="shared" si="143"/>
        <v>40.323449763535763</v>
      </c>
      <c r="BD242" s="12">
        <f t="shared" si="143"/>
        <v>40.323449763535763</v>
      </c>
      <c r="BE242" s="12">
        <f t="shared" si="143"/>
        <v>40.323449763535763</v>
      </c>
      <c r="BF242" s="12">
        <f t="shared" si="143"/>
        <v>40.323449763535763</v>
      </c>
      <c r="BG242" s="12">
        <f t="shared" si="143"/>
        <v>40.323449763535763</v>
      </c>
      <c r="BH242" s="12">
        <f t="shared" si="143"/>
        <v>40.323449763535763</v>
      </c>
      <c r="BI242" s="12">
        <f t="shared" si="143"/>
        <v>40.323449763535763</v>
      </c>
      <c r="BJ242" s="12">
        <f t="shared" si="143"/>
        <v>40.323449763535763</v>
      </c>
      <c r="BK242" s="12">
        <f t="shared" si="143"/>
        <v>40.323449763535763</v>
      </c>
    </row>
    <row r="243" spans="1:63">
      <c r="A243" s="12" t="s">
        <v>278</v>
      </c>
      <c r="C243" s="12">
        <f>D200</f>
        <v>31.056772422208663</v>
      </c>
      <c r="D243" s="12">
        <f t="shared" si="142"/>
        <v>31.827558133495021</v>
      </c>
      <c r="E243" s="12">
        <f>D243*(1+E$225/100)</f>
        <v>32.463926666897542</v>
      </c>
      <c r="F243" s="12">
        <f t="shared" si="140"/>
        <v>32.807318443602952</v>
      </c>
      <c r="G243" s="12">
        <f t="shared" si="140"/>
        <v>32.96782391544054</v>
      </c>
      <c r="H243" s="12">
        <f t="shared" si="140"/>
        <v>33.519450890403618</v>
      </c>
      <c r="I243" s="12">
        <f t="shared" si="140"/>
        <v>34.078656646180711</v>
      </c>
      <c r="J243" s="12">
        <f t="shared" si="140"/>
        <v>34.714078114558959</v>
      </c>
      <c r="K243" s="12">
        <f t="shared" si="140"/>
        <v>35.360712902967414</v>
      </c>
      <c r="L243" s="12">
        <f t="shared" si="140"/>
        <v>35.949769364849281</v>
      </c>
      <c r="M243" s="12">
        <f t="shared" si="140"/>
        <v>36.477924644450397</v>
      </c>
      <c r="N243" s="12">
        <f t="shared" si="140"/>
        <v>36.94215667614678</v>
      </c>
      <c r="O243" s="12">
        <f t="shared" si="140"/>
        <v>37.339772843893954</v>
      </c>
      <c r="P243" s="12">
        <f t="shared" ref="P243:BK243" si="144">O243*(1+P$225/100)</f>
        <v>37.74166863771277</v>
      </c>
      <c r="Q243" s="12">
        <f t="shared" si="144"/>
        <v>38.147890120114766</v>
      </c>
      <c r="R243" s="12">
        <f t="shared" si="144"/>
        <v>38.558483849391926</v>
      </c>
      <c r="S243" s="12">
        <f t="shared" si="144"/>
        <v>38.973496884952894</v>
      </c>
      <c r="T243" s="12">
        <f t="shared" si="144"/>
        <v>39.392976792716574</v>
      </c>
      <c r="U243" s="12">
        <f t="shared" si="144"/>
        <v>39.816971650563815</v>
      </c>
      <c r="V243" s="12">
        <f t="shared" si="144"/>
        <v>40.323449763535763</v>
      </c>
      <c r="W243" s="12">
        <f t="shared" si="144"/>
        <v>40.323449763535763</v>
      </c>
      <c r="X243" s="12">
        <f t="shared" si="144"/>
        <v>40.323449763535763</v>
      </c>
      <c r="Y243" s="12">
        <f t="shared" si="144"/>
        <v>40.323449763535763</v>
      </c>
      <c r="Z243" s="12">
        <f t="shared" si="144"/>
        <v>40.323449763535763</v>
      </c>
      <c r="AA243" s="12">
        <f t="shared" si="144"/>
        <v>40.323449763535763</v>
      </c>
      <c r="AB243" s="12">
        <f t="shared" si="144"/>
        <v>40.323449763535763</v>
      </c>
      <c r="AC243" s="12">
        <f t="shared" si="144"/>
        <v>40.323449763535763</v>
      </c>
      <c r="AD243" s="12">
        <f t="shared" si="144"/>
        <v>40.323449763535763</v>
      </c>
      <c r="AE243" s="12">
        <f t="shared" si="144"/>
        <v>40.323449763535763</v>
      </c>
      <c r="AF243" s="12">
        <f t="shared" si="144"/>
        <v>40.323449763535763</v>
      </c>
      <c r="AG243" s="12">
        <f t="shared" si="144"/>
        <v>40.323449763535763</v>
      </c>
      <c r="AH243" s="12">
        <f t="shared" si="144"/>
        <v>40.323449763535763</v>
      </c>
      <c r="AI243" s="12">
        <f t="shared" si="144"/>
        <v>40.323449763535763</v>
      </c>
      <c r="AJ243" s="12">
        <f t="shared" si="144"/>
        <v>40.323449763535763</v>
      </c>
      <c r="AK243" s="12">
        <f t="shared" si="144"/>
        <v>40.323449763535763</v>
      </c>
      <c r="AL243" s="12">
        <f t="shared" si="144"/>
        <v>40.323449763535763</v>
      </c>
      <c r="AM243" s="12">
        <f t="shared" si="144"/>
        <v>40.323449763535763</v>
      </c>
      <c r="AN243" s="12">
        <f t="shared" si="144"/>
        <v>40.323449763535763</v>
      </c>
      <c r="AO243" s="12">
        <f t="shared" si="144"/>
        <v>40.323449763535763</v>
      </c>
      <c r="AP243" s="12">
        <f t="shared" si="144"/>
        <v>40.323449763535763</v>
      </c>
      <c r="AQ243" s="12">
        <f t="shared" si="144"/>
        <v>40.323449763535763</v>
      </c>
      <c r="AR243" s="12">
        <f t="shared" si="144"/>
        <v>40.323449763535763</v>
      </c>
      <c r="AS243" s="12">
        <f t="shared" si="144"/>
        <v>40.323449763535763</v>
      </c>
      <c r="AT243" s="12">
        <f t="shared" si="144"/>
        <v>40.323449763535763</v>
      </c>
      <c r="AU243" s="12">
        <f t="shared" si="144"/>
        <v>40.323449763535763</v>
      </c>
      <c r="AV243" s="12">
        <f t="shared" si="144"/>
        <v>40.323449763535763</v>
      </c>
      <c r="AW243" s="12">
        <f t="shared" si="144"/>
        <v>40.323449763535763</v>
      </c>
      <c r="AX243" s="12">
        <f t="shared" si="144"/>
        <v>40.323449763535763</v>
      </c>
      <c r="AY243" s="12">
        <f t="shared" si="144"/>
        <v>40.323449763535763</v>
      </c>
      <c r="AZ243" s="12">
        <f t="shared" si="144"/>
        <v>40.323449763535763</v>
      </c>
      <c r="BA243" s="12">
        <f t="shared" si="144"/>
        <v>40.323449763535763</v>
      </c>
      <c r="BB243" s="12">
        <f t="shared" si="144"/>
        <v>40.323449763535763</v>
      </c>
      <c r="BC243" s="12">
        <f t="shared" si="144"/>
        <v>40.323449763535763</v>
      </c>
      <c r="BD243" s="12">
        <f t="shared" si="144"/>
        <v>40.323449763535763</v>
      </c>
      <c r="BE243" s="12">
        <f t="shared" si="144"/>
        <v>40.323449763535763</v>
      </c>
      <c r="BF243" s="12">
        <f t="shared" si="144"/>
        <v>40.323449763535763</v>
      </c>
      <c r="BG243" s="12">
        <f t="shared" si="144"/>
        <v>40.323449763535763</v>
      </c>
      <c r="BH243" s="12">
        <f t="shared" si="144"/>
        <v>40.323449763535763</v>
      </c>
      <c r="BI243" s="12">
        <f t="shared" si="144"/>
        <v>40.323449763535763</v>
      </c>
      <c r="BJ243" s="12">
        <f t="shared" si="144"/>
        <v>40.323449763535763</v>
      </c>
      <c r="BK243" s="12">
        <f t="shared" si="144"/>
        <v>40.323449763535763</v>
      </c>
    </row>
    <row r="244" spans="1:63">
      <c r="A244" s="12" t="s">
        <v>279</v>
      </c>
      <c r="C244" s="12">
        <f>D201</f>
        <v>29.268898718730942</v>
      </c>
      <c r="D244" s="12">
        <f t="shared" si="142"/>
        <v>29.995311902006634</v>
      </c>
      <c r="E244" s="12">
        <f t="shared" si="140"/>
        <v>30.595046024365935</v>
      </c>
      <c r="F244" s="12">
        <f>E244*(1+F$225/100)</f>
        <v>30.918669451700854</v>
      </c>
      <c r="G244" s="12">
        <f t="shared" si="140"/>
        <v>31.069934957824639</v>
      </c>
      <c r="H244" s="12">
        <f t="shared" si="140"/>
        <v>31.589805916764618</v>
      </c>
      <c r="I244" s="12">
        <f t="shared" si="140"/>
        <v>32.11681936189219</v>
      </c>
      <c r="J244" s="12">
        <f t="shared" si="140"/>
        <v>32.715660939788116</v>
      </c>
      <c r="K244" s="12">
        <f t="shared" si="140"/>
        <v>33.325070310235155</v>
      </c>
      <c r="L244" s="12">
        <f t="shared" si="140"/>
        <v>33.880216018489925</v>
      </c>
      <c r="M244" s="12">
        <f t="shared" si="140"/>
        <v>34.377966498683215</v>
      </c>
      <c r="N244" s="12">
        <f t="shared" si="140"/>
        <v>34.815473659214668</v>
      </c>
      <c r="O244" s="12">
        <f t="shared" si="140"/>
        <v>35.190199892337326</v>
      </c>
      <c r="P244" s="12">
        <f t="shared" ref="P244:BK244" si="145">O244*(1+P$225/100)</f>
        <v>35.568959382372263</v>
      </c>
      <c r="Q244" s="12">
        <f t="shared" si="145"/>
        <v>35.951795540108165</v>
      </c>
      <c r="R244" s="12">
        <f t="shared" si="145"/>
        <v>36.338752243573126</v>
      </c>
      <c r="S244" s="12">
        <f t="shared" si="145"/>
        <v>36.729873843063636</v>
      </c>
      <c r="T244" s="12">
        <f t="shared" si="145"/>
        <v>37.125205166227722</v>
      </c>
      <c r="U244" s="12">
        <f t="shared" si="145"/>
        <v>37.524791523202772</v>
      </c>
      <c r="V244" s="12">
        <f t="shared" si="145"/>
        <v>38.002112746100657</v>
      </c>
      <c r="W244" s="12">
        <f t="shared" si="145"/>
        <v>38.002112746100657</v>
      </c>
      <c r="X244" s="12">
        <f t="shared" si="145"/>
        <v>38.002112746100657</v>
      </c>
      <c r="Y244" s="12">
        <f t="shared" si="145"/>
        <v>38.002112746100657</v>
      </c>
      <c r="Z244" s="12">
        <f t="shared" si="145"/>
        <v>38.002112746100657</v>
      </c>
      <c r="AA244" s="12">
        <f t="shared" si="145"/>
        <v>38.002112746100657</v>
      </c>
      <c r="AB244" s="12">
        <f t="shared" si="145"/>
        <v>38.002112746100657</v>
      </c>
      <c r="AC244" s="12">
        <f t="shared" si="145"/>
        <v>38.002112746100657</v>
      </c>
      <c r="AD244" s="12">
        <f t="shared" si="145"/>
        <v>38.002112746100657</v>
      </c>
      <c r="AE244" s="12">
        <f t="shared" si="145"/>
        <v>38.002112746100657</v>
      </c>
      <c r="AF244" s="12">
        <f t="shared" si="145"/>
        <v>38.002112746100657</v>
      </c>
      <c r="AG244" s="12">
        <f t="shared" si="145"/>
        <v>38.002112746100657</v>
      </c>
      <c r="AH244" s="12">
        <f t="shared" si="145"/>
        <v>38.002112746100657</v>
      </c>
      <c r="AI244" s="12">
        <f t="shared" si="145"/>
        <v>38.002112746100657</v>
      </c>
      <c r="AJ244" s="12">
        <f t="shared" si="145"/>
        <v>38.002112746100657</v>
      </c>
      <c r="AK244" s="12">
        <f t="shared" si="145"/>
        <v>38.002112746100657</v>
      </c>
      <c r="AL244" s="12">
        <f t="shared" si="145"/>
        <v>38.002112746100657</v>
      </c>
      <c r="AM244" s="12">
        <f t="shared" si="145"/>
        <v>38.002112746100657</v>
      </c>
      <c r="AN244" s="12">
        <f t="shared" si="145"/>
        <v>38.002112746100657</v>
      </c>
      <c r="AO244" s="12">
        <f t="shared" si="145"/>
        <v>38.002112746100657</v>
      </c>
      <c r="AP244" s="12">
        <f t="shared" si="145"/>
        <v>38.002112746100657</v>
      </c>
      <c r="AQ244" s="12">
        <f t="shared" si="145"/>
        <v>38.002112746100657</v>
      </c>
      <c r="AR244" s="12">
        <f t="shared" si="145"/>
        <v>38.002112746100657</v>
      </c>
      <c r="AS244" s="12">
        <f t="shared" si="145"/>
        <v>38.002112746100657</v>
      </c>
      <c r="AT244" s="12">
        <f t="shared" si="145"/>
        <v>38.002112746100657</v>
      </c>
      <c r="AU244" s="12">
        <f t="shared" si="145"/>
        <v>38.002112746100657</v>
      </c>
      <c r="AV244" s="12">
        <f t="shared" si="145"/>
        <v>38.002112746100657</v>
      </c>
      <c r="AW244" s="12">
        <f t="shared" si="145"/>
        <v>38.002112746100657</v>
      </c>
      <c r="AX244" s="12">
        <f t="shared" si="145"/>
        <v>38.002112746100657</v>
      </c>
      <c r="AY244" s="12">
        <f t="shared" si="145"/>
        <v>38.002112746100657</v>
      </c>
      <c r="AZ244" s="12">
        <f t="shared" si="145"/>
        <v>38.002112746100657</v>
      </c>
      <c r="BA244" s="12">
        <f t="shared" si="145"/>
        <v>38.002112746100657</v>
      </c>
      <c r="BB244" s="12">
        <f t="shared" si="145"/>
        <v>38.002112746100657</v>
      </c>
      <c r="BC244" s="12">
        <f t="shared" si="145"/>
        <v>38.002112746100657</v>
      </c>
      <c r="BD244" s="12">
        <f t="shared" si="145"/>
        <v>38.002112746100657</v>
      </c>
      <c r="BE244" s="12">
        <f t="shared" si="145"/>
        <v>38.002112746100657</v>
      </c>
      <c r="BF244" s="12">
        <f t="shared" si="145"/>
        <v>38.002112746100657</v>
      </c>
      <c r="BG244" s="12">
        <f t="shared" si="145"/>
        <v>38.002112746100657</v>
      </c>
      <c r="BH244" s="12">
        <f t="shared" si="145"/>
        <v>38.002112746100657</v>
      </c>
      <c r="BI244" s="12">
        <f t="shared" si="145"/>
        <v>38.002112746100657</v>
      </c>
      <c r="BJ244" s="12">
        <f t="shared" si="145"/>
        <v>38.002112746100657</v>
      </c>
      <c r="BK244" s="12">
        <f t="shared" si="145"/>
        <v>38.002112746100657</v>
      </c>
    </row>
    <row r="245" spans="1:63" s="12" customFormat="1">
      <c r="A245" s="12" t="s">
        <v>280</v>
      </c>
      <c r="C245" s="12">
        <f t="shared" ref="C245:C247" si="146">D202</f>
        <v>23.194145820622332</v>
      </c>
      <c r="D245" s="12">
        <f t="shared" si="142"/>
        <v>23.769792122207861</v>
      </c>
      <c r="E245" s="12">
        <f t="shared" si="140"/>
        <v>24.245051571539395</v>
      </c>
      <c r="F245" s="12">
        <f t="shared" ref="F245:F247" si="147">E245*(1+F$225/100)</f>
        <v>24.501507034271654</v>
      </c>
      <c r="G245" s="12">
        <f t="shared" si="140"/>
        <v>24.62137742093639</v>
      </c>
      <c r="H245" s="12">
        <f t="shared" si="140"/>
        <v>25.033349287231584</v>
      </c>
      <c r="I245" s="12">
        <f t="shared" si="140"/>
        <v>25.450981218421902</v>
      </c>
      <c r="J245" s="12">
        <f t="shared" ref="J245:J247" si="148">I245*(1+J$225/100)</f>
        <v>25.92553337067903</v>
      </c>
      <c r="K245" s="12">
        <f t="shared" ref="K245:K247" si="149">J245*(1+K$225/100)</f>
        <v>26.408459972681879</v>
      </c>
      <c r="L245" s="12">
        <f t="shared" ref="L245:L247" si="150">K245*(1+L$225/100)</f>
        <v>26.848385322545269</v>
      </c>
      <c r="M245" s="12">
        <f t="shared" ref="M245:M247" si="151">L245*(1+M$225/100)</f>
        <v>27.242827810143876</v>
      </c>
      <c r="N245" s="12">
        <f t="shared" ref="N245:N247" si="152">M245*(1+N$225/100)</f>
        <v>27.589530464604834</v>
      </c>
      <c r="O245" s="12">
        <f t="shared" ref="O245:O247" si="153">N245*(1+O$225/100)</f>
        <v>27.886482358059482</v>
      </c>
      <c r="P245" s="12">
        <f t="shared" ref="P245:BK245" si="154">O245*(1+P$225/100)</f>
        <v>28.186630406923133</v>
      </c>
      <c r="Q245" s="12">
        <f t="shared" si="154"/>
        <v>28.490009012085707</v>
      </c>
      <c r="R245" s="12">
        <f t="shared" si="154"/>
        <v>28.796652944701108</v>
      </c>
      <c r="S245" s="12">
        <f t="shared" si="154"/>
        <v>29.10659735017245</v>
      </c>
      <c r="T245" s="12">
        <f t="shared" si="154"/>
        <v>29.419877752180174</v>
      </c>
      <c r="U245" s="12">
        <f t="shared" si="154"/>
        <v>29.736530056753541</v>
      </c>
      <c r="V245" s="12">
        <f t="shared" si="154"/>
        <v>30.114783374500899</v>
      </c>
      <c r="W245" s="12">
        <f t="shared" si="154"/>
        <v>30.114783374500899</v>
      </c>
      <c r="X245" s="12">
        <f t="shared" si="154"/>
        <v>30.114783374500899</v>
      </c>
      <c r="Y245" s="12">
        <f t="shared" si="154"/>
        <v>30.114783374500899</v>
      </c>
      <c r="Z245" s="12">
        <f t="shared" si="154"/>
        <v>30.114783374500899</v>
      </c>
      <c r="AA245" s="12">
        <f t="shared" si="154"/>
        <v>30.114783374500899</v>
      </c>
      <c r="AB245" s="12">
        <f t="shared" si="154"/>
        <v>30.114783374500899</v>
      </c>
      <c r="AC245" s="12">
        <f t="shared" si="154"/>
        <v>30.114783374500899</v>
      </c>
      <c r="AD245" s="12">
        <f t="shared" si="154"/>
        <v>30.114783374500899</v>
      </c>
      <c r="AE245" s="12">
        <f t="shared" si="154"/>
        <v>30.114783374500899</v>
      </c>
      <c r="AF245" s="12">
        <f t="shared" si="154"/>
        <v>30.114783374500899</v>
      </c>
      <c r="AG245" s="12">
        <f t="shared" si="154"/>
        <v>30.114783374500899</v>
      </c>
      <c r="AH245" s="12">
        <f t="shared" si="154"/>
        <v>30.114783374500899</v>
      </c>
      <c r="AI245" s="12">
        <f t="shared" si="154"/>
        <v>30.114783374500899</v>
      </c>
      <c r="AJ245" s="12">
        <f t="shared" si="154"/>
        <v>30.114783374500899</v>
      </c>
      <c r="AK245" s="12">
        <f t="shared" si="154"/>
        <v>30.114783374500899</v>
      </c>
      <c r="AL245" s="12">
        <f t="shared" si="154"/>
        <v>30.114783374500899</v>
      </c>
      <c r="AM245" s="12">
        <f t="shared" si="154"/>
        <v>30.114783374500899</v>
      </c>
      <c r="AN245" s="12">
        <f t="shared" si="154"/>
        <v>30.114783374500899</v>
      </c>
      <c r="AO245" s="12">
        <f t="shared" si="154"/>
        <v>30.114783374500899</v>
      </c>
      <c r="AP245" s="12">
        <f t="shared" si="154"/>
        <v>30.114783374500899</v>
      </c>
      <c r="AQ245" s="12">
        <f t="shared" si="154"/>
        <v>30.114783374500899</v>
      </c>
      <c r="AR245" s="12">
        <f t="shared" si="154"/>
        <v>30.114783374500899</v>
      </c>
      <c r="AS245" s="12">
        <f t="shared" si="154"/>
        <v>30.114783374500899</v>
      </c>
      <c r="AT245" s="12">
        <f t="shared" si="154"/>
        <v>30.114783374500899</v>
      </c>
      <c r="AU245" s="12">
        <f t="shared" si="154"/>
        <v>30.114783374500899</v>
      </c>
      <c r="AV245" s="12">
        <f t="shared" si="154"/>
        <v>30.114783374500899</v>
      </c>
      <c r="AW245" s="12">
        <f t="shared" si="154"/>
        <v>30.114783374500899</v>
      </c>
      <c r="AX245" s="12">
        <f t="shared" si="154"/>
        <v>30.114783374500899</v>
      </c>
      <c r="AY245" s="12">
        <f t="shared" si="154"/>
        <v>30.114783374500899</v>
      </c>
      <c r="AZ245" s="12">
        <f t="shared" si="154"/>
        <v>30.114783374500899</v>
      </c>
      <c r="BA245" s="12">
        <f t="shared" si="154"/>
        <v>30.114783374500899</v>
      </c>
      <c r="BB245" s="12">
        <f t="shared" si="154"/>
        <v>30.114783374500899</v>
      </c>
      <c r="BC245" s="12">
        <f t="shared" si="154"/>
        <v>30.114783374500899</v>
      </c>
      <c r="BD245" s="12">
        <f t="shared" si="154"/>
        <v>30.114783374500899</v>
      </c>
      <c r="BE245" s="12">
        <f t="shared" si="154"/>
        <v>30.114783374500899</v>
      </c>
      <c r="BF245" s="12">
        <f t="shared" si="154"/>
        <v>30.114783374500899</v>
      </c>
      <c r="BG245" s="12">
        <f t="shared" si="154"/>
        <v>30.114783374500899</v>
      </c>
      <c r="BH245" s="12">
        <f t="shared" si="154"/>
        <v>30.114783374500899</v>
      </c>
      <c r="BI245" s="12">
        <f t="shared" si="154"/>
        <v>30.114783374500899</v>
      </c>
      <c r="BJ245" s="12">
        <f t="shared" si="154"/>
        <v>30.114783374500899</v>
      </c>
      <c r="BK245" s="12">
        <f t="shared" si="154"/>
        <v>30.114783374500899</v>
      </c>
    </row>
    <row r="246" spans="1:63" s="12" customFormat="1">
      <c r="A246" s="12" t="s">
        <v>281</v>
      </c>
      <c r="C246" s="12">
        <f t="shared" si="146"/>
        <v>18.871107382550331</v>
      </c>
      <c r="D246" s="12">
        <f t="shared" si="142"/>
        <v>19.339461908541537</v>
      </c>
      <c r="E246" s="12">
        <f t="shared" ref="E246:E247" si="155">D246*(1+E$225/100)</f>
        <v>19.72614017521575</v>
      </c>
      <c r="F246" s="12">
        <f t="shared" si="147"/>
        <v>19.934796213402727</v>
      </c>
      <c r="G246" s="12">
        <f t="shared" ref="G246:G247" si="156">F246*(1+G$225/100)</f>
        <v>20.032324570611156</v>
      </c>
      <c r="H246" s="12">
        <f t="shared" ref="H246:H247" si="157">G246*(1+H$225/100)</f>
        <v>20.367511103780831</v>
      </c>
      <c r="I246" s="12">
        <f t="shared" ref="I246:I247" si="158">H246*(1+I$225/100)</f>
        <v>20.707302751243315</v>
      </c>
      <c r="J246" s="12">
        <f t="shared" si="148"/>
        <v>21.093405550334211</v>
      </c>
      <c r="K246" s="12">
        <f t="shared" si="149"/>
        <v>21.486321928232595</v>
      </c>
      <c r="L246" s="12">
        <f t="shared" si="150"/>
        <v>21.84425183786508</v>
      </c>
      <c r="M246" s="12">
        <f t="shared" si="151"/>
        <v>22.165176203749482</v>
      </c>
      <c r="N246" s="12">
        <f t="shared" si="152"/>
        <v>22.447258720292549</v>
      </c>
      <c r="O246" s="12">
        <f t="shared" si="153"/>
        <v>22.688863266205676</v>
      </c>
      <c r="P246" s="12">
        <f t="shared" ref="P246:BK246" si="159">O246*(1+P$225/100)</f>
        <v>22.933068252436851</v>
      </c>
      <c r="Q246" s="12">
        <f t="shared" si="159"/>
        <v>23.179901668069732</v>
      </c>
      <c r="R246" s="12">
        <f t="shared" si="159"/>
        <v>23.429391803440343</v>
      </c>
      <c r="S246" s="12">
        <f t="shared" si="159"/>
        <v>23.681567253379523</v>
      </c>
      <c r="T246" s="12">
        <f t="shared" si="159"/>
        <v>23.936456920490258</v>
      </c>
      <c r="U246" s="12">
        <f t="shared" si="159"/>
        <v>24.194090018460308</v>
      </c>
      <c r="V246" s="12">
        <f t="shared" si="159"/>
        <v>24.501842631219588</v>
      </c>
      <c r="W246" s="12">
        <f t="shared" si="159"/>
        <v>24.501842631219588</v>
      </c>
      <c r="X246" s="12">
        <f t="shared" si="159"/>
        <v>24.501842631219588</v>
      </c>
      <c r="Y246" s="12">
        <f t="shared" si="159"/>
        <v>24.501842631219588</v>
      </c>
      <c r="Z246" s="12">
        <f t="shared" si="159"/>
        <v>24.501842631219588</v>
      </c>
      <c r="AA246" s="12">
        <f t="shared" si="159"/>
        <v>24.501842631219588</v>
      </c>
      <c r="AB246" s="12">
        <f t="shared" si="159"/>
        <v>24.501842631219588</v>
      </c>
      <c r="AC246" s="12">
        <f t="shared" si="159"/>
        <v>24.501842631219588</v>
      </c>
      <c r="AD246" s="12">
        <f t="shared" si="159"/>
        <v>24.501842631219588</v>
      </c>
      <c r="AE246" s="12">
        <f t="shared" si="159"/>
        <v>24.501842631219588</v>
      </c>
      <c r="AF246" s="12">
        <f t="shared" si="159"/>
        <v>24.501842631219588</v>
      </c>
      <c r="AG246" s="12">
        <f t="shared" si="159"/>
        <v>24.501842631219588</v>
      </c>
      <c r="AH246" s="12">
        <f t="shared" si="159"/>
        <v>24.501842631219588</v>
      </c>
      <c r="AI246" s="12">
        <f t="shared" si="159"/>
        <v>24.501842631219588</v>
      </c>
      <c r="AJ246" s="12">
        <f t="shared" si="159"/>
        <v>24.501842631219588</v>
      </c>
      <c r="AK246" s="12">
        <f t="shared" si="159"/>
        <v>24.501842631219588</v>
      </c>
      <c r="AL246" s="12">
        <f t="shared" si="159"/>
        <v>24.501842631219588</v>
      </c>
      <c r="AM246" s="12">
        <f t="shared" si="159"/>
        <v>24.501842631219588</v>
      </c>
      <c r="AN246" s="12">
        <f t="shared" si="159"/>
        <v>24.501842631219588</v>
      </c>
      <c r="AO246" s="12">
        <f t="shared" si="159"/>
        <v>24.501842631219588</v>
      </c>
      <c r="AP246" s="12">
        <f t="shared" si="159"/>
        <v>24.501842631219588</v>
      </c>
      <c r="AQ246" s="12">
        <f t="shared" si="159"/>
        <v>24.501842631219588</v>
      </c>
      <c r="AR246" s="12">
        <f t="shared" si="159"/>
        <v>24.501842631219588</v>
      </c>
      <c r="AS246" s="12">
        <f t="shared" si="159"/>
        <v>24.501842631219588</v>
      </c>
      <c r="AT246" s="12">
        <f t="shared" si="159"/>
        <v>24.501842631219588</v>
      </c>
      <c r="AU246" s="12">
        <f t="shared" si="159"/>
        <v>24.501842631219588</v>
      </c>
      <c r="AV246" s="12">
        <f t="shared" si="159"/>
        <v>24.501842631219588</v>
      </c>
      <c r="AW246" s="12">
        <f t="shared" si="159"/>
        <v>24.501842631219588</v>
      </c>
      <c r="AX246" s="12">
        <f t="shared" si="159"/>
        <v>24.501842631219588</v>
      </c>
      <c r="AY246" s="12">
        <f t="shared" si="159"/>
        <v>24.501842631219588</v>
      </c>
      <c r="AZ246" s="12">
        <f t="shared" si="159"/>
        <v>24.501842631219588</v>
      </c>
      <c r="BA246" s="12">
        <f t="shared" si="159"/>
        <v>24.501842631219588</v>
      </c>
      <c r="BB246" s="12">
        <f t="shared" si="159"/>
        <v>24.501842631219588</v>
      </c>
      <c r="BC246" s="12">
        <f t="shared" si="159"/>
        <v>24.501842631219588</v>
      </c>
      <c r="BD246" s="12">
        <f t="shared" si="159"/>
        <v>24.501842631219588</v>
      </c>
      <c r="BE246" s="12">
        <f t="shared" si="159"/>
        <v>24.501842631219588</v>
      </c>
      <c r="BF246" s="12">
        <f t="shared" si="159"/>
        <v>24.501842631219588</v>
      </c>
      <c r="BG246" s="12">
        <f t="shared" si="159"/>
        <v>24.501842631219588</v>
      </c>
      <c r="BH246" s="12">
        <f t="shared" si="159"/>
        <v>24.501842631219588</v>
      </c>
      <c r="BI246" s="12">
        <f t="shared" si="159"/>
        <v>24.501842631219588</v>
      </c>
      <c r="BJ246" s="12">
        <f t="shared" si="159"/>
        <v>24.501842631219588</v>
      </c>
      <c r="BK246" s="12">
        <f t="shared" si="159"/>
        <v>24.501842631219588</v>
      </c>
    </row>
    <row r="247" spans="1:63" s="12" customFormat="1">
      <c r="A247" s="12" t="s">
        <v>282</v>
      </c>
      <c r="C247" s="12">
        <f t="shared" si="146"/>
        <v>11.285701647345942</v>
      </c>
      <c r="D247" s="12">
        <f t="shared" si="142"/>
        <v>11.565796998316625</v>
      </c>
      <c r="E247" s="12">
        <f t="shared" si="155"/>
        <v>11.797046572744527</v>
      </c>
      <c r="F247" s="12">
        <f t="shared" si="147"/>
        <v>11.9218315016922</v>
      </c>
      <c r="G247" s="12">
        <f t="shared" si="156"/>
        <v>11.980157487512614</v>
      </c>
      <c r="H247" s="12">
        <f t="shared" si="157"/>
        <v>12.180612878543828</v>
      </c>
      <c r="I247" s="12">
        <f t="shared" si="158"/>
        <v>12.383822318126992</v>
      </c>
      <c r="J247" s="12">
        <f t="shared" si="148"/>
        <v>12.614727739171558</v>
      </c>
      <c r="K247" s="12">
        <f t="shared" si="149"/>
        <v>12.849707961763972</v>
      </c>
      <c r="L247" s="12">
        <f t="shared" si="150"/>
        <v>13.063764831288703</v>
      </c>
      <c r="M247" s="12">
        <f t="shared" si="151"/>
        <v>13.25569085721361</v>
      </c>
      <c r="N247" s="12">
        <f t="shared" si="152"/>
        <v>13.424387852949074</v>
      </c>
      <c r="O247" s="12">
        <f t="shared" si="153"/>
        <v>13.56887735038786</v>
      </c>
      <c r="P247" s="12">
        <f t="shared" ref="P247:BK247" si="160">O247*(1+P$225/100)</f>
        <v>13.714922018542719</v>
      </c>
      <c r="Q247" s="12">
        <f t="shared" si="160"/>
        <v>13.862538596041709</v>
      </c>
      <c r="R247" s="12">
        <f t="shared" si="160"/>
        <v>14.01174400167425</v>
      </c>
      <c r="S247" s="12">
        <f t="shared" si="160"/>
        <v>14.162555336330234</v>
      </c>
      <c r="T247" s="12">
        <f t="shared" si="160"/>
        <v>14.31498988496001</v>
      </c>
      <c r="U247" s="12">
        <f t="shared" si="160"/>
        <v>14.469065118555468</v>
      </c>
      <c r="V247" s="12">
        <f t="shared" si="160"/>
        <v>14.653113892079169</v>
      </c>
      <c r="W247" s="12">
        <f t="shared" si="160"/>
        <v>14.653113892079169</v>
      </c>
      <c r="X247" s="12">
        <f t="shared" si="160"/>
        <v>14.653113892079169</v>
      </c>
      <c r="Y247" s="12">
        <f t="shared" si="160"/>
        <v>14.653113892079169</v>
      </c>
      <c r="Z247" s="12">
        <f t="shared" si="160"/>
        <v>14.653113892079169</v>
      </c>
      <c r="AA247" s="12">
        <f t="shared" si="160"/>
        <v>14.653113892079169</v>
      </c>
      <c r="AB247" s="12">
        <f t="shared" si="160"/>
        <v>14.653113892079169</v>
      </c>
      <c r="AC247" s="12">
        <f t="shared" si="160"/>
        <v>14.653113892079169</v>
      </c>
      <c r="AD247" s="12">
        <f t="shared" si="160"/>
        <v>14.653113892079169</v>
      </c>
      <c r="AE247" s="12">
        <f t="shared" si="160"/>
        <v>14.653113892079169</v>
      </c>
      <c r="AF247" s="12">
        <f t="shared" si="160"/>
        <v>14.653113892079169</v>
      </c>
      <c r="AG247" s="12">
        <f t="shared" si="160"/>
        <v>14.653113892079169</v>
      </c>
      <c r="AH247" s="12">
        <f t="shared" si="160"/>
        <v>14.653113892079169</v>
      </c>
      <c r="AI247" s="12">
        <f t="shared" si="160"/>
        <v>14.653113892079169</v>
      </c>
      <c r="AJ247" s="12">
        <f t="shared" si="160"/>
        <v>14.653113892079169</v>
      </c>
      <c r="AK247" s="12">
        <f t="shared" si="160"/>
        <v>14.653113892079169</v>
      </c>
      <c r="AL247" s="12">
        <f t="shared" si="160"/>
        <v>14.653113892079169</v>
      </c>
      <c r="AM247" s="12">
        <f t="shared" si="160"/>
        <v>14.653113892079169</v>
      </c>
      <c r="AN247" s="12">
        <f t="shared" si="160"/>
        <v>14.653113892079169</v>
      </c>
      <c r="AO247" s="12">
        <f t="shared" si="160"/>
        <v>14.653113892079169</v>
      </c>
      <c r="AP247" s="12">
        <f t="shared" si="160"/>
        <v>14.653113892079169</v>
      </c>
      <c r="AQ247" s="12">
        <f t="shared" si="160"/>
        <v>14.653113892079169</v>
      </c>
      <c r="AR247" s="12">
        <f t="shared" si="160"/>
        <v>14.653113892079169</v>
      </c>
      <c r="AS247" s="12">
        <f t="shared" si="160"/>
        <v>14.653113892079169</v>
      </c>
      <c r="AT247" s="12">
        <f t="shared" si="160"/>
        <v>14.653113892079169</v>
      </c>
      <c r="AU247" s="12">
        <f t="shared" si="160"/>
        <v>14.653113892079169</v>
      </c>
      <c r="AV247" s="12">
        <f t="shared" si="160"/>
        <v>14.653113892079169</v>
      </c>
      <c r="AW247" s="12">
        <f t="shared" si="160"/>
        <v>14.653113892079169</v>
      </c>
      <c r="AX247" s="12">
        <f t="shared" si="160"/>
        <v>14.653113892079169</v>
      </c>
      <c r="AY247" s="12">
        <f t="shared" si="160"/>
        <v>14.653113892079169</v>
      </c>
      <c r="AZ247" s="12">
        <f t="shared" si="160"/>
        <v>14.653113892079169</v>
      </c>
      <c r="BA247" s="12">
        <f t="shared" si="160"/>
        <v>14.653113892079169</v>
      </c>
      <c r="BB247" s="12">
        <f t="shared" si="160"/>
        <v>14.653113892079169</v>
      </c>
      <c r="BC247" s="12">
        <f t="shared" si="160"/>
        <v>14.653113892079169</v>
      </c>
      <c r="BD247" s="12">
        <f t="shared" si="160"/>
        <v>14.653113892079169</v>
      </c>
      <c r="BE247" s="12">
        <f t="shared" si="160"/>
        <v>14.653113892079169</v>
      </c>
      <c r="BF247" s="12">
        <f t="shared" si="160"/>
        <v>14.653113892079169</v>
      </c>
      <c r="BG247" s="12">
        <f t="shared" si="160"/>
        <v>14.653113892079169</v>
      </c>
      <c r="BH247" s="12">
        <f t="shared" si="160"/>
        <v>14.653113892079169</v>
      </c>
      <c r="BI247" s="12">
        <f t="shared" si="160"/>
        <v>14.653113892079169</v>
      </c>
      <c r="BJ247" s="12">
        <f t="shared" si="160"/>
        <v>14.653113892079169</v>
      </c>
      <c r="BK247" s="12">
        <f t="shared" si="160"/>
        <v>14.653113892079169</v>
      </c>
    </row>
    <row r="248" spans="1:63">
      <c r="A248" s="12" t="s">
        <v>10</v>
      </c>
      <c r="C248" s="12">
        <f>D205</f>
        <v>9.6946949359365444</v>
      </c>
      <c r="D248" s="12">
        <f t="shared" si="142"/>
        <v>9.9353037226550409</v>
      </c>
      <c r="E248" s="12">
        <f t="shared" si="140"/>
        <v>10.133952787480434</v>
      </c>
      <c r="F248" s="12">
        <f t="shared" si="140"/>
        <v>10.241146106651218</v>
      </c>
      <c r="G248" s="12">
        <f t="shared" si="140"/>
        <v>10.291249561184738</v>
      </c>
      <c r="H248" s="12">
        <f t="shared" si="140"/>
        <v>10.463445666047081</v>
      </c>
      <c r="I248" s="12">
        <f t="shared" si="140"/>
        <v>10.638007566265726</v>
      </c>
      <c r="J248" s="12">
        <f t="shared" si="140"/>
        <v>10.836360994881083</v>
      </c>
      <c r="K248" s="12">
        <f t="shared" si="140"/>
        <v>11.038214778119066</v>
      </c>
      <c r="L248" s="12">
        <f t="shared" si="140"/>
        <v>11.22209488711272</v>
      </c>
      <c r="M248" s="12">
        <f t="shared" si="140"/>
        <v>11.386964057834257</v>
      </c>
      <c r="N248" s="12">
        <f t="shared" si="140"/>
        <v>11.531878921027449</v>
      </c>
      <c r="O248" s="12">
        <f t="shared" si="140"/>
        <v>11.655998948553183</v>
      </c>
      <c r="P248" s="12">
        <f t="shared" ref="P248:BK248" si="161">O248*(1+P$225/100)</f>
        <v>11.781454905925084</v>
      </c>
      <c r="Q248" s="12">
        <f t="shared" si="161"/>
        <v>11.908261172035823</v>
      </c>
      <c r="R248" s="12">
        <f t="shared" si="161"/>
        <v>12.036432280541101</v>
      </c>
      <c r="S248" s="12">
        <f t="shared" si="161"/>
        <v>12.165982921525398</v>
      </c>
      <c r="T248" s="12">
        <f t="shared" si="161"/>
        <v>12.296927943185651</v>
      </c>
      <c r="U248" s="12">
        <f t="shared" si="161"/>
        <v>12.429282353533049</v>
      </c>
      <c r="V248" s="12">
        <f t="shared" si="161"/>
        <v>12.587384770945897</v>
      </c>
      <c r="W248" s="12">
        <f t="shared" si="161"/>
        <v>12.587384770945897</v>
      </c>
      <c r="X248" s="12">
        <f t="shared" si="161"/>
        <v>12.587384770945897</v>
      </c>
      <c r="Y248" s="12">
        <f t="shared" si="161"/>
        <v>12.587384770945897</v>
      </c>
      <c r="Z248" s="12">
        <f t="shared" si="161"/>
        <v>12.587384770945897</v>
      </c>
      <c r="AA248" s="12">
        <f t="shared" si="161"/>
        <v>12.587384770945897</v>
      </c>
      <c r="AB248" s="12">
        <f t="shared" si="161"/>
        <v>12.587384770945897</v>
      </c>
      <c r="AC248" s="12">
        <f t="shared" si="161"/>
        <v>12.587384770945897</v>
      </c>
      <c r="AD248" s="12">
        <f t="shared" si="161"/>
        <v>12.587384770945897</v>
      </c>
      <c r="AE248" s="12">
        <f t="shared" si="161"/>
        <v>12.587384770945897</v>
      </c>
      <c r="AF248" s="12">
        <f t="shared" si="161"/>
        <v>12.587384770945897</v>
      </c>
      <c r="AG248" s="12">
        <f t="shared" si="161"/>
        <v>12.587384770945897</v>
      </c>
      <c r="AH248" s="12">
        <f t="shared" si="161"/>
        <v>12.587384770945897</v>
      </c>
      <c r="AI248" s="12">
        <f t="shared" si="161"/>
        <v>12.587384770945897</v>
      </c>
      <c r="AJ248" s="12">
        <f t="shared" si="161"/>
        <v>12.587384770945897</v>
      </c>
      <c r="AK248" s="12">
        <f t="shared" si="161"/>
        <v>12.587384770945897</v>
      </c>
      <c r="AL248" s="12">
        <f t="shared" si="161"/>
        <v>12.587384770945897</v>
      </c>
      <c r="AM248" s="12">
        <f t="shared" si="161"/>
        <v>12.587384770945897</v>
      </c>
      <c r="AN248" s="12">
        <f t="shared" si="161"/>
        <v>12.587384770945897</v>
      </c>
      <c r="AO248" s="12">
        <f t="shared" si="161"/>
        <v>12.587384770945897</v>
      </c>
      <c r="AP248" s="12">
        <f t="shared" si="161"/>
        <v>12.587384770945897</v>
      </c>
      <c r="AQ248" s="12">
        <f t="shared" si="161"/>
        <v>12.587384770945897</v>
      </c>
      <c r="AR248" s="12">
        <f t="shared" si="161"/>
        <v>12.587384770945897</v>
      </c>
      <c r="AS248" s="12">
        <f t="shared" si="161"/>
        <v>12.587384770945897</v>
      </c>
      <c r="AT248" s="12">
        <f t="shared" si="161"/>
        <v>12.587384770945897</v>
      </c>
      <c r="AU248" s="12">
        <f t="shared" si="161"/>
        <v>12.587384770945897</v>
      </c>
      <c r="AV248" s="12">
        <f t="shared" si="161"/>
        <v>12.587384770945897</v>
      </c>
      <c r="AW248" s="12">
        <f t="shared" si="161"/>
        <v>12.587384770945897</v>
      </c>
      <c r="AX248" s="12">
        <f t="shared" si="161"/>
        <v>12.587384770945897</v>
      </c>
      <c r="AY248" s="12">
        <f t="shared" si="161"/>
        <v>12.587384770945897</v>
      </c>
      <c r="AZ248" s="12">
        <f t="shared" si="161"/>
        <v>12.587384770945897</v>
      </c>
      <c r="BA248" s="12">
        <f t="shared" si="161"/>
        <v>12.587384770945897</v>
      </c>
      <c r="BB248" s="12">
        <f t="shared" si="161"/>
        <v>12.587384770945897</v>
      </c>
      <c r="BC248" s="12">
        <f t="shared" si="161"/>
        <v>12.587384770945897</v>
      </c>
      <c r="BD248" s="12">
        <f t="shared" si="161"/>
        <v>12.587384770945897</v>
      </c>
      <c r="BE248" s="12">
        <f t="shared" si="161"/>
        <v>12.587384770945897</v>
      </c>
      <c r="BF248" s="12">
        <f t="shared" si="161"/>
        <v>12.587384770945897</v>
      </c>
      <c r="BG248" s="12">
        <f t="shared" si="161"/>
        <v>12.587384770945897</v>
      </c>
      <c r="BH248" s="12">
        <f t="shared" si="161"/>
        <v>12.587384770945897</v>
      </c>
      <c r="BI248" s="12">
        <f t="shared" si="161"/>
        <v>12.587384770945897</v>
      </c>
      <c r="BJ248" s="12">
        <f t="shared" si="161"/>
        <v>12.587384770945897</v>
      </c>
      <c r="BK248" s="12">
        <f t="shared" si="161"/>
        <v>12.587384770945897</v>
      </c>
    </row>
    <row r="249" spans="1:63">
      <c r="A249" s="12"/>
      <c r="C249" s="12"/>
      <c r="Q249"/>
    </row>
    <row r="250" spans="1:63">
      <c r="A250" s="12"/>
      <c r="C250" s="12"/>
      <c r="Q250"/>
    </row>
    <row r="251" spans="1:63">
      <c r="A251" s="2"/>
      <c r="C251" s="12"/>
      <c r="Q251"/>
    </row>
    <row r="252" spans="1:63">
      <c r="A252" s="2"/>
      <c r="C252" s="12"/>
      <c r="Q252"/>
    </row>
    <row r="253" spans="1:63">
      <c r="A253" s="12" t="s">
        <v>119</v>
      </c>
      <c r="C253" s="12">
        <f>D211</f>
        <v>2010</v>
      </c>
      <c r="D253">
        <f>D223</f>
        <v>2011</v>
      </c>
      <c r="E253" s="12">
        <f t="shared" ref="E253:P253" si="162">E223</f>
        <v>2012</v>
      </c>
      <c r="F253" s="12">
        <f t="shared" si="162"/>
        <v>2013</v>
      </c>
      <c r="G253" s="12">
        <f t="shared" si="162"/>
        <v>2014</v>
      </c>
      <c r="H253" s="12">
        <f t="shared" si="162"/>
        <v>2015</v>
      </c>
      <c r="I253" s="12">
        <f t="shared" si="162"/>
        <v>2016</v>
      </c>
      <c r="J253" s="12">
        <f t="shared" si="162"/>
        <v>2017</v>
      </c>
      <c r="K253" s="12">
        <f t="shared" si="162"/>
        <v>2018</v>
      </c>
      <c r="L253" s="12">
        <f t="shared" si="162"/>
        <v>2019</v>
      </c>
      <c r="M253" s="12">
        <f t="shared" si="162"/>
        <v>2020</v>
      </c>
      <c r="N253" s="12">
        <f t="shared" si="162"/>
        <v>2021</v>
      </c>
      <c r="O253" s="12">
        <f t="shared" si="162"/>
        <v>2022</v>
      </c>
      <c r="P253" s="12">
        <f t="shared" si="162"/>
        <v>2023</v>
      </c>
      <c r="Q253" s="12">
        <f t="shared" ref="Q253:BK253" si="163">Q223</f>
        <v>2024</v>
      </c>
      <c r="R253" s="12">
        <f t="shared" si="163"/>
        <v>2025</v>
      </c>
      <c r="S253" s="12">
        <f t="shared" si="163"/>
        <v>2026</v>
      </c>
      <c r="T253" s="12">
        <f t="shared" si="163"/>
        <v>2027</v>
      </c>
      <c r="U253" s="12">
        <f t="shared" si="163"/>
        <v>2028</v>
      </c>
      <c r="V253" s="12">
        <f t="shared" si="163"/>
        <v>2029</v>
      </c>
      <c r="W253" s="12">
        <f t="shared" si="163"/>
        <v>2030</v>
      </c>
      <c r="X253" s="12">
        <f t="shared" si="163"/>
        <v>2031</v>
      </c>
      <c r="Y253" s="12">
        <f t="shared" si="163"/>
        <v>2032</v>
      </c>
      <c r="Z253" s="12">
        <f t="shared" si="163"/>
        <v>2033</v>
      </c>
      <c r="AA253" s="12">
        <f t="shared" si="163"/>
        <v>2034</v>
      </c>
      <c r="AB253" s="12">
        <f t="shared" si="163"/>
        <v>2035</v>
      </c>
      <c r="AC253" s="12">
        <f t="shared" si="163"/>
        <v>2036</v>
      </c>
      <c r="AD253" s="12">
        <f t="shared" si="163"/>
        <v>2037</v>
      </c>
      <c r="AE253" s="12">
        <f t="shared" si="163"/>
        <v>2038</v>
      </c>
      <c r="AF253" s="12">
        <f t="shared" si="163"/>
        <v>2039</v>
      </c>
      <c r="AG253" s="12">
        <f t="shared" si="163"/>
        <v>2040</v>
      </c>
      <c r="AH253" s="12">
        <f t="shared" si="163"/>
        <v>2041</v>
      </c>
      <c r="AI253" s="12">
        <f t="shared" si="163"/>
        <v>2042</v>
      </c>
      <c r="AJ253" s="12">
        <f t="shared" si="163"/>
        <v>2043</v>
      </c>
      <c r="AK253" s="12">
        <f t="shared" si="163"/>
        <v>2044</v>
      </c>
      <c r="AL253" s="12">
        <f t="shared" si="163"/>
        <v>2045</v>
      </c>
      <c r="AM253" s="12">
        <f t="shared" si="163"/>
        <v>2046</v>
      </c>
      <c r="AN253" s="12">
        <f t="shared" si="163"/>
        <v>2047</v>
      </c>
      <c r="AO253" s="12">
        <f t="shared" si="163"/>
        <v>2048</v>
      </c>
      <c r="AP253" s="12">
        <f t="shared" si="163"/>
        <v>2049</v>
      </c>
      <c r="AQ253" s="12">
        <f t="shared" si="163"/>
        <v>2050</v>
      </c>
      <c r="AR253" s="12">
        <f t="shared" si="163"/>
        <v>2051</v>
      </c>
      <c r="AS253" s="12">
        <f t="shared" si="163"/>
        <v>2052</v>
      </c>
      <c r="AT253" s="12">
        <f t="shared" si="163"/>
        <v>2053</v>
      </c>
      <c r="AU253" s="12">
        <f t="shared" si="163"/>
        <v>2054</v>
      </c>
      <c r="AV253" s="12">
        <f t="shared" si="163"/>
        <v>2055</v>
      </c>
      <c r="AW253" s="12">
        <f t="shared" si="163"/>
        <v>2056</v>
      </c>
      <c r="AX253" s="12">
        <f t="shared" si="163"/>
        <v>2057</v>
      </c>
      <c r="AY253" s="12">
        <f t="shared" si="163"/>
        <v>2058</v>
      </c>
      <c r="AZ253" s="12">
        <f t="shared" si="163"/>
        <v>2059</v>
      </c>
      <c r="BA253" s="12">
        <f t="shared" si="163"/>
        <v>2060</v>
      </c>
      <c r="BB253" s="12">
        <f t="shared" si="163"/>
        <v>2061</v>
      </c>
      <c r="BC253" s="12">
        <f t="shared" si="163"/>
        <v>2062</v>
      </c>
      <c r="BD253" s="12">
        <f t="shared" si="163"/>
        <v>2063</v>
      </c>
      <c r="BE253" s="12">
        <f t="shared" si="163"/>
        <v>2064</v>
      </c>
      <c r="BF253" s="12">
        <f t="shared" si="163"/>
        <v>2065</v>
      </c>
      <c r="BG253" s="12">
        <f t="shared" si="163"/>
        <v>2066</v>
      </c>
      <c r="BH253" s="12">
        <f t="shared" si="163"/>
        <v>2067</v>
      </c>
      <c r="BI253" s="12">
        <f t="shared" si="163"/>
        <v>2068</v>
      </c>
      <c r="BJ253" s="12">
        <f t="shared" si="163"/>
        <v>2069</v>
      </c>
      <c r="BK253" s="12">
        <f t="shared" si="163"/>
        <v>2070</v>
      </c>
    </row>
    <row r="254" spans="1:63">
      <c r="A254" s="12" t="s">
        <v>276</v>
      </c>
      <c r="C254" s="12">
        <f>D212</f>
        <v>24.947866706879712</v>
      </c>
      <c r="D254" s="12">
        <f>C254*(1+D$225/100)</f>
        <v>25.567037911257298</v>
      </c>
      <c r="E254" s="12">
        <f>D254*(1+E$225/100)</f>
        <v>26.07823196361883</v>
      </c>
      <c r="F254" s="12">
        <f t="shared" ref="F254:O254" si="164">E254*(1+F$225/100)</f>
        <v>26.354078151272223</v>
      </c>
      <c r="G254" s="12">
        <f t="shared" si="164"/>
        <v>26.483011997413477</v>
      </c>
      <c r="H254" s="12">
        <f t="shared" si="164"/>
        <v>26.926133261149726</v>
      </c>
      <c r="I254" s="12">
        <f t="shared" si="164"/>
        <v>27.375342550099226</v>
      </c>
      <c r="J254" s="12">
        <f t="shared" si="164"/>
        <v>27.885775826303234</v>
      </c>
      <c r="K254" s="12">
        <f t="shared" si="164"/>
        <v>28.405216748557908</v>
      </c>
      <c r="L254" s="12">
        <f t="shared" si="164"/>
        <v>28.878405072639715</v>
      </c>
      <c r="M254" s="12">
        <f t="shared" si="164"/>
        <v>29.302671552649112</v>
      </c>
      <c r="N254" s="12">
        <f t="shared" si="164"/>
        <v>29.67558856702448</v>
      </c>
      <c r="O254" s="12">
        <f t="shared" si="164"/>
        <v>29.994993140642158</v>
      </c>
      <c r="P254" s="12">
        <f t="shared" ref="P254:BK254" si="165">O254*(1+P$225/100)</f>
        <v>30.317835532566875</v>
      </c>
      <c r="Q254" s="12">
        <f t="shared" si="165"/>
        <v>30.644152744756926</v>
      </c>
      <c r="R254" s="12">
        <f t="shared" si="165"/>
        <v>30.973982177430432</v>
      </c>
      <c r="S254" s="12">
        <f t="shared" si="165"/>
        <v>31.307361633351892</v>
      </c>
      <c r="T254" s="12">
        <f t="shared" si="165"/>
        <v>31.644329322164875</v>
      </c>
      <c r="U254" s="12">
        <f t="shared" si="165"/>
        <v>31.984923864771343</v>
      </c>
      <c r="V254" s="12">
        <f t="shared" si="165"/>
        <v>32.391777103755715</v>
      </c>
      <c r="W254" s="12">
        <f t="shared" si="165"/>
        <v>32.391777103755715</v>
      </c>
      <c r="X254" s="12">
        <f t="shared" si="165"/>
        <v>32.391777103755715</v>
      </c>
      <c r="Y254" s="12">
        <f t="shared" si="165"/>
        <v>32.391777103755715</v>
      </c>
      <c r="Z254" s="12">
        <f t="shared" si="165"/>
        <v>32.391777103755715</v>
      </c>
      <c r="AA254" s="12">
        <f t="shared" si="165"/>
        <v>32.391777103755715</v>
      </c>
      <c r="AB254" s="12">
        <f t="shared" si="165"/>
        <v>32.391777103755715</v>
      </c>
      <c r="AC254" s="12">
        <f t="shared" si="165"/>
        <v>32.391777103755715</v>
      </c>
      <c r="AD254" s="12">
        <f t="shared" si="165"/>
        <v>32.391777103755715</v>
      </c>
      <c r="AE254" s="12">
        <f t="shared" si="165"/>
        <v>32.391777103755715</v>
      </c>
      <c r="AF254" s="12">
        <f t="shared" si="165"/>
        <v>32.391777103755715</v>
      </c>
      <c r="AG254" s="12">
        <f t="shared" si="165"/>
        <v>32.391777103755715</v>
      </c>
      <c r="AH254" s="12">
        <f t="shared" si="165"/>
        <v>32.391777103755715</v>
      </c>
      <c r="AI254" s="12">
        <f t="shared" si="165"/>
        <v>32.391777103755715</v>
      </c>
      <c r="AJ254" s="12">
        <f t="shared" si="165"/>
        <v>32.391777103755715</v>
      </c>
      <c r="AK254" s="12">
        <f t="shared" si="165"/>
        <v>32.391777103755715</v>
      </c>
      <c r="AL254" s="12">
        <f t="shared" si="165"/>
        <v>32.391777103755715</v>
      </c>
      <c r="AM254" s="12">
        <f t="shared" si="165"/>
        <v>32.391777103755715</v>
      </c>
      <c r="AN254" s="12">
        <f t="shared" si="165"/>
        <v>32.391777103755715</v>
      </c>
      <c r="AO254" s="12">
        <f t="shared" si="165"/>
        <v>32.391777103755715</v>
      </c>
      <c r="AP254" s="12">
        <f t="shared" si="165"/>
        <v>32.391777103755715</v>
      </c>
      <c r="AQ254" s="12">
        <f t="shared" si="165"/>
        <v>32.391777103755715</v>
      </c>
      <c r="AR254" s="12">
        <f t="shared" si="165"/>
        <v>32.391777103755715</v>
      </c>
      <c r="AS254" s="12">
        <f t="shared" si="165"/>
        <v>32.391777103755715</v>
      </c>
      <c r="AT254" s="12">
        <f t="shared" si="165"/>
        <v>32.391777103755715</v>
      </c>
      <c r="AU254" s="12">
        <f t="shared" si="165"/>
        <v>32.391777103755715</v>
      </c>
      <c r="AV254" s="12">
        <f t="shared" si="165"/>
        <v>32.391777103755715</v>
      </c>
      <c r="AW254" s="12">
        <f t="shared" si="165"/>
        <v>32.391777103755715</v>
      </c>
      <c r="AX254" s="12">
        <f t="shared" si="165"/>
        <v>32.391777103755715</v>
      </c>
      <c r="AY254" s="12">
        <f t="shared" si="165"/>
        <v>32.391777103755715</v>
      </c>
      <c r="AZ254" s="12">
        <f t="shared" si="165"/>
        <v>32.391777103755715</v>
      </c>
      <c r="BA254" s="12">
        <f t="shared" si="165"/>
        <v>32.391777103755715</v>
      </c>
      <c r="BB254" s="12">
        <f t="shared" si="165"/>
        <v>32.391777103755715</v>
      </c>
      <c r="BC254" s="12">
        <f t="shared" si="165"/>
        <v>32.391777103755715</v>
      </c>
      <c r="BD254" s="12">
        <f t="shared" si="165"/>
        <v>32.391777103755715</v>
      </c>
      <c r="BE254" s="12">
        <f t="shared" si="165"/>
        <v>32.391777103755715</v>
      </c>
      <c r="BF254" s="12">
        <f t="shared" si="165"/>
        <v>32.391777103755715</v>
      </c>
      <c r="BG254" s="12">
        <f t="shared" si="165"/>
        <v>32.391777103755715</v>
      </c>
      <c r="BH254" s="12">
        <f t="shared" si="165"/>
        <v>32.391777103755715</v>
      </c>
      <c r="BI254" s="12">
        <f t="shared" si="165"/>
        <v>32.391777103755715</v>
      </c>
      <c r="BJ254" s="12">
        <f t="shared" si="165"/>
        <v>32.391777103755715</v>
      </c>
      <c r="BK254" s="12">
        <f t="shared" si="165"/>
        <v>32.391777103755715</v>
      </c>
    </row>
    <row r="255" spans="1:63">
      <c r="A255" s="12" t="s">
        <v>277</v>
      </c>
      <c r="C255" s="12">
        <f>D213</f>
        <v>24.947866706879712</v>
      </c>
      <c r="D255" s="12">
        <f t="shared" ref="D255:E261" si="166">C255*(1+D$225/100)</f>
        <v>25.567037911257298</v>
      </c>
      <c r="E255" s="12">
        <f t="shared" si="166"/>
        <v>26.07823196361883</v>
      </c>
      <c r="F255" s="12">
        <f t="shared" ref="F255:O255" si="167">E255*(1+F$225/100)</f>
        <v>26.354078151272223</v>
      </c>
      <c r="G255" s="12">
        <f t="shared" si="167"/>
        <v>26.483011997413477</v>
      </c>
      <c r="H255" s="12">
        <f t="shared" si="167"/>
        <v>26.926133261149726</v>
      </c>
      <c r="I255" s="12">
        <f t="shared" si="167"/>
        <v>27.375342550099226</v>
      </c>
      <c r="J255" s="12">
        <f t="shared" si="167"/>
        <v>27.885775826303234</v>
      </c>
      <c r="K255" s="12">
        <f t="shared" si="167"/>
        <v>28.405216748557908</v>
      </c>
      <c r="L255" s="12">
        <f t="shared" si="167"/>
        <v>28.878405072639715</v>
      </c>
      <c r="M255" s="12">
        <f t="shared" si="167"/>
        <v>29.302671552649112</v>
      </c>
      <c r="N255" s="12">
        <f t="shared" si="167"/>
        <v>29.67558856702448</v>
      </c>
      <c r="O255" s="12">
        <f t="shared" si="167"/>
        <v>29.994993140642158</v>
      </c>
      <c r="P255" s="12">
        <f t="shared" ref="P255:BK255" si="168">O255*(1+P$225/100)</f>
        <v>30.317835532566875</v>
      </c>
      <c r="Q255" s="12">
        <f t="shared" si="168"/>
        <v>30.644152744756926</v>
      </c>
      <c r="R255" s="12">
        <f t="shared" si="168"/>
        <v>30.973982177430432</v>
      </c>
      <c r="S255" s="12">
        <f t="shared" si="168"/>
        <v>31.307361633351892</v>
      </c>
      <c r="T255" s="12">
        <f t="shared" si="168"/>
        <v>31.644329322164875</v>
      </c>
      <c r="U255" s="12">
        <f t="shared" si="168"/>
        <v>31.984923864771343</v>
      </c>
      <c r="V255" s="12">
        <f t="shared" si="168"/>
        <v>32.391777103755715</v>
      </c>
      <c r="W255" s="12">
        <f t="shared" si="168"/>
        <v>32.391777103755715</v>
      </c>
      <c r="X255" s="12">
        <f t="shared" si="168"/>
        <v>32.391777103755715</v>
      </c>
      <c r="Y255" s="12">
        <f t="shared" si="168"/>
        <v>32.391777103755715</v>
      </c>
      <c r="Z255" s="12">
        <f t="shared" si="168"/>
        <v>32.391777103755715</v>
      </c>
      <c r="AA255" s="12">
        <f t="shared" si="168"/>
        <v>32.391777103755715</v>
      </c>
      <c r="AB255" s="12">
        <f t="shared" si="168"/>
        <v>32.391777103755715</v>
      </c>
      <c r="AC255" s="12">
        <f t="shared" si="168"/>
        <v>32.391777103755715</v>
      </c>
      <c r="AD255" s="12">
        <f t="shared" si="168"/>
        <v>32.391777103755715</v>
      </c>
      <c r="AE255" s="12">
        <f t="shared" si="168"/>
        <v>32.391777103755715</v>
      </c>
      <c r="AF255" s="12">
        <f t="shared" si="168"/>
        <v>32.391777103755715</v>
      </c>
      <c r="AG255" s="12">
        <f t="shared" si="168"/>
        <v>32.391777103755715</v>
      </c>
      <c r="AH255" s="12">
        <f t="shared" si="168"/>
        <v>32.391777103755715</v>
      </c>
      <c r="AI255" s="12">
        <f t="shared" si="168"/>
        <v>32.391777103755715</v>
      </c>
      <c r="AJ255" s="12">
        <f t="shared" si="168"/>
        <v>32.391777103755715</v>
      </c>
      <c r="AK255" s="12">
        <f t="shared" si="168"/>
        <v>32.391777103755715</v>
      </c>
      <c r="AL255" s="12">
        <f t="shared" si="168"/>
        <v>32.391777103755715</v>
      </c>
      <c r="AM255" s="12">
        <f t="shared" si="168"/>
        <v>32.391777103755715</v>
      </c>
      <c r="AN255" s="12">
        <f t="shared" si="168"/>
        <v>32.391777103755715</v>
      </c>
      <c r="AO255" s="12">
        <f t="shared" si="168"/>
        <v>32.391777103755715</v>
      </c>
      <c r="AP255" s="12">
        <f t="shared" si="168"/>
        <v>32.391777103755715</v>
      </c>
      <c r="AQ255" s="12">
        <f t="shared" si="168"/>
        <v>32.391777103755715</v>
      </c>
      <c r="AR255" s="12">
        <f t="shared" si="168"/>
        <v>32.391777103755715</v>
      </c>
      <c r="AS255" s="12">
        <f t="shared" si="168"/>
        <v>32.391777103755715</v>
      </c>
      <c r="AT255" s="12">
        <f t="shared" si="168"/>
        <v>32.391777103755715</v>
      </c>
      <c r="AU255" s="12">
        <f t="shared" si="168"/>
        <v>32.391777103755715</v>
      </c>
      <c r="AV255" s="12">
        <f t="shared" si="168"/>
        <v>32.391777103755715</v>
      </c>
      <c r="AW255" s="12">
        <f t="shared" si="168"/>
        <v>32.391777103755715</v>
      </c>
      <c r="AX255" s="12">
        <f t="shared" si="168"/>
        <v>32.391777103755715</v>
      </c>
      <c r="AY255" s="12">
        <f t="shared" si="168"/>
        <v>32.391777103755715</v>
      </c>
      <c r="AZ255" s="12">
        <f t="shared" si="168"/>
        <v>32.391777103755715</v>
      </c>
      <c r="BA255" s="12">
        <f t="shared" si="168"/>
        <v>32.391777103755715</v>
      </c>
      <c r="BB255" s="12">
        <f t="shared" si="168"/>
        <v>32.391777103755715</v>
      </c>
      <c r="BC255" s="12">
        <f t="shared" si="168"/>
        <v>32.391777103755715</v>
      </c>
      <c r="BD255" s="12">
        <f t="shared" si="168"/>
        <v>32.391777103755715</v>
      </c>
      <c r="BE255" s="12">
        <f t="shared" si="168"/>
        <v>32.391777103755715</v>
      </c>
      <c r="BF255" s="12">
        <f t="shared" si="168"/>
        <v>32.391777103755715</v>
      </c>
      <c r="BG255" s="12">
        <f t="shared" si="168"/>
        <v>32.391777103755715</v>
      </c>
      <c r="BH255" s="12">
        <f t="shared" si="168"/>
        <v>32.391777103755715</v>
      </c>
      <c r="BI255" s="12">
        <f t="shared" si="168"/>
        <v>32.391777103755715</v>
      </c>
      <c r="BJ255" s="12">
        <f t="shared" si="168"/>
        <v>32.391777103755715</v>
      </c>
      <c r="BK255" s="12">
        <f t="shared" si="168"/>
        <v>32.391777103755715</v>
      </c>
    </row>
    <row r="256" spans="1:63">
      <c r="A256" s="12" t="s">
        <v>278</v>
      </c>
      <c r="C256" s="12">
        <f>D214</f>
        <v>24.947866706879712</v>
      </c>
      <c r="D256" s="12">
        <f t="shared" si="166"/>
        <v>25.567037911257298</v>
      </c>
      <c r="E256" s="12">
        <f t="shared" si="166"/>
        <v>26.07823196361883</v>
      </c>
      <c r="F256" s="12">
        <f t="shared" ref="F256:O256" si="169">E256*(1+F$225/100)</f>
        <v>26.354078151272223</v>
      </c>
      <c r="G256" s="12">
        <f t="shared" si="169"/>
        <v>26.483011997413477</v>
      </c>
      <c r="H256" s="12">
        <f t="shared" si="169"/>
        <v>26.926133261149726</v>
      </c>
      <c r="I256" s="12">
        <f t="shared" si="169"/>
        <v>27.375342550099226</v>
      </c>
      <c r="J256" s="12">
        <f t="shared" si="169"/>
        <v>27.885775826303234</v>
      </c>
      <c r="K256" s="12">
        <f t="shared" si="169"/>
        <v>28.405216748557908</v>
      </c>
      <c r="L256" s="12">
        <f t="shared" si="169"/>
        <v>28.878405072639715</v>
      </c>
      <c r="M256" s="12">
        <f t="shared" si="169"/>
        <v>29.302671552649112</v>
      </c>
      <c r="N256" s="12">
        <f t="shared" si="169"/>
        <v>29.67558856702448</v>
      </c>
      <c r="O256" s="12">
        <f t="shared" si="169"/>
        <v>29.994993140642158</v>
      </c>
      <c r="P256" s="12">
        <f t="shared" ref="P256:BK256" si="170">O256*(1+P$225/100)</f>
        <v>30.317835532566875</v>
      </c>
      <c r="Q256" s="12">
        <f t="shared" si="170"/>
        <v>30.644152744756926</v>
      </c>
      <c r="R256" s="12">
        <f t="shared" si="170"/>
        <v>30.973982177430432</v>
      </c>
      <c r="S256" s="12">
        <f t="shared" si="170"/>
        <v>31.307361633351892</v>
      </c>
      <c r="T256" s="12">
        <f t="shared" si="170"/>
        <v>31.644329322164875</v>
      </c>
      <c r="U256" s="12">
        <f t="shared" si="170"/>
        <v>31.984923864771343</v>
      </c>
      <c r="V256" s="12">
        <f t="shared" si="170"/>
        <v>32.391777103755715</v>
      </c>
      <c r="W256" s="12">
        <f t="shared" si="170"/>
        <v>32.391777103755715</v>
      </c>
      <c r="X256" s="12">
        <f t="shared" si="170"/>
        <v>32.391777103755715</v>
      </c>
      <c r="Y256" s="12">
        <f t="shared" si="170"/>
        <v>32.391777103755715</v>
      </c>
      <c r="Z256" s="12">
        <f t="shared" si="170"/>
        <v>32.391777103755715</v>
      </c>
      <c r="AA256" s="12">
        <f t="shared" si="170"/>
        <v>32.391777103755715</v>
      </c>
      <c r="AB256" s="12">
        <f t="shared" si="170"/>
        <v>32.391777103755715</v>
      </c>
      <c r="AC256" s="12">
        <f t="shared" si="170"/>
        <v>32.391777103755715</v>
      </c>
      <c r="AD256" s="12">
        <f t="shared" si="170"/>
        <v>32.391777103755715</v>
      </c>
      <c r="AE256" s="12">
        <f t="shared" si="170"/>
        <v>32.391777103755715</v>
      </c>
      <c r="AF256" s="12">
        <f t="shared" si="170"/>
        <v>32.391777103755715</v>
      </c>
      <c r="AG256" s="12">
        <f t="shared" si="170"/>
        <v>32.391777103755715</v>
      </c>
      <c r="AH256" s="12">
        <f t="shared" si="170"/>
        <v>32.391777103755715</v>
      </c>
      <c r="AI256" s="12">
        <f t="shared" si="170"/>
        <v>32.391777103755715</v>
      </c>
      <c r="AJ256" s="12">
        <f t="shared" si="170"/>
        <v>32.391777103755715</v>
      </c>
      <c r="AK256" s="12">
        <f t="shared" si="170"/>
        <v>32.391777103755715</v>
      </c>
      <c r="AL256" s="12">
        <f t="shared" si="170"/>
        <v>32.391777103755715</v>
      </c>
      <c r="AM256" s="12">
        <f t="shared" si="170"/>
        <v>32.391777103755715</v>
      </c>
      <c r="AN256" s="12">
        <f t="shared" si="170"/>
        <v>32.391777103755715</v>
      </c>
      <c r="AO256" s="12">
        <f t="shared" si="170"/>
        <v>32.391777103755715</v>
      </c>
      <c r="AP256" s="12">
        <f t="shared" si="170"/>
        <v>32.391777103755715</v>
      </c>
      <c r="AQ256" s="12">
        <f t="shared" si="170"/>
        <v>32.391777103755715</v>
      </c>
      <c r="AR256" s="12">
        <f t="shared" si="170"/>
        <v>32.391777103755715</v>
      </c>
      <c r="AS256" s="12">
        <f t="shared" si="170"/>
        <v>32.391777103755715</v>
      </c>
      <c r="AT256" s="12">
        <f t="shared" si="170"/>
        <v>32.391777103755715</v>
      </c>
      <c r="AU256" s="12">
        <f t="shared" si="170"/>
        <v>32.391777103755715</v>
      </c>
      <c r="AV256" s="12">
        <f t="shared" si="170"/>
        <v>32.391777103755715</v>
      </c>
      <c r="AW256" s="12">
        <f t="shared" si="170"/>
        <v>32.391777103755715</v>
      </c>
      <c r="AX256" s="12">
        <f t="shared" si="170"/>
        <v>32.391777103755715</v>
      </c>
      <c r="AY256" s="12">
        <f t="shared" si="170"/>
        <v>32.391777103755715</v>
      </c>
      <c r="AZ256" s="12">
        <f t="shared" si="170"/>
        <v>32.391777103755715</v>
      </c>
      <c r="BA256" s="12">
        <f t="shared" si="170"/>
        <v>32.391777103755715</v>
      </c>
      <c r="BB256" s="12">
        <f t="shared" si="170"/>
        <v>32.391777103755715</v>
      </c>
      <c r="BC256" s="12">
        <f t="shared" si="170"/>
        <v>32.391777103755715</v>
      </c>
      <c r="BD256" s="12">
        <f t="shared" si="170"/>
        <v>32.391777103755715</v>
      </c>
      <c r="BE256" s="12">
        <f t="shared" si="170"/>
        <v>32.391777103755715</v>
      </c>
      <c r="BF256" s="12">
        <f t="shared" si="170"/>
        <v>32.391777103755715</v>
      </c>
      <c r="BG256" s="12">
        <f t="shared" si="170"/>
        <v>32.391777103755715</v>
      </c>
      <c r="BH256" s="12">
        <f t="shared" si="170"/>
        <v>32.391777103755715</v>
      </c>
      <c r="BI256" s="12">
        <f t="shared" si="170"/>
        <v>32.391777103755715</v>
      </c>
      <c r="BJ256" s="12">
        <f t="shared" si="170"/>
        <v>32.391777103755715</v>
      </c>
      <c r="BK256" s="12">
        <f t="shared" si="170"/>
        <v>32.391777103755715</v>
      </c>
    </row>
    <row r="257" spans="1:63">
      <c r="A257" s="12" t="s">
        <v>279</v>
      </c>
      <c r="C257" s="12">
        <f>D215</f>
        <v>23.528676684632046</v>
      </c>
      <c r="D257" s="12">
        <f t="shared" si="166"/>
        <v>24.112625574988151</v>
      </c>
      <c r="E257" s="12">
        <f t="shared" si="166"/>
        <v>24.59473972616744</v>
      </c>
      <c r="F257" s="12">
        <f t="shared" ref="F257:O260" si="171">E257*(1+F$225/100)</f>
        <v>24.854894064822584</v>
      </c>
      <c r="G257" s="12">
        <f t="shared" si="171"/>
        <v>24.976493350854007</v>
      </c>
      <c r="H257" s="12">
        <f t="shared" si="171"/>
        <v>25.394407117551367</v>
      </c>
      <c r="I257" s="12">
        <f t="shared" si="171"/>
        <v>25.818062584674401</v>
      </c>
      <c r="J257" s="12">
        <f t="shared" si="171"/>
        <v>26.299459237381775</v>
      </c>
      <c r="K257" s="12">
        <f t="shared" si="171"/>
        <v>26.789351125136932</v>
      </c>
      <c r="L257" s="12">
        <f t="shared" si="171"/>
        <v>27.235621550543424</v>
      </c>
      <c r="M257" s="12">
        <f t="shared" si="171"/>
        <v>27.635753111031327</v>
      </c>
      <c r="N257" s="12">
        <f t="shared" si="171"/>
        <v>27.98745628327157</v>
      </c>
      <c r="O257" s="12">
        <f t="shared" si="171"/>
        <v>28.288691135635545</v>
      </c>
      <c r="P257" s="12">
        <f t="shared" ref="P257:BK257" si="172">O257*(1+P$225/100)</f>
        <v>28.593168241792089</v>
      </c>
      <c r="Q257" s="12">
        <f t="shared" si="172"/>
        <v>28.900922498797676</v>
      </c>
      <c r="R257" s="12">
        <f t="shared" si="172"/>
        <v>29.211989179313107</v>
      </c>
      <c r="S257" s="12">
        <f t="shared" si="172"/>
        <v>29.526403935646222</v>
      </c>
      <c r="T257" s="12">
        <f t="shared" si="172"/>
        <v>29.844202803838108</v>
      </c>
      <c r="U257" s="12">
        <f t="shared" si="172"/>
        <v>30.165422207793309</v>
      </c>
      <c r="V257" s="12">
        <f t="shared" si="172"/>
        <v>30.549131100847433</v>
      </c>
      <c r="W257" s="12">
        <f t="shared" si="172"/>
        <v>30.549131100847433</v>
      </c>
      <c r="X257" s="12">
        <f t="shared" si="172"/>
        <v>30.549131100847433</v>
      </c>
      <c r="Y257" s="12">
        <f t="shared" si="172"/>
        <v>30.549131100847433</v>
      </c>
      <c r="Z257" s="12">
        <f t="shared" si="172"/>
        <v>30.549131100847433</v>
      </c>
      <c r="AA257" s="12">
        <f t="shared" si="172"/>
        <v>30.549131100847433</v>
      </c>
      <c r="AB257" s="12">
        <f t="shared" si="172"/>
        <v>30.549131100847433</v>
      </c>
      <c r="AC257" s="12">
        <f t="shared" si="172"/>
        <v>30.549131100847433</v>
      </c>
      <c r="AD257" s="12">
        <f t="shared" si="172"/>
        <v>30.549131100847433</v>
      </c>
      <c r="AE257" s="12">
        <f t="shared" si="172"/>
        <v>30.549131100847433</v>
      </c>
      <c r="AF257" s="12">
        <f t="shared" si="172"/>
        <v>30.549131100847433</v>
      </c>
      <c r="AG257" s="12">
        <f t="shared" si="172"/>
        <v>30.549131100847433</v>
      </c>
      <c r="AH257" s="12">
        <f t="shared" si="172"/>
        <v>30.549131100847433</v>
      </c>
      <c r="AI257" s="12">
        <f t="shared" si="172"/>
        <v>30.549131100847433</v>
      </c>
      <c r="AJ257" s="12">
        <f t="shared" si="172"/>
        <v>30.549131100847433</v>
      </c>
      <c r="AK257" s="12">
        <f t="shared" si="172"/>
        <v>30.549131100847433</v>
      </c>
      <c r="AL257" s="12">
        <f t="shared" si="172"/>
        <v>30.549131100847433</v>
      </c>
      <c r="AM257" s="12">
        <f t="shared" si="172"/>
        <v>30.549131100847433</v>
      </c>
      <c r="AN257" s="12">
        <f t="shared" si="172"/>
        <v>30.549131100847433</v>
      </c>
      <c r="AO257" s="12">
        <f t="shared" si="172"/>
        <v>30.549131100847433</v>
      </c>
      <c r="AP257" s="12">
        <f t="shared" si="172"/>
        <v>30.549131100847433</v>
      </c>
      <c r="AQ257" s="12">
        <f t="shared" si="172"/>
        <v>30.549131100847433</v>
      </c>
      <c r="AR257" s="12">
        <f t="shared" si="172"/>
        <v>30.549131100847433</v>
      </c>
      <c r="AS257" s="12">
        <f t="shared" si="172"/>
        <v>30.549131100847433</v>
      </c>
      <c r="AT257" s="12">
        <f t="shared" si="172"/>
        <v>30.549131100847433</v>
      </c>
      <c r="AU257" s="12">
        <f t="shared" si="172"/>
        <v>30.549131100847433</v>
      </c>
      <c r="AV257" s="12">
        <f t="shared" si="172"/>
        <v>30.549131100847433</v>
      </c>
      <c r="AW257" s="12">
        <f t="shared" si="172"/>
        <v>30.549131100847433</v>
      </c>
      <c r="AX257" s="12">
        <f t="shared" si="172"/>
        <v>30.549131100847433</v>
      </c>
      <c r="AY257" s="12">
        <f t="shared" si="172"/>
        <v>30.549131100847433</v>
      </c>
      <c r="AZ257" s="12">
        <f t="shared" si="172"/>
        <v>30.549131100847433</v>
      </c>
      <c r="BA257" s="12">
        <f t="shared" si="172"/>
        <v>30.549131100847433</v>
      </c>
      <c r="BB257" s="12">
        <f t="shared" si="172"/>
        <v>30.549131100847433</v>
      </c>
      <c r="BC257" s="12">
        <f t="shared" si="172"/>
        <v>30.549131100847433</v>
      </c>
      <c r="BD257" s="12">
        <f t="shared" si="172"/>
        <v>30.549131100847433</v>
      </c>
      <c r="BE257" s="12">
        <f t="shared" si="172"/>
        <v>30.549131100847433</v>
      </c>
      <c r="BF257" s="12">
        <f t="shared" si="172"/>
        <v>30.549131100847433</v>
      </c>
      <c r="BG257" s="12">
        <f t="shared" si="172"/>
        <v>30.549131100847433</v>
      </c>
      <c r="BH257" s="12">
        <f t="shared" si="172"/>
        <v>30.549131100847433</v>
      </c>
      <c r="BI257" s="12">
        <f t="shared" si="172"/>
        <v>30.549131100847433</v>
      </c>
      <c r="BJ257" s="12">
        <f t="shared" si="172"/>
        <v>30.549131100847433</v>
      </c>
      <c r="BK257" s="12">
        <f t="shared" si="172"/>
        <v>30.549131100847433</v>
      </c>
    </row>
    <row r="258" spans="1:63" s="12" customFormat="1">
      <c r="A258" s="12" t="s">
        <v>280</v>
      </c>
      <c r="C258" s="12">
        <f t="shared" ref="C258:C261" si="173">D216</f>
        <v>19.121718194494619</v>
      </c>
      <c r="D258" s="12">
        <f t="shared" si="166"/>
        <v>19.596292530784027</v>
      </c>
      <c r="E258" s="12">
        <f t="shared" ref="E258:E260" si="174">D258*(1+E$225/100)</f>
        <v>19.988105936186876</v>
      </c>
      <c r="F258" s="12">
        <f t="shared" si="171"/>
        <v>20.199532954268516</v>
      </c>
      <c r="G258" s="12">
        <f t="shared" si="171"/>
        <v>20.298356501011515</v>
      </c>
      <c r="H258" s="12">
        <f t="shared" si="171"/>
        <v>20.637994355851273</v>
      </c>
      <c r="I258" s="12">
        <f t="shared" si="171"/>
        <v>20.982298481513165</v>
      </c>
      <c r="J258" s="12">
        <f t="shared" si="171"/>
        <v>21.373528777046776</v>
      </c>
      <c r="K258" s="12">
        <f t="shared" si="171"/>
        <v>21.771663136619217</v>
      </c>
      <c r="L258" s="12">
        <f t="shared" si="171"/>
        <v>22.134346402981318</v>
      </c>
      <c r="M258" s="12">
        <f t="shared" si="171"/>
        <v>22.459532687060378</v>
      </c>
      <c r="N258" s="12">
        <f t="shared" si="171"/>
        <v>22.745361296881018</v>
      </c>
      <c r="O258" s="12">
        <f t="shared" si="171"/>
        <v>22.990174383246664</v>
      </c>
      <c r="P258" s="12">
        <f t="shared" ref="P258:BK258" si="175">O258*(1+P$225/100)</f>
        <v>23.237622444123094</v>
      </c>
      <c r="Q258" s="12">
        <f t="shared" si="175"/>
        <v>23.487733840292716</v>
      </c>
      <c r="R258" s="12">
        <f t="shared" si="175"/>
        <v>23.740537237790971</v>
      </c>
      <c r="S258" s="12">
        <f t="shared" si="175"/>
        <v>23.996061611191848</v>
      </c>
      <c r="T258" s="12">
        <f t="shared" si="175"/>
        <v>24.254336246928744</v>
      </c>
      <c r="U258" s="12">
        <f t="shared" si="175"/>
        <v>24.515390746651068</v>
      </c>
      <c r="V258" s="12">
        <f t="shared" si="175"/>
        <v>24.827230354974422</v>
      </c>
      <c r="W258" s="12">
        <f t="shared" si="175"/>
        <v>24.827230354974422</v>
      </c>
      <c r="X258" s="12">
        <f t="shared" si="175"/>
        <v>24.827230354974422</v>
      </c>
      <c r="Y258" s="12">
        <f t="shared" si="175"/>
        <v>24.827230354974422</v>
      </c>
      <c r="Z258" s="12">
        <f t="shared" si="175"/>
        <v>24.827230354974422</v>
      </c>
      <c r="AA258" s="12">
        <f t="shared" si="175"/>
        <v>24.827230354974422</v>
      </c>
      <c r="AB258" s="12">
        <f t="shared" si="175"/>
        <v>24.827230354974422</v>
      </c>
      <c r="AC258" s="12">
        <f t="shared" si="175"/>
        <v>24.827230354974422</v>
      </c>
      <c r="AD258" s="12">
        <f t="shared" si="175"/>
        <v>24.827230354974422</v>
      </c>
      <c r="AE258" s="12">
        <f t="shared" si="175"/>
        <v>24.827230354974422</v>
      </c>
      <c r="AF258" s="12">
        <f t="shared" si="175"/>
        <v>24.827230354974422</v>
      </c>
      <c r="AG258" s="12">
        <f t="shared" si="175"/>
        <v>24.827230354974422</v>
      </c>
      <c r="AH258" s="12">
        <f t="shared" si="175"/>
        <v>24.827230354974422</v>
      </c>
      <c r="AI258" s="12">
        <f t="shared" si="175"/>
        <v>24.827230354974422</v>
      </c>
      <c r="AJ258" s="12">
        <f t="shared" si="175"/>
        <v>24.827230354974422</v>
      </c>
      <c r="AK258" s="12">
        <f t="shared" si="175"/>
        <v>24.827230354974422</v>
      </c>
      <c r="AL258" s="12">
        <f t="shared" si="175"/>
        <v>24.827230354974422</v>
      </c>
      <c r="AM258" s="12">
        <f t="shared" si="175"/>
        <v>24.827230354974422</v>
      </c>
      <c r="AN258" s="12">
        <f t="shared" si="175"/>
        <v>24.827230354974422</v>
      </c>
      <c r="AO258" s="12">
        <f t="shared" si="175"/>
        <v>24.827230354974422</v>
      </c>
      <c r="AP258" s="12">
        <f t="shared" si="175"/>
        <v>24.827230354974422</v>
      </c>
      <c r="AQ258" s="12">
        <f t="shared" si="175"/>
        <v>24.827230354974422</v>
      </c>
      <c r="AR258" s="12">
        <f t="shared" si="175"/>
        <v>24.827230354974422</v>
      </c>
      <c r="AS258" s="12">
        <f t="shared" si="175"/>
        <v>24.827230354974422</v>
      </c>
      <c r="AT258" s="12">
        <f t="shared" si="175"/>
        <v>24.827230354974422</v>
      </c>
      <c r="AU258" s="12">
        <f t="shared" si="175"/>
        <v>24.827230354974422</v>
      </c>
      <c r="AV258" s="12">
        <f t="shared" si="175"/>
        <v>24.827230354974422</v>
      </c>
      <c r="AW258" s="12">
        <f t="shared" si="175"/>
        <v>24.827230354974422</v>
      </c>
      <c r="AX258" s="12">
        <f t="shared" si="175"/>
        <v>24.827230354974422</v>
      </c>
      <c r="AY258" s="12">
        <f t="shared" si="175"/>
        <v>24.827230354974422</v>
      </c>
      <c r="AZ258" s="12">
        <f t="shared" si="175"/>
        <v>24.827230354974422</v>
      </c>
      <c r="BA258" s="12">
        <f t="shared" si="175"/>
        <v>24.827230354974422</v>
      </c>
      <c r="BB258" s="12">
        <f t="shared" si="175"/>
        <v>24.827230354974422</v>
      </c>
      <c r="BC258" s="12">
        <f t="shared" si="175"/>
        <v>24.827230354974422</v>
      </c>
      <c r="BD258" s="12">
        <f t="shared" si="175"/>
        <v>24.827230354974422</v>
      </c>
      <c r="BE258" s="12">
        <f t="shared" si="175"/>
        <v>24.827230354974422</v>
      </c>
      <c r="BF258" s="12">
        <f t="shared" si="175"/>
        <v>24.827230354974422</v>
      </c>
      <c r="BG258" s="12">
        <f t="shared" si="175"/>
        <v>24.827230354974422</v>
      </c>
      <c r="BH258" s="12">
        <f t="shared" si="175"/>
        <v>24.827230354974422</v>
      </c>
      <c r="BI258" s="12">
        <f t="shared" si="175"/>
        <v>24.827230354974422</v>
      </c>
      <c r="BJ258" s="12">
        <f t="shared" si="175"/>
        <v>24.827230354974422</v>
      </c>
      <c r="BK258" s="12">
        <f t="shared" si="175"/>
        <v>24.827230354974422</v>
      </c>
    </row>
    <row r="259" spans="1:63" s="12" customFormat="1">
      <c r="A259" s="12" t="s">
        <v>281</v>
      </c>
      <c r="C259" s="12">
        <f t="shared" si="173"/>
        <v>13.209774601652009</v>
      </c>
      <c r="D259" s="12">
        <f t="shared" si="166"/>
        <v>13.537622755795217</v>
      </c>
      <c r="E259" s="12">
        <f t="shared" si="174"/>
        <v>13.808297530866817</v>
      </c>
      <c r="F259" s="12">
        <f t="shared" si="171"/>
        <v>13.954356751338018</v>
      </c>
      <c r="G259" s="12">
        <f t="shared" si="171"/>
        <v>14.022626598458068</v>
      </c>
      <c r="H259" s="12">
        <f t="shared" si="171"/>
        <v>14.257257161621244</v>
      </c>
      <c r="I259" s="12">
        <f t="shared" si="171"/>
        <v>14.495111304651234</v>
      </c>
      <c r="J259" s="12">
        <f t="shared" si="171"/>
        <v>14.765383252431777</v>
      </c>
      <c r="K259" s="12">
        <f t="shared" si="171"/>
        <v>15.040424705173155</v>
      </c>
      <c r="L259" s="12">
        <f t="shared" si="171"/>
        <v>15.290975631177998</v>
      </c>
      <c r="M259" s="12">
        <f t="shared" si="171"/>
        <v>15.515622677669349</v>
      </c>
      <c r="N259" s="12">
        <f t="shared" si="171"/>
        <v>15.71308043078702</v>
      </c>
      <c r="O259" s="12">
        <f t="shared" si="171"/>
        <v>15.882203605678074</v>
      </c>
      <c r="P259" s="12">
        <f t="shared" ref="P259:BK259" si="176">O259*(1+P$225/100)</f>
        <v>16.053147088713747</v>
      </c>
      <c r="Q259" s="12">
        <f t="shared" si="176"/>
        <v>16.225930472251761</v>
      </c>
      <c r="R259" s="12">
        <f t="shared" si="176"/>
        <v>16.400573559526485</v>
      </c>
      <c r="S259" s="12">
        <f t="shared" si="176"/>
        <v>16.577096366918649</v>
      </c>
      <c r="T259" s="12">
        <f t="shared" si="176"/>
        <v>16.755519126249474</v>
      </c>
      <c r="U259" s="12">
        <f t="shared" si="176"/>
        <v>16.935862287099518</v>
      </c>
      <c r="V259" s="12">
        <f t="shared" si="176"/>
        <v>17.151289106798437</v>
      </c>
      <c r="W259" s="12">
        <f t="shared" si="176"/>
        <v>17.151289106798437</v>
      </c>
      <c r="X259" s="12">
        <f t="shared" si="176"/>
        <v>17.151289106798437</v>
      </c>
      <c r="Y259" s="12">
        <f t="shared" si="176"/>
        <v>17.151289106798437</v>
      </c>
      <c r="Z259" s="12">
        <f t="shared" si="176"/>
        <v>17.151289106798437</v>
      </c>
      <c r="AA259" s="12">
        <f t="shared" si="176"/>
        <v>17.151289106798437</v>
      </c>
      <c r="AB259" s="12">
        <f t="shared" si="176"/>
        <v>17.151289106798437</v>
      </c>
      <c r="AC259" s="12">
        <f t="shared" si="176"/>
        <v>17.151289106798437</v>
      </c>
      <c r="AD259" s="12">
        <f t="shared" si="176"/>
        <v>17.151289106798437</v>
      </c>
      <c r="AE259" s="12">
        <f t="shared" si="176"/>
        <v>17.151289106798437</v>
      </c>
      <c r="AF259" s="12">
        <f t="shared" si="176"/>
        <v>17.151289106798437</v>
      </c>
      <c r="AG259" s="12">
        <f t="shared" si="176"/>
        <v>17.151289106798437</v>
      </c>
      <c r="AH259" s="12">
        <f t="shared" si="176"/>
        <v>17.151289106798437</v>
      </c>
      <c r="AI259" s="12">
        <f t="shared" si="176"/>
        <v>17.151289106798437</v>
      </c>
      <c r="AJ259" s="12">
        <f t="shared" si="176"/>
        <v>17.151289106798437</v>
      </c>
      <c r="AK259" s="12">
        <f t="shared" si="176"/>
        <v>17.151289106798437</v>
      </c>
      <c r="AL259" s="12">
        <f t="shared" si="176"/>
        <v>17.151289106798437</v>
      </c>
      <c r="AM259" s="12">
        <f t="shared" si="176"/>
        <v>17.151289106798437</v>
      </c>
      <c r="AN259" s="12">
        <f t="shared" si="176"/>
        <v>17.151289106798437</v>
      </c>
      <c r="AO259" s="12">
        <f t="shared" si="176"/>
        <v>17.151289106798437</v>
      </c>
      <c r="AP259" s="12">
        <f t="shared" si="176"/>
        <v>17.151289106798437</v>
      </c>
      <c r="AQ259" s="12">
        <f t="shared" si="176"/>
        <v>17.151289106798437</v>
      </c>
      <c r="AR259" s="12">
        <f t="shared" si="176"/>
        <v>17.151289106798437</v>
      </c>
      <c r="AS259" s="12">
        <f t="shared" si="176"/>
        <v>17.151289106798437</v>
      </c>
      <c r="AT259" s="12">
        <f t="shared" si="176"/>
        <v>17.151289106798437</v>
      </c>
      <c r="AU259" s="12">
        <f t="shared" si="176"/>
        <v>17.151289106798437</v>
      </c>
      <c r="AV259" s="12">
        <f t="shared" si="176"/>
        <v>17.151289106798437</v>
      </c>
      <c r="AW259" s="12">
        <f t="shared" si="176"/>
        <v>17.151289106798437</v>
      </c>
      <c r="AX259" s="12">
        <f t="shared" si="176"/>
        <v>17.151289106798437</v>
      </c>
      <c r="AY259" s="12">
        <f t="shared" si="176"/>
        <v>17.151289106798437</v>
      </c>
      <c r="AZ259" s="12">
        <f t="shared" si="176"/>
        <v>17.151289106798437</v>
      </c>
      <c r="BA259" s="12">
        <f t="shared" si="176"/>
        <v>17.151289106798437</v>
      </c>
      <c r="BB259" s="12">
        <f t="shared" si="176"/>
        <v>17.151289106798437</v>
      </c>
      <c r="BC259" s="12">
        <f t="shared" si="176"/>
        <v>17.151289106798437</v>
      </c>
      <c r="BD259" s="12">
        <f t="shared" si="176"/>
        <v>17.151289106798437</v>
      </c>
      <c r="BE259" s="12">
        <f t="shared" si="176"/>
        <v>17.151289106798437</v>
      </c>
      <c r="BF259" s="12">
        <f t="shared" si="176"/>
        <v>17.151289106798437</v>
      </c>
      <c r="BG259" s="12">
        <f t="shared" si="176"/>
        <v>17.151289106798437</v>
      </c>
      <c r="BH259" s="12">
        <f t="shared" si="176"/>
        <v>17.151289106798437</v>
      </c>
      <c r="BI259" s="12">
        <f t="shared" si="176"/>
        <v>17.151289106798437</v>
      </c>
      <c r="BJ259" s="12">
        <f t="shared" si="176"/>
        <v>17.151289106798437</v>
      </c>
      <c r="BK259" s="12">
        <f t="shared" si="176"/>
        <v>17.151289106798437</v>
      </c>
    </row>
    <row r="260" spans="1:63" s="12" customFormat="1">
      <c r="A260" s="12" t="s">
        <v>282</v>
      </c>
      <c r="C260" s="12">
        <f t="shared" si="173"/>
        <v>7.8999908145711091</v>
      </c>
      <c r="D260" s="12">
        <f t="shared" si="166"/>
        <v>8.0960575518477267</v>
      </c>
      <c r="E260" s="12">
        <f t="shared" si="174"/>
        <v>8.2579322470097711</v>
      </c>
      <c r="F260" s="12">
        <f t="shared" si="171"/>
        <v>8.3452816935295928</v>
      </c>
      <c r="G260" s="12">
        <f t="shared" si="171"/>
        <v>8.386109881854102</v>
      </c>
      <c r="H260" s="12">
        <f t="shared" si="171"/>
        <v>8.5264286495622912</v>
      </c>
      <c r="I260" s="12">
        <f t="shared" si="171"/>
        <v>8.6686752511742231</v>
      </c>
      <c r="J260" s="12">
        <f t="shared" si="171"/>
        <v>8.8303090389782568</v>
      </c>
      <c r="K260" s="12">
        <f t="shared" si="171"/>
        <v>8.9947951877435397</v>
      </c>
      <c r="L260" s="12">
        <f t="shared" si="171"/>
        <v>9.1446349899891448</v>
      </c>
      <c r="M260" s="12">
        <f t="shared" si="171"/>
        <v>9.2789832023787984</v>
      </c>
      <c r="N260" s="12">
        <f t="shared" si="171"/>
        <v>9.3970710943327127</v>
      </c>
      <c r="O260" s="12">
        <f t="shared" si="171"/>
        <v>9.4982137382051768</v>
      </c>
      <c r="P260" s="12">
        <f t="shared" ref="P260:BK260" si="177">O260*(1+P$225/100)</f>
        <v>9.600445001532238</v>
      </c>
      <c r="Q260" s="12">
        <f t="shared" si="177"/>
        <v>9.7037766013530344</v>
      </c>
      <c r="R260" s="12">
        <f t="shared" si="177"/>
        <v>9.8082203808196518</v>
      </c>
      <c r="S260" s="12">
        <f t="shared" si="177"/>
        <v>9.9137883105544997</v>
      </c>
      <c r="T260" s="12">
        <f t="shared" si="177"/>
        <v>10.020492490022306</v>
      </c>
      <c r="U260" s="12">
        <f t="shared" si="177"/>
        <v>10.128345148916871</v>
      </c>
      <c r="V260" s="12">
        <f t="shared" si="177"/>
        <v>10.257179284861998</v>
      </c>
      <c r="W260" s="12">
        <f t="shared" si="177"/>
        <v>10.257179284861998</v>
      </c>
      <c r="X260" s="12">
        <f t="shared" si="177"/>
        <v>10.257179284861998</v>
      </c>
      <c r="Y260" s="12">
        <f t="shared" si="177"/>
        <v>10.257179284861998</v>
      </c>
      <c r="Z260" s="12">
        <f t="shared" si="177"/>
        <v>10.257179284861998</v>
      </c>
      <c r="AA260" s="12">
        <f t="shared" si="177"/>
        <v>10.257179284861998</v>
      </c>
      <c r="AB260" s="12">
        <f t="shared" si="177"/>
        <v>10.257179284861998</v>
      </c>
      <c r="AC260" s="12">
        <f t="shared" si="177"/>
        <v>10.257179284861998</v>
      </c>
      <c r="AD260" s="12">
        <f t="shared" si="177"/>
        <v>10.257179284861998</v>
      </c>
      <c r="AE260" s="12">
        <f t="shared" si="177"/>
        <v>10.257179284861998</v>
      </c>
      <c r="AF260" s="12">
        <f t="shared" si="177"/>
        <v>10.257179284861998</v>
      </c>
      <c r="AG260" s="12">
        <f t="shared" si="177"/>
        <v>10.257179284861998</v>
      </c>
      <c r="AH260" s="12">
        <f t="shared" si="177"/>
        <v>10.257179284861998</v>
      </c>
      <c r="AI260" s="12">
        <f t="shared" si="177"/>
        <v>10.257179284861998</v>
      </c>
      <c r="AJ260" s="12">
        <f t="shared" si="177"/>
        <v>10.257179284861998</v>
      </c>
      <c r="AK260" s="12">
        <f t="shared" si="177"/>
        <v>10.257179284861998</v>
      </c>
      <c r="AL260" s="12">
        <f t="shared" si="177"/>
        <v>10.257179284861998</v>
      </c>
      <c r="AM260" s="12">
        <f t="shared" si="177"/>
        <v>10.257179284861998</v>
      </c>
      <c r="AN260" s="12">
        <f t="shared" si="177"/>
        <v>10.257179284861998</v>
      </c>
      <c r="AO260" s="12">
        <f t="shared" si="177"/>
        <v>10.257179284861998</v>
      </c>
      <c r="AP260" s="12">
        <f t="shared" si="177"/>
        <v>10.257179284861998</v>
      </c>
      <c r="AQ260" s="12">
        <f t="shared" si="177"/>
        <v>10.257179284861998</v>
      </c>
      <c r="AR260" s="12">
        <f t="shared" si="177"/>
        <v>10.257179284861998</v>
      </c>
      <c r="AS260" s="12">
        <f t="shared" si="177"/>
        <v>10.257179284861998</v>
      </c>
      <c r="AT260" s="12">
        <f t="shared" si="177"/>
        <v>10.257179284861998</v>
      </c>
      <c r="AU260" s="12">
        <f t="shared" si="177"/>
        <v>10.257179284861998</v>
      </c>
      <c r="AV260" s="12">
        <f t="shared" si="177"/>
        <v>10.257179284861998</v>
      </c>
      <c r="AW260" s="12">
        <f t="shared" si="177"/>
        <v>10.257179284861998</v>
      </c>
      <c r="AX260" s="12">
        <f t="shared" si="177"/>
        <v>10.257179284861998</v>
      </c>
      <c r="AY260" s="12">
        <f t="shared" si="177"/>
        <v>10.257179284861998</v>
      </c>
      <c r="AZ260" s="12">
        <f t="shared" si="177"/>
        <v>10.257179284861998</v>
      </c>
      <c r="BA260" s="12">
        <f t="shared" si="177"/>
        <v>10.257179284861998</v>
      </c>
      <c r="BB260" s="12">
        <f t="shared" si="177"/>
        <v>10.257179284861998</v>
      </c>
      <c r="BC260" s="12">
        <f t="shared" si="177"/>
        <v>10.257179284861998</v>
      </c>
      <c r="BD260" s="12">
        <f t="shared" si="177"/>
        <v>10.257179284861998</v>
      </c>
      <c r="BE260" s="12">
        <f t="shared" si="177"/>
        <v>10.257179284861998</v>
      </c>
      <c r="BF260" s="12">
        <f t="shared" si="177"/>
        <v>10.257179284861998</v>
      </c>
      <c r="BG260" s="12">
        <f t="shared" si="177"/>
        <v>10.257179284861998</v>
      </c>
      <c r="BH260" s="12">
        <f t="shared" si="177"/>
        <v>10.257179284861998</v>
      </c>
      <c r="BI260" s="12">
        <f t="shared" si="177"/>
        <v>10.257179284861998</v>
      </c>
      <c r="BJ260" s="12">
        <f t="shared" si="177"/>
        <v>10.257179284861998</v>
      </c>
      <c r="BK260" s="12">
        <f t="shared" si="177"/>
        <v>10.257179284861998</v>
      </c>
    </row>
    <row r="261" spans="1:63">
      <c r="A261" s="12" t="s">
        <v>10</v>
      </c>
      <c r="C261" s="12">
        <f t="shared" si="173"/>
        <v>6.7862861643147321</v>
      </c>
      <c r="D261" s="12">
        <f t="shared" si="166"/>
        <v>6.954712307799416</v>
      </c>
      <c r="E261" s="12">
        <f t="shared" si="166"/>
        <v>7.093766647217719</v>
      </c>
      <c r="F261" s="12">
        <f t="shared" ref="F261:O261" si="178">E261*(1+F$225/100)</f>
        <v>7.1688019674214685</v>
      </c>
      <c r="G261" s="12">
        <f t="shared" si="178"/>
        <v>7.2038743840918285</v>
      </c>
      <c r="H261" s="12">
        <f t="shared" si="178"/>
        <v>7.3244116523295855</v>
      </c>
      <c r="I261" s="12">
        <f t="shared" si="178"/>
        <v>7.4466049772457801</v>
      </c>
      <c r="J261" s="12">
        <f t="shared" si="178"/>
        <v>7.5854523713259274</v>
      </c>
      <c r="K261" s="12">
        <f t="shared" si="178"/>
        <v>7.7267500135369014</v>
      </c>
      <c r="L261" s="12">
        <f t="shared" si="178"/>
        <v>7.8554660843160553</v>
      </c>
      <c r="M261" s="12">
        <f t="shared" si="178"/>
        <v>7.9708744988750562</v>
      </c>
      <c r="N261" s="12">
        <f t="shared" si="178"/>
        <v>8.0723148987628441</v>
      </c>
      <c r="O261" s="12">
        <f t="shared" si="178"/>
        <v>8.1591989143072574</v>
      </c>
      <c r="P261" s="12">
        <f t="shared" ref="P261:BK261" si="179">O261*(1+P$225/100)</f>
        <v>8.24701808070391</v>
      </c>
      <c r="Q261" s="12">
        <f t="shared" si="179"/>
        <v>8.3357824631772388</v>
      </c>
      <c r="R261" s="12">
        <f t="shared" si="179"/>
        <v>8.4255022352857996</v>
      </c>
      <c r="S261" s="12">
        <f t="shared" si="179"/>
        <v>8.5161876800882883</v>
      </c>
      <c r="T261" s="12">
        <f t="shared" si="179"/>
        <v>8.6078491913221153</v>
      </c>
      <c r="U261" s="12">
        <f t="shared" si="179"/>
        <v>8.700497274594662</v>
      </c>
      <c r="V261" s="12">
        <f t="shared" si="179"/>
        <v>8.8111689620405826</v>
      </c>
      <c r="W261" s="12">
        <f t="shared" si="179"/>
        <v>8.8111689620405826</v>
      </c>
      <c r="X261" s="12">
        <f t="shared" si="179"/>
        <v>8.8111689620405826</v>
      </c>
      <c r="Y261" s="12">
        <f t="shared" si="179"/>
        <v>8.8111689620405826</v>
      </c>
      <c r="Z261" s="12">
        <f t="shared" si="179"/>
        <v>8.8111689620405826</v>
      </c>
      <c r="AA261" s="12">
        <f t="shared" si="179"/>
        <v>8.8111689620405826</v>
      </c>
      <c r="AB261" s="12">
        <f t="shared" si="179"/>
        <v>8.8111689620405826</v>
      </c>
      <c r="AC261" s="12">
        <f t="shared" si="179"/>
        <v>8.8111689620405826</v>
      </c>
      <c r="AD261" s="12">
        <f t="shared" si="179"/>
        <v>8.8111689620405826</v>
      </c>
      <c r="AE261" s="12">
        <f t="shared" si="179"/>
        <v>8.8111689620405826</v>
      </c>
      <c r="AF261" s="12">
        <f t="shared" si="179"/>
        <v>8.8111689620405826</v>
      </c>
      <c r="AG261" s="12">
        <f t="shared" si="179"/>
        <v>8.8111689620405826</v>
      </c>
      <c r="AH261" s="12">
        <f t="shared" si="179"/>
        <v>8.8111689620405826</v>
      </c>
      <c r="AI261" s="12">
        <f t="shared" si="179"/>
        <v>8.8111689620405826</v>
      </c>
      <c r="AJ261" s="12">
        <f t="shared" si="179"/>
        <v>8.8111689620405826</v>
      </c>
      <c r="AK261" s="12">
        <f t="shared" si="179"/>
        <v>8.8111689620405826</v>
      </c>
      <c r="AL261" s="12">
        <f t="shared" si="179"/>
        <v>8.8111689620405826</v>
      </c>
      <c r="AM261" s="12">
        <f t="shared" si="179"/>
        <v>8.8111689620405826</v>
      </c>
      <c r="AN261" s="12">
        <f t="shared" si="179"/>
        <v>8.8111689620405826</v>
      </c>
      <c r="AO261" s="12">
        <f t="shared" si="179"/>
        <v>8.8111689620405826</v>
      </c>
      <c r="AP261" s="12">
        <f t="shared" si="179"/>
        <v>8.8111689620405826</v>
      </c>
      <c r="AQ261" s="12">
        <f t="shared" si="179"/>
        <v>8.8111689620405826</v>
      </c>
      <c r="AR261" s="12">
        <f t="shared" si="179"/>
        <v>8.8111689620405826</v>
      </c>
      <c r="AS261" s="12">
        <f t="shared" si="179"/>
        <v>8.8111689620405826</v>
      </c>
      <c r="AT261" s="12">
        <f t="shared" si="179"/>
        <v>8.8111689620405826</v>
      </c>
      <c r="AU261" s="12">
        <f t="shared" si="179"/>
        <v>8.8111689620405826</v>
      </c>
      <c r="AV261" s="12">
        <f t="shared" si="179"/>
        <v>8.8111689620405826</v>
      </c>
      <c r="AW261" s="12">
        <f t="shared" si="179"/>
        <v>8.8111689620405826</v>
      </c>
      <c r="AX261" s="12">
        <f t="shared" si="179"/>
        <v>8.8111689620405826</v>
      </c>
      <c r="AY261" s="12">
        <f t="shared" si="179"/>
        <v>8.8111689620405826</v>
      </c>
      <c r="AZ261" s="12">
        <f t="shared" si="179"/>
        <v>8.8111689620405826</v>
      </c>
      <c r="BA261" s="12">
        <f t="shared" si="179"/>
        <v>8.8111689620405826</v>
      </c>
      <c r="BB261" s="12">
        <f t="shared" si="179"/>
        <v>8.8111689620405826</v>
      </c>
      <c r="BC261" s="12">
        <f t="shared" si="179"/>
        <v>8.8111689620405826</v>
      </c>
      <c r="BD261" s="12">
        <f t="shared" si="179"/>
        <v>8.8111689620405826</v>
      </c>
      <c r="BE261" s="12">
        <f t="shared" si="179"/>
        <v>8.8111689620405826</v>
      </c>
      <c r="BF261" s="12">
        <f t="shared" si="179"/>
        <v>8.8111689620405826</v>
      </c>
      <c r="BG261" s="12">
        <f t="shared" si="179"/>
        <v>8.8111689620405826</v>
      </c>
      <c r="BH261" s="12">
        <f t="shared" si="179"/>
        <v>8.8111689620405826</v>
      </c>
      <c r="BI261" s="12">
        <f t="shared" si="179"/>
        <v>8.8111689620405826</v>
      </c>
      <c r="BJ261" s="12">
        <f t="shared" si="179"/>
        <v>8.8111689620405826</v>
      </c>
      <c r="BK261" s="12">
        <f t="shared" si="179"/>
        <v>8.8111689620405826</v>
      </c>
    </row>
    <row r="262" spans="1:63">
      <c r="Q262"/>
    </row>
    <row r="263" spans="1:63">
      <c r="Q263"/>
    </row>
    <row r="264" spans="1:63">
      <c r="A264" s="19" t="s">
        <v>163</v>
      </c>
      <c r="B264" s="19"/>
      <c r="C264" s="19"/>
      <c r="Q264"/>
    </row>
    <row r="265" spans="1:63">
      <c r="Q265"/>
    </row>
    <row r="266" spans="1:63">
      <c r="C266">
        <f>C223</f>
        <v>2010</v>
      </c>
      <c r="D266" s="12">
        <f t="shared" ref="D266:P266" si="180">D223</f>
        <v>2011</v>
      </c>
      <c r="E266" s="12">
        <f t="shared" si="180"/>
        <v>2012</v>
      </c>
      <c r="F266" s="12">
        <f t="shared" si="180"/>
        <v>2013</v>
      </c>
      <c r="G266" s="12">
        <f t="shared" si="180"/>
        <v>2014</v>
      </c>
      <c r="H266" s="12">
        <f t="shared" si="180"/>
        <v>2015</v>
      </c>
      <c r="I266" s="12">
        <f t="shared" si="180"/>
        <v>2016</v>
      </c>
      <c r="J266" s="12">
        <f t="shared" si="180"/>
        <v>2017</v>
      </c>
      <c r="K266" s="12">
        <f t="shared" si="180"/>
        <v>2018</v>
      </c>
      <c r="L266" s="12">
        <f t="shared" si="180"/>
        <v>2019</v>
      </c>
      <c r="M266" s="12">
        <f t="shared" si="180"/>
        <v>2020</v>
      </c>
      <c r="N266" s="12">
        <f t="shared" si="180"/>
        <v>2021</v>
      </c>
      <c r="O266" s="12">
        <f t="shared" si="180"/>
        <v>2022</v>
      </c>
      <c r="P266" s="12">
        <f t="shared" si="180"/>
        <v>2023</v>
      </c>
      <c r="Q266" s="12">
        <f t="shared" ref="Q266:BK266" si="181">Q223</f>
        <v>2024</v>
      </c>
      <c r="R266" s="12">
        <f t="shared" si="181"/>
        <v>2025</v>
      </c>
      <c r="S266" s="12">
        <f t="shared" si="181"/>
        <v>2026</v>
      </c>
      <c r="T266" s="12">
        <f t="shared" si="181"/>
        <v>2027</v>
      </c>
      <c r="U266" s="12">
        <f t="shared" si="181"/>
        <v>2028</v>
      </c>
      <c r="V266" s="12">
        <f t="shared" si="181"/>
        <v>2029</v>
      </c>
      <c r="W266" s="12">
        <f t="shared" si="181"/>
        <v>2030</v>
      </c>
      <c r="X266" s="12">
        <f t="shared" si="181"/>
        <v>2031</v>
      </c>
      <c r="Y266" s="12">
        <f t="shared" si="181"/>
        <v>2032</v>
      </c>
      <c r="Z266" s="12">
        <f t="shared" si="181"/>
        <v>2033</v>
      </c>
      <c r="AA266" s="12">
        <f t="shared" si="181"/>
        <v>2034</v>
      </c>
      <c r="AB266" s="12">
        <f t="shared" si="181"/>
        <v>2035</v>
      </c>
      <c r="AC266" s="12">
        <f t="shared" si="181"/>
        <v>2036</v>
      </c>
      <c r="AD266" s="12">
        <f t="shared" si="181"/>
        <v>2037</v>
      </c>
      <c r="AE266" s="12">
        <f t="shared" si="181"/>
        <v>2038</v>
      </c>
      <c r="AF266" s="12">
        <f t="shared" si="181"/>
        <v>2039</v>
      </c>
      <c r="AG266" s="12">
        <f t="shared" si="181"/>
        <v>2040</v>
      </c>
      <c r="AH266" s="12">
        <f t="shared" si="181"/>
        <v>2041</v>
      </c>
      <c r="AI266" s="12">
        <f t="shared" si="181"/>
        <v>2042</v>
      </c>
      <c r="AJ266" s="12">
        <f t="shared" si="181"/>
        <v>2043</v>
      </c>
      <c r="AK266" s="12">
        <f t="shared" si="181"/>
        <v>2044</v>
      </c>
      <c r="AL266" s="12">
        <f t="shared" si="181"/>
        <v>2045</v>
      </c>
      <c r="AM266" s="12">
        <f t="shared" si="181"/>
        <v>2046</v>
      </c>
      <c r="AN266" s="12">
        <f t="shared" si="181"/>
        <v>2047</v>
      </c>
      <c r="AO266" s="12">
        <f t="shared" si="181"/>
        <v>2048</v>
      </c>
      <c r="AP266" s="12">
        <f t="shared" si="181"/>
        <v>2049</v>
      </c>
      <c r="AQ266" s="12">
        <f t="shared" si="181"/>
        <v>2050</v>
      </c>
      <c r="AR266" s="12">
        <f t="shared" si="181"/>
        <v>2051</v>
      </c>
      <c r="AS266" s="12">
        <f t="shared" si="181"/>
        <v>2052</v>
      </c>
      <c r="AT266" s="12">
        <f t="shared" si="181"/>
        <v>2053</v>
      </c>
      <c r="AU266" s="12">
        <f t="shared" si="181"/>
        <v>2054</v>
      </c>
      <c r="AV266" s="12">
        <f t="shared" si="181"/>
        <v>2055</v>
      </c>
      <c r="AW266" s="12">
        <f t="shared" si="181"/>
        <v>2056</v>
      </c>
      <c r="AX266" s="12">
        <f t="shared" si="181"/>
        <v>2057</v>
      </c>
      <c r="AY266" s="12">
        <f t="shared" si="181"/>
        <v>2058</v>
      </c>
      <c r="AZ266" s="12">
        <f t="shared" si="181"/>
        <v>2059</v>
      </c>
      <c r="BA266" s="12">
        <f t="shared" si="181"/>
        <v>2060</v>
      </c>
      <c r="BB266" s="12">
        <f t="shared" si="181"/>
        <v>2061</v>
      </c>
      <c r="BC266" s="12">
        <f t="shared" si="181"/>
        <v>2062</v>
      </c>
      <c r="BD266" s="12">
        <f t="shared" si="181"/>
        <v>2063</v>
      </c>
      <c r="BE266" s="12">
        <f t="shared" si="181"/>
        <v>2064</v>
      </c>
      <c r="BF266" s="12">
        <f t="shared" si="181"/>
        <v>2065</v>
      </c>
      <c r="BG266" s="12">
        <f t="shared" si="181"/>
        <v>2066</v>
      </c>
      <c r="BH266" s="12">
        <f t="shared" si="181"/>
        <v>2067</v>
      </c>
      <c r="BI266" s="12">
        <f t="shared" si="181"/>
        <v>2068</v>
      </c>
      <c r="BJ266" s="12">
        <f t="shared" si="181"/>
        <v>2069</v>
      </c>
      <c r="BK266" s="12">
        <f t="shared" si="181"/>
        <v>2070</v>
      </c>
    </row>
    <row r="267" spans="1:63">
      <c r="A267" t="s">
        <v>164</v>
      </c>
      <c r="C267" s="12">
        <f>2.612*Variables!E2</f>
        <v>2.6120000000000001</v>
      </c>
      <c r="D267" s="12">
        <f>2.262*Variables!E2</f>
        <v>2.262</v>
      </c>
      <c r="E267">
        <f>1.079*Variables!E2</f>
        <v>1.079</v>
      </c>
      <c r="F267">
        <f>1.724*Variables!E2</f>
        <v>1.724</v>
      </c>
      <c r="G267">
        <f>2.2*Variables!E2</f>
        <v>2.2000000000000002</v>
      </c>
      <c r="H267">
        <f>1.6*Variables!E2</f>
        <v>1.6</v>
      </c>
      <c r="I267">
        <f>1.9*Variables!E2</f>
        <v>1.9</v>
      </c>
      <c r="J267">
        <f>1.9*Variables!E2</f>
        <v>1.9</v>
      </c>
      <c r="K267">
        <f>2*Variables!E2</f>
        <v>2</v>
      </c>
      <c r="L267">
        <f>2.05*Variables!E2</f>
        <v>2.0499999999999998</v>
      </c>
      <c r="M267">
        <f>2.1*Variables!E2</f>
        <v>2.1</v>
      </c>
      <c r="N267">
        <f>2.15*Variables!E2</f>
        <v>2.15</v>
      </c>
      <c r="O267">
        <f>2.2*Variables!E2</f>
        <v>2.2000000000000002</v>
      </c>
      <c r="P267" s="12">
        <f>2.2*Variables!E2</f>
        <v>2.2000000000000002</v>
      </c>
      <c r="Q267" s="12">
        <f>2.2*Variables!E2</f>
        <v>2.2000000000000002</v>
      </c>
      <c r="R267" s="12">
        <f>2.2*Variables!E2</f>
        <v>2.2000000000000002</v>
      </c>
      <c r="S267" s="12">
        <f>2.2*Variables!E2</f>
        <v>2.2000000000000002</v>
      </c>
      <c r="T267" s="12">
        <f>2.2*Variables!E2</f>
        <v>2.2000000000000002</v>
      </c>
      <c r="U267" s="12">
        <f>2.2*Variables!E2</f>
        <v>2.2000000000000002</v>
      </c>
      <c r="V267" s="12">
        <f>2.2*Variables!E2</f>
        <v>2.2000000000000002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</row>
    <row r="268" spans="1:63">
      <c r="C268" s="17"/>
      <c r="N268" t="s">
        <v>224</v>
      </c>
      <c r="Q268"/>
      <c r="W268">
        <f>2.2*Variables!E2</f>
        <v>2.2000000000000002</v>
      </c>
      <c r="X268" s="12">
        <f>W268</f>
        <v>2.2000000000000002</v>
      </c>
      <c r="Y268" s="12">
        <f t="shared" ref="Y268:BK268" si="182">X268</f>
        <v>2.2000000000000002</v>
      </c>
      <c r="Z268" s="12">
        <f t="shared" si="182"/>
        <v>2.2000000000000002</v>
      </c>
      <c r="AA268" s="12">
        <f t="shared" si="182"/>
        <v>2.2000000000000002</v>
      </c>
      <c r="AB268" s="12">
        <f t="shared" si="182"/>
        <v>2.2000000000000002</v>
      </c>
      <c r="AC268" s="12">
        <f t="shared" si="182"/>
        <v>2.2000000000000002</v>
      </c>
      <c r="AD268" s="12">
        <f t="shared" si="182"/>
        <v>2.2000000000000002</v>
      </c>
      <c r="AE268" s="12">
        <f t="shared" si="182"/>
        <v>2.2000000000000002</v>
      </c>
      <c r="AF268" s="12">
        <f t="shared" si="182"/>
        <v>2.2000000000000002</v>
      </c>
      <c r="AG268" s="12">
        <f t="shared" si="182"/>
        <v>2.2000000000000002</v>
      </c>
      <c r="AH268" s="12">
        <f t="shared" si="182"/>
        <v>2.2000000000000002</v>
      </c>
      <c r="AI268" s="12">
        <f t="shared" si="182"/>
        <v>2.2000000000000002</v>
      </c>
      <c r="AJ268" s="12">
        <f t="shared" si="182"/>
        <v>2.2000000000000002</v>
      </c>
      <c r="AK268" s="12">
        <f t="shared" si="182"/>
        <v>2.2000000000000002</v>
      </c>
      <c r="AL268" s="12">
        <f t="shared" si="182"/>
        <v>2.2000000000000002</v>
      </c>
      <c r="AM268" s="12">
        <f t="shared" si="182"/>
        <v>2.2000000000000002</v>
      </c>
      <c r="AN268" s="12">
        <f t="shared" si="182"/>
        <v>2.2000000000000002</v>
      </c>
      <c r="AO268" s="12">
        <f t="shared" si="182"/>
        <v>2.2000000000000002</v>
      </c>
      <c r="AP268" s="12">
        <f t="shared" si="182"/>
        <v>2.2000000000000002</v>
      </c>
      <c r="AQ268" s="12">
        <f t="shared" si="182"/>
        <v>2.2000000000000002</v>
      </c>
      <c r="AR268" s="12">
        <f t="shared" si="182"/>
        <v>2.2000000000000002</v>
      </c>
      <c r="AS268" s="12">
        <f t="shared" si="182"/>
        <v>2.2000000000000002</v>
      </c>
      <c r="AT268" s="12">
        <f t="shared" si="182"/>
        <v>2.2000000000000002</v>
      </c>
      <c r="AU268" s="12">
        <f t="shared" si="182"/>
        <v>2.2000000000000002</v>
      </c>
      <c r="AV268" s="12">
        <f t="shared" si="182"/>
        <v>2.2000000000000002</v>
      </c>
      <c r="AW268" s="12">
        <f t="shared" si="182"/>
        <v>2.2000000000000002</v>
      </c>
      <c r="AX268" s="12">
        <f t="shared" si="182"/>
        <v>2.2000000000000002</v>
      </c>
      <c r="AY268" s="12">
        <f t="shared" si="182"/>
        <v>2.2000000000000002</v>
      </c>
      <c r="AZ268" s="12">
        <f t="shared" si="182"/>
        <v>2.2000000000000002</v>
      </c>
      <c r="BA268" s="12">
        <f t="shared" si="182"/>
        <v>2.2000000000000002</v>
      </c>
      <c r="BB268" s="12">
        <f t="shared" si="182"/>
        <v>2.2000000000000002</v>
      </c>
      <c r="BC268" s="12">
        <f t="shared" si="182"/>
        <v>2.2000000000000002</v>
      </c>
      <c r="BD268" s="12">
        <f t="shared" si="182"/>
        <v>2.2000000000000002</v>
      </c>
      <c r="BE268" s="12">
        <f t="shared" si="182"/>
        <v>2.2000000000000002</v>
      </c>
      <c r="BF268" s="12">
        <f t="shared" si="182"/>
        <v>2.2000000000000002</v>
      </c>
      <c r="BG268" s="12">
        <f t="shared" si="182"/>
        <v>2.2000000000000002</v>
      </c>
      <c r="BH268" s="12">
        <f t="shared" si="182"/>
        <v>2.2000000000000002</v>
      </c>
      <c r="BI268" s="12">
        <f t="shared" si="182"/>
        <v>2.2000000000000002</v>
      </c>
      <c r="BJ268" s="12">
        <f t="shared" si="182"/>
        <v>2.2000000000000002</v>
      </c>
      <c r="BK268" s="12">
        <f t="shared" si="182"/>
        <v>2.2000000000000002</v>
      </c>
    </row>
    <row r="269" spans="1:63">
      <c r="Q269"/>
    </row>
    <row r="270" spans="1:63">
      <c r="A270" s="19" t="s">
        <v>167</v>
      </c>
      <c r="Q270"/>
    </row>
    <row r="271" spans="1:63">
      <c r="C271">
        <f>C266</f>
        <v>2010</v>
      </c>
      <c r="D271" s="12">
        <f t="shared" ref="D271:P271" si="183">D266</f>
        <v>2011</v>
      </c>
      <c r="E271" s="12">
        <f t="shared" si="183"/>
        <v>2012</v>
      </c>
      <c r="F271" s="12">
        <f t="shared" si="183"/>
        <v>2013</v>
      </c>
      <c r="G271" s="12">
        <f t="shared" si="183"/>
        <v>2014</v>
      </c>
      <c r="H271" s="12">
        <f t="shared" si="183"/>
        <v>2015</v>
      </c>
      <c r="I271" s="12">
        <f t="shared" si="183"/>
        <v>2016</v>
      </c>
      <c r="J271" s="12">
        <f t="shared" si="183"/>
        <v>2017</v>
      </c>
      <c r="K271" s="12">
        <f t="shared" si="183"/>
        <v>2018</v>
      </c>
      <c r="L271" s="12">
        <f t="shared" si="183"/>
        <v>2019</v>
      </c>
      <c r="M271" s="12">
        <f t="shared" si="183"/>
        <v>2020</v>
      </c>
      <c r="N271" s="12">
        <f t="shared" si="183"/>
        <v>2021</v>
      </c>
      <c r="O271" s="12">
        <f t="shared" si="183"/>
        <v>2022</v>
      </c>
      <c r="P271" s="12">
        <f t="shared" si="183"/>
        <v>2023</v>
      </c>
      <c r="Q271" s="12">
        <f t="shared" ref="Q271:BK271" si="184">Q266</f>
        <v>2024</v>
      </c>
      <c r="R271" s="12">
        <f t="shared" si="184"/>
        <v>2025</v>
      </c>
      <c r="S271" s="12">
        <f t="shared" si="184"/>
        <v>2026</v>
      </c>
      <c r="T271" s="12">
        <f t="shared" si="184"/>
        <v>2027</v>
      </c>
      <c r="U271" s="12">
        <f t="shared" si="184"/>
        <v>2028</v>
      </c>
      <c r="V271" s="12">
        <f t="shared" si="184"/>
        <v>2029</v>
      </c>
      <c r="W271" s="12">
        <f t="shared" si="184"/>
        <v>2030</v>
      </c>
      <c r="X271" s="12">
        <f t="shared" si="184"/>
        <v>2031</v>
      </c>
      <c r="Y271" s="12">
        <f t="shared" si="184"/>
        <v>2032</v>
      </c>
      <c r="Z271" s="12">
        <f t="shared" si="184"/>
        <v>2033</v>
      </c>
      <c r="AA271" s="12">
        <f t="shared" si="184"/>
        <v>2034</v>
      </c>
      <c r="AB271" s="12">
        <f t="shared" si="184"/>
        <v>2035</v>
      </c>
      <c r="AC271" s="12">
        <f t="shared" si="184"/>
        <v>2036</v>
      </c>
      <c r="AD271" s="12">
        <f t="shared" si="184"/>
        <v>2037</v>
      </c>
      <c r="AE271" s="12">
        <f t="shared" si="184"/>
        <v>2038</v>
      </c>
      <c r="AF271" s="12">
        <f t="shared" si="184"/>
        <v>2039</v>
      </c>
      <c r="AG271" s="12">
        <f t="shared" si="184"/>
        <v>2040</v>
      </c>
      <c r="AH271" s="12">
        <f t="shared" si="184"/>
        <v>2041</v>
      </c>
      <c r="AI271" s="12">
        <f t="shared" si="184"/>
        <v>2042</v>
      </c>
      <c r="AJ271" s="12">
        <f t="shared" si="184"/>
        <v>2043</v>
      </c>
      <c r="AK271" s="12">
        <f t="shared" si="184"/>
        <v>2044</v>
      </c>
      <c r="AL271" s="12">
        <f t="shared" si="184"/>
        <v>2045</v>
      </c>
      <c r="AM271" s="12">
        <f t="shared" si="184"/>
        <v>2046</v>
      </c>
      <c r="AN271" s="12">
        <f t="shared" si="184"/>
        <v>2047</v>
      </c>
      <c r="AO271" s="12">
        <f t="shared" si="184"/>
        <v>2048</v>
      </c>
      <c r="AP271" s="12">
        <f t="shared" si="184"/>
        <v>2049</v>
      </c>
      <c r="AQ271" s="12">
        <f t="shared" si="184"/>
        <v>2050</v>
      </c>
      <c r="AR271" s="12">
        <f t="shared" si="184"/>
        <v>2051</v>
      </c>
      <c r="AS271" s="12">
        <f t="shared" si="184"/>
        <v>2052</v>
      </c>
      <c r="AT271" s="12">
        <f t="shared" si="184"/>
        <v>2053</v>
      </c>
      <c r="AU271" s="12">
        <f t="shared" si="184"/>
        <v>2054</v>
      </c>
      <c r="AV271" s="12">
        <f t="shared" si="184"/>
        <v>2055</v>
      </c>
      <c r="AW271" s="12">
        <f t="shared" si="184"/>
        <v>2056</v>
      </c>
      <c r="AX271" s="12">
        <f t="shared" si="184"/>
        <v>2057</v>
      </c>
      <c r="AY271" s="12">
        <f t="shared" si="184"/>
        <v>2058</v>
      </c>
      <c r="AZ271" s="12">
        <f t="shared" si="184"/>
        <v>2059</v>
      </c>
      <c r="BA271" s="12">
        <f t="shared" si="184"/>
        <v>2060</v>
      </c>
      <c r="BB271" s="12">
        <f t="shared" si="184"/>
        <v>2061</v>
      </c>
      <c r="BC271" s="12">
        <f t="shared" si="184"/>
        <v>2062</v>
      </c>
      <c r="BD271" s="12">
        <f t="shared" si="184"/>
        <v>2063</v>
      </c>
      <c r="BE271" s="12">
        <f t="shared" si="184"/>
        <v>2064</v>
      </c>
      <c r="BF271" s="12">
        <f t="shared" si="184"/>
        <v>2065</v>
      </c>
      <c r="BG271" s="12">
        <f t="shared" si="184"/>
        <v>2066</v>
      </c>
      <c r="BH271" s="12">
        <f t="shared" si="184"/>
        <v>2067</v>
      </c>
      <c r="BI271" s="12">
        <f t="shared" si="184"/>
        <v>2068</v>
      </c>
      <c r="BJ271" s="12">
        <f t="shared" si="184"/>
        <v>2069</v>
      </c>
      <c r="BK271" s="12">
        <f t="shared" si="184"/>
        <v>2070</v>
      </c>
    </row>
    <row r="272" spans="1:63">
      <c r="C272">
        <f>1 +C224/100</f>
        <v>1.0489999999999999</v>
      </c>
      <c r="D272">
        <f>C272*(1+D224/100)</f>
        <v>1.0993519999999999</v>
      </c>
      <c r="E272" s="12">
        <f>D272*(1+E224/100)</f>
        <v>1.1334319119999998</v>
      </c>
      <c r="F272" s="12">
        <f t="shared" ref="F272:O272" si="185">E272*(1+F224/100)</f>
        <v>1.1651680055359999</v>
      </c>
      <c r="G272" s="12">
        <f t="shared" si="185"/>
        <v>1.1966275416854717</v>
      </c>
      <c r="H272" s="12">
        <f t="shared" si="185"/>
        <v>1.2361162505610921</v>
      </c>
      <c r="I272" s="12">
        <f>H272*(1+I224/100)</f>
        <v>1.2806164355812915</v>
      </c>
      <c r="J272" s="12">
        <f t="shared" si="185"/>
        <v>1.3292798601333806</v>
      </c>
      <c r="K272" s="12">
        <f t="shared" si="185"/>
        <v>1.3811217746785824</v>
      </c>
      <c r="L272" s="12">
        <f t="shared" si="185"/>
        <v>1.4329138412290294</v>
      </c>
      <c r="M272" s="12">
        <f t="shared" si="185"/>
        <v>1.4844987395132745</v>
      </c>
      <c r="N272" s="12">
        <f t="shared" si="185"/>
        <v>1.5357139460264824</v>
      </c>
      <c r="O272" s="12">
        <f t="shared" si="185"/>
        <v>1.5863925062453561</v>
      </c>
      <c r="P272" s="12">
        <f t="shared" ref="P272:V272" si="186">O272*(1+P224/100)</f>
        <v>1.6387434589514527</v>
      </c>
      <c r="Q272" s="12">
        <f t="shared" si="186"/>
        <v>1.6928219930968504</v>
      </c>
      <c r="R272" s="12">
        <f t="shared" si="186"/>
        <v>1.7486851188690464</v>
      </c>
      <c r="S272" s="12">
        <f t="shared" si="186"/>
        <v>1.8063917277917247</v>
      </c>
      <c r="T272" s="12">
        <f t="shared" si="186"/>
        <v>1.8660026548088515</v>
      </c>
      <c r="U272" s="12">
        <f t="shared" si="186"/>
        <v>1.9275807424175435</v>
      </c>
      <c r="V272" s="12">
        <f t="shared" si="186"/>
        <v>1.9950460684021574</v>
      </c>
      <c r="W272" s="12">
        <f>V272*(1+W268/100)</f>
        <v>2.038937081907005</v>
      </c>
      <c r="X272" s="12">
        <f>W272*(1+X268/100)</f>
        <v>2.0837936977089591</v>
      </c>
      <c r="Y272" s="12">
        <f t="shared" ref="Y272:BK272" si="187">X272*(1+Y268/100)</f>
        <v>2.1296371590585563</v>
      </c>
      <c r="Z272" s="12">
        <f t="shared" si="187"/>
        <v>2.1764891765578445</v>
      </c>
      <c r="AA272" s="12">
        <f t="shared" si="187"/>
        <v>2.224371938442117</v>
      </c>
      <c r="AB272" s="12">
        <f t="shared" si="187"/>
        <v>2.2733081210878434</v>
      </c>
      <c r="AC272" s="12">
        <f>AB272*(1+AC268/100)</f>
        <v>2.323320899751776</v>
      </c>
      <c r="AD272" s="12">
        <f t="shared" si="187"/>
        <v>2.3744339595463151</v>
      </c>
      <c r="AE272" s="12">
        <f t="shared" si="187"/>
        <v>2.426671506656334</v>
      </c>
      <c r="AF272" s="12">
        <f>AE272*(1+AF268/100)</f>
        <v>2.4800582798027735</v>
      </c>
      <c r="AG272" s="12">
        <f t="shared" si="187"/>
        <v>2.5346195619584346</v>
      </c>
      <c r="AH272" s="12">
        <f t="shared" si="187"/>
        <v>2.5903811923215203</v>
      </c>
      <c r="AI272" s="12">
        <f t="shared" si="187"/>
        <v>2.6473695785525937</v>
      </c>
      <c r="AJ272" s="12">
        <f t="shared" si="187"/>
        <v>2.7056117092807508</v>
      </c>
      <c r="AK272" s="12">
        <f t="shared" si="187"/>
        <v>2.7651351668849276</v>
      </c>
      <c r="AL272" s="12">
        <f t="shared" si="187"/>
        <v>2.8259681405563959</v>
      </c>
      <c r="AM272" s="12">
        <f t="shared" si="187"/>
        <v>2.8881394396486368</v>
      </c>
      <c r="AN272" s="12">
        <f t="shared" si="187"/>
        <v>2.9516785073209069</v>
      </c>
      <c r="AO272" s="12">
        <f t="shared" si="187"/>
        <v>3.0166154344819667</v>
      </c>
      <c r="AP272" s="12">
        <f t="shared" si="187"/>
        <v>3.08298097404057</v>
      </c>
      <c r="AQ272" s="12">
        <f t="shared" si="187"/>
        <v>3.1508065554694626</v>
      </c>
      <c r="AR272" s="12">
        <f t="shared" si="187"/>
        <v>3.220124299689791</v>
      </c>
      <c r="AS272" s="12">
        <f t="shared" si="187"/>
        <v>3.2909670342829664</v>
      </c>
      <c r="AT272" s="12">
        <f t="shared" si="187"/>
        <v>3.3633683090371918</v>
      </c>
      <c r="AU272" s="12">
        <f t="shared" si="187"/>
        <v>3.43736241183601</v>
      </c>
      <c r="AV272" s="12">
        <f t="shared" si="187"/>
        <v>3.5129843848964022</v>
      </c>
      <c r="AW272" s="12">
        <f t="shared" si="187"/>
        <v>3.5902700413641231</v>
      </c>
      <c r="AX272" s="12">
        <f t="shared" si="187"/>
        <v>3.6692559822741337</v>
      </c>
      <c r="AY272" s="12">
        <f t="shared" si="187"/>
        <v>3.7499796138841646</v>
      </c>
      <c r="AZ272" s="12">
        <f t="shared" si="187"/>
        <v>3.8324791653896164</v>
      </c>
      <c r="BA272" s="12">
        <f t="shared" si="187"/>
        <v>3.9167937070281882</v>
      </c>
      <c r="BB272" s="12">
        <f t="shared" si="187"/>
        <v>4.0029631685828084</v>
      </c>
      <c r="BC272" s="12">
        <f t="shared" si="187"/>
        <v>4.0910283582916307</v>
      </c>
      <c r="BD272" s="12">
        <f t="shared" si="187"/>
        <v>4.1810309821740468</v>
      </c>
      <c r="BE272" s="12">
        <f t="shared" si="187"/>
        <v>4.2730136637818763</v>
      </c>
      <c r="BF272" s="12">
        <f t="shared" si="187"/>
        <v>4.3670199643850776</v>
      </c>
      <c r="BG272" s="12">
        <f t="shared" si="187"/>
        <v>4.4630944036015494</v>
      </c>
      <c r="BH272" s="12">
        <f t="shared" si="187"/>
        <v>4.5612824804807834</v>
      </c>
      <c r="BI272" s="12">
        <f t="shared" si="187"/>
        <v>4.6616306950513611</v>
      </c>
      <c r="BJ272" s="12">
        <f t="shared" si="187"/>
        <v>4.764186570342491</v>
      </c>
      <c r="BK272" s="12">
        <f t="shared" si="187"/>
        <v>4.868998674890026</v>
      </c>
    </row>
    <row r="273" spans="2:62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R273" s="12"/>
      <c r="S273" s="12"/>
      <c r="T273" s="12"/>
      <c r="U273" s="12"/>
      <c r="V273" s="12"/>
    </row>
    <row r="274" spans="2:62">
      <c r="E274" s="12"/>
      <c r="Q274"/>
    </row>
    <row r="275" spans="2:62">
      <c r="E275" s="12"/>
      <c r="Q275"/>
      <c r="AC275">
        <f>-65000000*Variables!E6</f>
        <v>0</v>
      </c>
      <c r="BD275">
        <f>-65000000*Variables!E6</f>
        <v>0</v>
      </c>
    </row>
    <row r="276" spans="2:62">
      <c r="B276" s="12"/>
      <c r="E276" s="12"/>
      <c r="F276" s="12"/>
      <c r="Q276"/>
      <c r="AC276">
        <f>AC275*AC272</f>
        <v>0</v>
      </c>
      <c r="AF276">
        <f>-65000000*Variables!E6</f>
        <v>0</v>
      </c>
      <c r="BD276">
        <f>BD275*BD272</f>
        <v>0</v>
      </c>
      <c r="BJ276">
        <f>-65000000*Variables!E6</f>
        <v>0</v>
      </c>
    </row>
    <row r="277" spans="2:62">
      <c r="B277" s="12"/>
      <c r="E277" s="12"/>
      <c r="F277" s="12"/>
      <c r="Q277"/>
      <c r="AF277">
        <f>AF276*AF272</f>
        <v>0</v>
      </c>
      <c r="BJ277">
        <f>BJ276*BJ272</f>
        <v>0</v>
      </c>
    </row>
    <row r="278" spans="2:62">
      <c r="B278" s="12"/>
      <c r="E278" s="12"/>
      <c r="F278" s="12"/>
      <c r="Q278"/>
    </row>
    <row r="279" spans="2:62">
      <c r="B279" s="12"/>
      <c r="E279" s="12"/>
      <c r="F279" s="12"/>
      <c r="Q279"/>
    </row>
    <row r="280" spans="2:62">
      <c r="B280" s="12"/>
      <c r="E280" s="12"/>
      <c r="F280" s="12"/>
      <c r="Q280"/>
    </row>
    <row r="281" spans="2:62">
      <c r="B281" s="12"/>
      <c r="E281" s="12"/>
      <c r="F281" s="12"/>
      <c r="Q281"/>
    </row>
    <row r="282" spans="2:62">
      <c r="B282" s="12"/>
      <c r="E282" s="12"/>
      <c r="F282" s="12"/>
      <c r="Q282"/>
    </row>
    <row r="283" spans="2:62">
      <c r="B283" s="12"/>
      <c r="E283" s="12"/>
      <c r="F283" s="12"/>
    </row>
    <row r="284" spans="2:62">
      <c r="E284" s="12"/>
      <c r="F284" s="12"/>
    </row>
    <row r="285" spans="2:62">
      <c r="E285" s="12"/>
      <c r="F285" s="12"/>
    </row>
    <row r="286" spans="2:62">
      <c r="E286" s="12"/>
      <c r="F286" s="12"/>
    </row>
    <row r="287" spans="2:62">
      <c r="E287" s="12"/>
      <c r="F287" s="12"/>
    </row>
    <row r="288" spans="2:62">
      <c r="E288" s="12"/>
      <c r="F288" s="12"/>
    </row>
    <row r="289" spans="5:6">
      <c r="E289" s="12"/>
      <c r="F289" s="12"/>
    </row>
    <row r="290" spans="5:6">
      <c r="F290" s="12"/>
    </row>
    <row r="291" spans="5:6">
      <c r="F291" s="12"/>
    </row>
    <row r="292" spans="5:6">
      <c r="F292" s="12"/>
    </row>
    <row r="293" spans="5:6">
      <c r="F293" s="12"/>
    </row>
    <row r="294" spans="5:6">
      <c r="F294" s="12"/>
    </row>
    <row r="295" spans="5:6">
      <c r="F295" s="12"/>
    </row>
    <row r="296" spans="5:6">
      <c r="F296" s="12"/>
    </row>
    <row r="297" spans="5:6">
      <c r="F297" s="12"/>
    </row>
    <row r="298" spans="5:6">
      <c r="F298" s="12"/>
    </row>
    <row r="299" spans="5:6">
      <c r="F299" s="12"/>
    </row>
    <row r="300" spans="5:6">
      <c r="F300" s="12"/>
    </row>
    <row r="301" spans="5:6">
      <c r="F301" s="12"/>
    </row>
    <row r="302" spans="5:6">
      <c r="F302" s="12"/>
    </row>
    <row r="303" spans="5:6">
      <c r="F303" s="12"/>
    </row>
    <row r="304" spans="5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D99"/>
  <sheetViews>
    <sheetView workbookViewId="0">
      <selection activeCell="AE20" sqref="AE20"/>
    </sheetView>
  </sheetViews>
  <sheetFormatPr defaultRowHeight="14.25"/>
  <cols>
    <col min="11" max="11" width="10.1328125" bestFit="1" customWidth="1"/>
    <col min="26" max="26" width="12" bestFit="1" customWidth="1"/>
    <col min="31" max="31" width="10.59765625" bestFit="1" customWidth="1"/>
    <col min="40" max="40" width="10" bestFit="1" customWidth="1"/>
  </cols>
  <sheetData>
    <row r="1" spans="1:108" ht="39.4">
      <c r="A1" t="s">
        <v>80</v>
      </c>
      <c r="C1">
        <v>2009</v>
      </c>
      <c r="J1" s="5" t="s">
        <v>69</v>
      </c>
      <c r="K1" s="5" t="s">
        <v>70</v>
      </c>
      <c r="L1" s="6" t="s">
        <v>71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76</v>
      </c>
      <c r="R1" s="7" t="s">
        <v>77</v>
      </c>
      <c r="S1" s="7" t="s">
        <v>78</v>
      </c>
      <c r="T1" s="7" t="s">
        <v>79</v>
      </c>
      <c r="W1" s="12" t="s">
        <v>171</v>
      </c>
      <c r="X1" s="12" t="s">
        <v>174</v>
      </c>
      <c r="Y1" s="20" t="s">
        <v>175</v>
      </c>
      <c r="Z1" s="20" t="s">
        <v>176</v>
      </c>
      <c r="AC1" s="19" t="s">
        <v>177</v>
      </c>
      <c r="AD1" s="19"/>
      <c r="AE1" s="19"/>
      <c r="AF1" s="19"/>
      <c r="AJ1" s="19" t="s">
        <v>181</v>
      </c>
      <c r="AK1" s="19"/>
      <c r="AL1" s="19"/>
      <c r="AM1" s="19"/>
      <c r="AN1" s="19"/>
      <c r="AO1" s="19"/>
      <c r="AP1" s="19"/>
    </row>
    <row r="2" spans="1:108">
      <c r="G2" s="12" t="s">
        <v>259</v>
      </c>
      <c r="J2" s="13">
        <v>231230</v>
      </c>
      <c r="K2" s="13">
        <v>480717</v>
      </c>
      <c r="L2" s="13">
        <v>206327</v>
      </c>
      <c r="M2" s="13">
        <v>918274</v>
      </c>
      <c r="N2" s="14">
        <v>231153</v>
      </c>
      <c r="O2" s="14">
        <v>480552</v>
      </c>
      <c r="P2" s="14">
        <v>205856</v>
      </c>
      <c r="Q2" s="14">
        <v>917561</v>
      </c>
      <c r="R2" s="14">
        <v>1835835</v>
      </c>
      <c r="S2" s="14">
        <v>1826011</v>
      </c>
      <c r="T2" s="14">
        <v>178153</v>
      </c>
      <c r="X2" t="s">
        <v>45</v>
      </c>
      <c r="Y2" t="s">
        <v>46</v>
      </c>
      <c r="Z2" t="s">
        <v>47</v>
      </c>
      <c r="AC2" s="12" t="s">
        <v>45</v>
      </c>
      <c r="AD2" s="12" t="s">
        <v>46</v>
      </c>
      <c r="AE2" s="12" t="s">
        <v>47</v>
      </c>
      <c r="AM2" t="s">
        <v>155</v>
      </c>
      <c r="AN2">
        <f>AN3 - 2009</f>
        <v>1</v>
      </c>
      <c r="AO2" s="12">
        <f t="shared" ref="AO2:CV2" si="0">AO3 - 2009</f>
        <v>2</v>
      </c>
      <c r="AP2" s="12">
        <f t="shared" si="0"/>
        <v>3</v>
      </c>
      <c r="AQ2" s="12">
        <f t="shared" si="0"/>
        <v>4</v>
      </c>
      <c r="AR2" s="12">
        <f t="shared" si="0"/>
        <v>5</v>
      </c>
      <c r="AS2" s="12">
        <f t="shared" si="0"/>
        <v>6</v>
      </c>
      <c r="AT2" s="12">
        <f t="shared" si="0"/>
        <v>7</v>
      </c>
      <c r="AU2" s="12">
        <f t="shared" si="0"/>
        <v>8</v>
      </c>
      <c r="AV2" s="12">
        <f t="shared" si="0"/>
        <v>9</v>
      </c>
      <c r="AW2" s="12">
        <f t="shared" si="0"/>
        <v>10</v>
      </c>
      <c r="AX2" s="12">
        <f t="shared" si="0"/>
        <v>11</v>
      </c>
      <c r="AY2" s="12">
        <f t="shared" si="0"/>
        <v>12</v>
      </c>
      <c r="AZ2" s="12">
        <f t="shared" si="0"/>
        <v>13</v>
      </c>
      <c r="BA2" s="12">
        <f t="shared" si="0"/>
        <v>14</v>
      </c>
      <c r="BB2" s="12">
        <f t="shared" si="0"/>
        <v>15</v>
      </c>
      <c r="BC2" s="12">
        <f t="shared" si="0"/>
        <v>16</v>
      </c>
      <c r="BD2" s="12">
        <f t="shared" si="0"/>
        <v>17</v>
      </c>
      <c r="BE2" s="12">
        <f t="shared" si="0"/>
        <v>18</v>
      </c>
      <c r="BF2" s="12">
        <f t="shared" si="0"/>
        <v>19</v>
      </c>
      <c r="BG2" s="12">
        <f t="shared" si="0"/>
        <v>20</v>
      </c>
      <c r="BH2" s="12">
        <f t="shared" si="0"/>
        <v>21</v>
      </c>
      <c r="BI2" s="12">
        <f t="shared" si="0"/>
        <v>22</v>
      </c>
      <c r="BJ2" s="12">
        <f t="shared" si="0"/>
        <v>23</v>
      </c>
      <c r="BK2" s="12">
        <f t="shared" si="0"/>
        <v>24</v>
      </c>
      <c r="BL2" s="12">
        <f t="shared" si="0"/>
        <v>25</v>
      </c>
      <c r="BM2" s="12">
        <f t="shared" si="0"/>
        <v>26</v>
      </c>
      <c r="BN2" s="12">
        <f t="shared" si="0"/>
        <v>27</v>
      </c>
      <c r="BO2" s="12">
        <f t="shared" si="0"/>
        <v>28</v>
      </c>
      <c r="BP2" s="12">
        <f t="shared" si="0"/>
        <v>29</v>
      </c>
      <c r="BQ2" s="12">
        <f t="shared" si="0"/>
        <v>30</v>
      </c>
      <c r="BR2" s="12">
        <f t="shared" si="0"/>
        <v>31</v>
      </c>
      <c r="BS2" s="12">
        <f t="shared" si="0"/>
        <v>32</v>
      </c>
      <c r="BT2" s="12">
        <f t="shared" si="0"/>
        <v>33</v>
      </c>
      <c r="BU2" s="12">
        <f t="shared" si="0"/>
        <v>34</v>
      </c>
      <c r="BV2" s="12">
        <f t="shared" si="0"/>
        <v>35</v>
      </c>
      <c r="BW2" s="12">
        <f t="shared" si="0"/>
        <v>36</v>
      </c>
      <c r="BX2" s="12">
        <f t="shared" si="0"/>
        <v>37</v>
      </c>
      <c r="BY2" s="12">
        <f t="shared" si="0"/>
        <v>38</v>
      </c>
      <c r="BZ2" s="12">
        <f t="shared" si="0"/>
        <v>39</v>
      </c>
      <c r="CA2" s="12">
        <f t="shared" si="0"/>
        <v>40</v>
      </c>
      <c r="CB2" s="12">
        <f t="shared" si="0"/>
        <v>41</v>
      </c>
      <c r="CC2" s="12">
        <f t="shared" si="0"/>
        <v>42</v>
      </c>
      <c r="CD2" s="12">
        <f t="shared" si="0"/>
        <v>43</v>
      </c>
      <c r="CE2" s="12">
        <f t="shared" si="0"/>
        <v>44</v>
      </c>
      <c r="CF2" s="12">
        <f t="shared" si="0"/>
        <v>45</v>
      </c>
      <c r="CG2" s="12">
        <f t="shared" si="0"/>
        <v>46</v>
      </c>
      <c r="CH2" s="12">
        <f t="shared" si="0"/>
        <v>47</v>
      </c>
      <c r="CI2" s="12">
        <f t="shared" si="0"/>
        <v>48</v>
      </c>
      <c r="CJ2" s="12">
        <f t="shared" si="0"/>
        <v>49</v>
      </c>
      <c r="CK2" s="12">
        <f t="shared" si="0"/>
        <v>50</v>
      </c>
      <c r="CL2" s="12">
        <f t="shared" si="0"/>
        <v>51</v>
      </c>
      <c r="CM2" s="12">
        <f t="shared" si="0"/>
        <v>52</v>
      </c>
      <c r="CN2" s="12">
        <f t="shared" si="0"/>
        <v>53</v>
      </c>
      <c r="CO2" s="12">
        <f t="shared" si="0"/>
        <v>54</v>
      </c>
      <c r="CP2" s="12">
        <f t="shared" si="0"/>
        <v>55</v>
      </c>
      <c r="CQ2" s="12">
        <f t="shared" si="0"/>
        <v>56</v>
      </c>
      <c r="CR2" s="12">
        <f t="shared" si="0"/>
        <v>57</v>
      </c>
      <c r="CS2" s="12">
        <f t="shared" si="0"/>
        <v>58</v>
      </c>
      <c r="CT2" s="12">
        <f t="shared" si="0"/>
        <v>59</v>
      </c>
      <c r="CU2" s="12">
        <f t="shared" si="0"/>
        <v>60</v>
      </c>
      <c r="CV2" s="12">
        <f t="shared" si="0"/>
        <v>61</v>
      </c>
    </row>
    <row r="3" spans="1:108">
      <c r="G3" s="12" t="s">
        <v>260</v>
      </c>
      <c r="J3" s="13">
        <v>269575</v>
      </c>
      <c r="K3" s="13">
        <v>595143</v>
      </c>
      <c r="L3" s="13">
        <v>275379</v>
      </c>
      <c r="M3" s="13">
        <v>1140097</v>
      </c>
      <c r="N3" s="14">
        <v>269653</v>
      </c>
      <c r="O3" s="14">
        <v>595308</v>
      </c>
      <c r="P3" s="14">
        <v>275850</v>
      </c>
      <c r="Q3" s="14">
        <v>1140811</v>
      </c>
      <c r="R3" s="14">
        <v>2280908</v>
      </c>
      <c r="S3" s="14">
        <v>2281128</v>
      </c>
      <c r="T3" s="14">
        <v>24297</v>
      </c>
      <c r="W3" t="s">
        <v>172</v>
      </c>
      <c r="X3">
        <v>4.7</v>
      </c>
      <c r="Y3">
        <v>9.6999999999999993</v>
      </c>
      <c r="Z3">
        <v>53.4</v>
      </c>
      <c r="AB3" s="12" t="s">
        <v>172</v>
      </c>
      <c r="AC3">
        <f>100 - AC4-AC5</f>
        <v>45.192307692307693</v>
      </c>
      <c r="AD3" s="12">
        <f>100 - AD4-AD5</f>
        <v>30.218068535825537</v>
      </c>
      <c r="AE3" s="12">
        <f>100 - AE4-AE5</f>
        <v>92.869565217391298</v>
      </c>
      <c r="AJ3" t="s">
        <v>47</v>
      </c>
      <c r="AN3">
        <v>2010</v>
      </c>
      <c r="AO3">
        <f>AN3 +1</f>
        <v>2011</v>
      </c>
      <c r="AP3" s="12">
        <f t="shared" ref="AP3:CV3" si="1">AO3 +1</f>
        <v>2012</v>
      </c>
      <c r="AQ3" s="12">
        <f t="shared" si="1"/>
        <v>2013</v>
      </c>
      <c r="AR3" s="12">
        <f t="shared" si="1"/>
        <v>2014</v>
      </c>
      <c r="AS3" s="12">
        <f t="shared" si="1"/>
        <v>2015</v>
      </c>
      <c r="AT3" s="12">
        <f t="shared" si="1"/>
        <v>2016</v>
      </c>
      <c r="AU3" s="12">
        <f t="shared" si="1"/>
        <v>2017</v>
      </c>
      <c r="AV3" s="12">
        <f t="shared" si="1"/>
        <v>2018</v>
      </c>
      <c r="AW3" s="12">
        <f t="shared" si="1"/>
        <v>2019</v>
      </c>
      <c r="AX3" s="12">
        <f t="shared" si="1"/>
        <v>2020</v>
      </c>
      <c r="AY3" s="12">
        <f t="shared" si="1"/>
        <v>2021</v>
      </c>
      <c r="AZ3" s="12">
        <f t="shared" si="1"/>
        <v>2022</v>
      </c>
      <c r="BA3" s="12">
        <f t="shared" si="1"/>
        <v>2023</v>
      </c>
      <c r="BB3" s="12">
        <f t="shared" si="1"/>
        <v>2024</v>
      </c>
      <c r="BC3" s="12">
        <f t="shared" si="1"/>
        <v>2025</v>
      </c>
      <c r="BD3" s="12">
        <f t="shared" si="1"/>
        <v>2026</v>
      </c>
      <c r="BE3" s="12">
        <f t="shared" si="1"/>
        <v>2027</v>
      </c>
      <c r="BF3" s="12">
        <f t="shared" si="1"/>
        <v>2028</v>
      </c>
      <c r="BG3" s="12">
        <f t="shared" si="1"/>
        <v>2029</v>
      </c>
      <c r="BH3" s="12">
        <f t="shared" si="1"/>
        <v>2030</v>
      </c>
      <c r="BI3" s="12">
        <f t="shared" si="1"/>
        <v>2031</v>
      </c>
      <c r="BJ3" s="12">
        <f t="shared" si="1"/>
        <v>2032</v>
      </c>
      <c r="BK3" s="12">
        <f t="shared" si="1"/>
        <v>2033</v>
      </c>
      <c r="BL3" s="12">
        <f t="shared" si="1"/>
        <v>2034</v>
      </c>
      <c r="BM3" s="12">
        <f t="shared" si="1"/>
        <v>2035</v>
      </c>
      <c r="BN3" s="12">
        <f t="shared" si="1"/>
        <v>2036</v>
      </c>
      <c r="BO3" s="12">
        <f t="shared" si="1"/>
        <v>2037</v>
      </c>
      <c r="BP3" s="12">
        <f t="shared" si="1"/>
        <v>2038</v>
      </c>
      <c r="BQ3" s="12">
        <f t="shared" si="1"/>
        <v>2039</v>
      </c>
      <c r="BR3" s="12">
        <f t="shared" si="1"/>
        <v>2040</v>
      </c>
      <c r="BS3" s="12">
        <f t="shared" si="1"/>
        <v>2041</v>
      </c>
      <c r="BT3" s="12">
        <f t="shared" si="1"/>
        <v>2042</v>
      </c>
      <c r="BU3" s="12">
        <f t="shared" si="1"/>
        <v>2043</v>
      </c>
      <c r="BV3" s="12">
        <f t="shared" si="1"/>
        <v>2044</v>
      </c>
      <c r="BW3" s="12">
        <f t="shared" si="1"/>
        <v>2045</v>
      </c>
      <c r="BX3" s="12">
        <f t="shared" si="1"/>
        <v>2046</v>
      </c>
      <c r="BY3" s="12">
        <f t="shared" si="1"/>
        <v>2047</v>
      </c>
      <c r="BZ3" s="12">
        <f t="shared" si="1"/>
        <v>2048</v>
      </c>
      <c r="CA3" s="12">
        <f t="shared" si="1"/>
        <v>2049</v>
      </c>
      <c r="CB3" s="12">
        <f t="shared" si="1"/>
        <v>2050</v>
      </c>
      <c r="CC3" s="12">
        <f t="shared" si="1"/>
        <v>2051</v>
      </c>
      <c r="CD3" s="12">
        <f t="shared" si="1"/>
        <v>2052</v>
      </c>
      <c r="CE3" s="12">
        <f t="shared" si="1"/>
        <v>2053</v>
      </c>
      <c r="CF3" s="12">
        <f t="shared" si="1"/>
        <v>2054</v>
      </c>
      <c r="CG3" s="12">
        <f>CF3 +1</f>
        <v>2055</v>
      </c>
      <c r="CH3" s="12">
        <f t="shared" si="1"/>
        <v>2056</v>
      </c>
      <c r="CI3" s="12">
        <f t="shared" si="1"/>
        <v>2057</v>
      </c>
      <c r="CJ3" s="12">
        <f t="shared" si="1"/>
        <v>2058</v>
      </c>
      <c r="CK3" s="12">
        <f t="shared" si="1"/>
        <v>2059</v>
      </c>
      <c r="CL3" s="12">
        <f t="shared" si="1"/>
        <v>2060</v>
      </c>
      <c r="CM3" s="12">
        <f t="shared" si="1"/>
        <v>2061</v>
      </c>
      <c r="CN3" s="12">
        <f t="shared" si="1"/>
        <v>2062</v>
      </c>
      <c r="CO3" s="12">
        <f t="shared" si="1"/>
        <v>2063</v>
      </c>
      <c r="CP3" s="12">
        <f t="shared" si="1"/>
        <v>2064</v>
      </c>
      <c r="CQ3" s="12">
        <f t="shared" si="1"/>
        <v>2065</v>
      </c>
      <c r="CR3" s="12">
        <f t="shared" si="1"/>
        <v>2066</v>
      </c>
      <c r="CS3" s="12">
        <f t="shared" si="1"/>
        <v>2067</v>
      </c>
      <c r="CT3" s="12">
        <f t="shared" si="1"/>
        <v>2068</v>
      </c>
      <c r="CU3" s="12">
        <f t="shared" si="1"/>
        <v>2069</v>
      </c>
      <c r="CV3" s="12">
        <f t="shared" si="1"/>
        <v>2070</v>
      </c>
      <c r="CW3" s="12"/>
      <c r="CX3" s="12"/>
      <c r="CY3" s="12"/>
      <c r="CZ3" s="12"/>
      <c r="DA3" s="12"/>
      <c r="DB3" s="12"/>
      <c r="DC3" s="12"/>
      <c r="DD3" s="12"/>
    </row>
    <row r="4" spans="1:108">
      <c r="G4" s="12" t="s">
        <v>261</v>
      </c>
      <c r="J4" s="13">
        <v>271362</v>
      </c>
      <c r="K4" s="13">
        <v>362603</v>
      </c>
      <c r="L4" s="13">
        <v>108956</v>
      </c>
      <c r="M4" s="13">
        <v>742921</v>
      </c>
      <c r="N4" s="14">
        <v>271362</v>
      </c>
      <c r="O4" s="14">
        <v>362603</v>
      </c>
      <c r="P4" s="14">
        <v>108956</v>
      </c>
      <c r="Q4" s="14">
        <v>742921</v>
      </c>
      <c r="R4" s="14">
        <v>1485842</v>
      </c>
      <c r="S4" s="14">
        <v>1557636</v>
      </c>
      <c r="T4" s="14">
        <v>98763</v>
      </c>
      <c r="W4" t="s">
        <v>173</v>
      </c>
      <c r="X4">
        <v>2.6</v>
      </c>
      <c r="Y4">
        <v>6.7</v>
      </c>
      <c r="Z4">
        <v>2.4</v>
      </c>
      <c r="AA4" s="12"/>
      <c r="AB4" s="12" t="s">
        <v>173</v>
      </c>
      <c r="AC4" s="12">
        <f>X4*100/X6*Variables!E23</f>
        <v>25</v>
      </c>
      <c r="AD4" s="12">
        <f>Y4*100/Y6*Variables!E23</f>
        <v>20.872274143302185</v>
      </c>
      <c r="AE4" s="12">
        <f>Z4*100/Z6*Variables!E23</f>
        <v>4.1739130434782608</v>
      </c>
      <c r="AF4" s="12"/>
      <c r="AJ4" s="12" t="s">
        <v>259</v>
      </c>
      <c r="AN4">
        <f>AA47*Variables!E26</f>
        <v>323294.51982930629</v>
      </c>
      <c r="AO4">
        <f>AN4*(1 + Tickets!D$267/100)</f>
        <v>330607.44186784525</v>
      </c>
      <c r="AP4" s="12">
        <f>AO4*(1 + Tickets!E$267/100)</f>
        <v>334174.69616559934</v>
      </c>
      <c r="AQ4" s="12">
        <f>AP4*(1 + Tickets!F$267/100)</f>
        <v>339935.86792749423</v>
      </c>
      <c r="AR4" s="12">
        <f>AQ4*(1 + Tickets!G$267/100)</f>
        <v>347414.45702189911</v>
      </c>
      <c r="AS4" s="12">
        <f>AR4*(1 + Tickets!H$267/100)</f>
        <v>352973.08833424951</v>
      </c>
      <c r="AT4" s="12">
        <f>AS4*(1 + Tickets!I$267/100)</f>
        <v>359679.5770126002</v>
      </c>
      <c r="AU4" s="12">
        <f>AT4*(1 + Tickets!J$267/100)</f>
        <v>366513.48897583957</v>
      </c>
      <c r="AV4" s="12">
        <f>AU4*(1 + Tickets!K$267/100)</f>
        <v>373843.75875535636</v>
      </c>
      <c r="AW4" s="12">
        <f>AV4*(1 + Tickets!L$267/100)</f>
        <v>381507.55580984114</v>
      </c>
      <c r="AX4" s="12">
        <f>AW4*(1 + Tickets!M$267/100)</f>
        <v>389519.21448184777</v>
      </c>
      <c r="AY4" s="12">
        <f>AX4*(1 + Tickets!N$267/100)</f>
        <v>397893.87759320752</v>
      </c>
      <c r="AZ4" s="12">
        <f>AY4*(1 + Tickets!O$267/100)</f>
        <v>406647.54290025809</v>
      </c>
      <c r="BA4" s="12">
        <f>AZ4*(1 + Tickets!P$267/100)</f>
        <v>415593.78884406376</v>
      </c>
      <c r="BB4" s="12">
        <f>BA4*(1 + Tickets!Q$267/100)</f>
        <v>424736.85219863319</v>
      </c>
      <c r="BC4" s="12">
        <f>BB4*(1 + Tickets!R$267/100)</f>
        <v>434081.06294700311</v>
      </c>
      <c r="BD4" s="12">
        <f>BC4*(1 + Tickets!S$267/100)</f>
        <v>443630.84633183718</v>
      </c>
      <c r="BE4" s="12">
        <f>BD4*(1 + Tickets!T$267/100)</f>
        <v>453390.72495113761</v>
      </c>
      <c r="BF4" s="12">
        <f>BE4*(1 + Tickets!U$267/100)</f>
        <v>463365.32090006262</v>
      </c>
      <c r="BG4" s="12">
        <f>BF4*(1 + Tickets!V$267/100)</f>
        <v>473559.35795986402</v>
      </c>
      <c r="BH4" s="12">
        <f>BG4*(1 + Tickets!W$267/100)</f>
        <v>473559.35795986402</v>
      </c>
      <c r="BI4" s="12">
        <f>BH4*(1 + Tickets!X$267/100)</f>
        <v>473559.35795986402</v>
      </c>
      <c r="BJ4" s="12">
        <f>BI4*(1 + Tickets!Y$267/100)</f>
        <v>473559.35795986402</v>
      </c>
      <c r="BK4" s="12">
        <f>BJ4*(1 + Tickets!Z$267/100)</f>
        <v>473559.35795986402</v>
      </c>
      <c r="BL4" s="12">
        <f>BK4*(1 + Tickets!AA$267/100)</f>
        <v>473559.35795986402</v>
      </c>
      <c r="BM4" s="12">
        <f>BL4*(1 + Tickets!AB$267/100)</f>
        <v>473559.35795986402</v>
      </c>
      <c r="BN4" s="12">
        <f>BM4*(1 + Tickets!AC$267/100)</f>
        <v>473559.35795986402</v>
      </c>
      <c r="BO4" s="12">
        <f>BN4*(1 + Tickets!AD$267/100)</f>
        <v>473559.35795986402</v>
      </c>
      <c r="BP4" s="12">
        <f>BO4*(1 + Tickets!AE$267/100)</f>
        <v>473559.35795986402</v>
      </c>
      <c r="BQ4" s="12">
        <f>BP4*(1 + Tickets!AF$267/100)</f>
        <v>473559.35795986402</v>
      </c>
      <c r="BR4" s="12">
        <f>BQ4*(1 + Tickets!AG$267/100)</f>
        <v>473559.35795986402</v>
      </c>
      <c r="BS4" s="12">
        <f>BR4*(1 + Tickets!AH$267/100)</f>
        <v>473559.35795986402</v>
      </c>
      <c r="BT4" s="12">
        <f>BS4*(1 + Tickets!AI$267/100)</f>
        <v>473559.35795986402</v>
      </c>
      <c r="BU4" s="12">
        <f>BT4*(1 + Tickets!AJ$267/100)</f>
        <v>473559.35795986402</v>
      </c>
      <c r="BV4" s="12">
        <f>BU4*(1 + Tickets!AK$267/100)</f>
        <v>473559.35795986402</v>
      </c>
      <c r="BW4" s="12">
        <f>BV4*(1 + Tickets!AL$267/100)</f>
        <v>473559.35795986402</v>
      </c>
      <c r="BX4" s="12">
        <f>BW4*(1 + Tickets!AM$267/100)</f>
        <v>473559.35795986402</v>
      </c>
      <c r="BY4" s="12">
        <f>BX4*(1 + Tickets!AN$267/100)</f>
        <v>473559.35795986402</v>
      </c>
      <c r="BZ4" s="12">
        <f>BY4*(1 + Tickets!AO$267/100)</f>
        <v>473559.35795986402</v>
      </c>
      <c r="CA4" s="12">
        <f>BZ4*(1 + Tickets!AP$267/100)</f>
        <v>473559.35795986402</v>
      </c>
      <c r="CB4" s="12">
        <f>CA4*(1 + Tickets!AQ$267/100)</f>
        <v>473559.35795986402</v>
      </c>
      <c r="CC4" s="12">
        <f>CB4*(1 + Tickets!AR$267/100)</f>
        <v>473559.35795986402</v>
      </c>
      <c r="CD4" s="12">
        <f>CC4*(1 + Tickets!AS$267/100)</f>
        <v>473559.35795986402</v>
      </c>
      <c r="CE4" s="12">
        <f>CD4*(1 + Tickets!AT$267/100)</f>
        <v>473559.35795986402</v>
      </c>
      <c r="CF4" s="12">
        <f>CE4*(1 + Tickets!AU$267/100)</f>
        <v>473559.35795986402</v>
      </c>
      <c r="CG4" s="12">
        <f>CF4*(1 + Tickets!AV$267/100)</f>
        <v>473559.35795986402</v>
      </c>
      <c r="CH4" s="12">
        <f>CG4*(1 + Tickets!AW$267/100)</f>
        <v>473559.35795986402</v>
      </c>
      <c r="CI4" s="12">
        <f>CH4*(1 + Tickets!AX$267/100)</f>
        <v>473559.35795986402</v>
      </c>
      <c r="CJ4" s="12">
        <f>CI4*(1 + Tickets!AY$267/100)</f>
        <v>473559.35795986402</v>
      </c>
      <c r="CK4" s="12">
        <f>CJ4*(1 + Tickets!AZ$267/100)</f>
        <v>473559.35795986402</v>
      </c>
      <c r="CL4" s="12">
        <f>CK4*(1 + Tickets!BA$267/100)</f>
        <v>473559.35795986402</v>
      </c>
      <c r="CM4" s="12">
        <f>CL4*(1 + Tickets!BB$267/100)</f>
        <v>473559.35795986402</v>
      </c>
      <c r="CN4" s="12">
        <f>CM4*(1 + Tickets!BC$267/100)</f>
        <v>473559.35795986402</v>
      </c>
      <c r="CO4" s="12">
        <f>CN4*(1 + Tickets!BD$267/100)</f>
        <v>473559.35795986402</v>
      </c>
      <c r="CP4" s="12">
        <f>CO4*(1 + Tickets!BE$267/100)</f>
        <v>473559.35795986402</v>
      </c>
      <c r="CQ4" s="12">
        <f>CP4*(1 + Tickets!BF$267/100)</f>
        <v>473559.35795986402</v>
      </c>
      <c r="CR4" s="12">
        <f>CQ4*(1 + Tickets!BG$267/100)</f>
        <v>473559.35795986402</v>
      </c>
      <c r="CS4" s="12">
        <f>CR4*(1 + Tickets!BH$267/100)</f>
        <v>473559.35795986402</v>
      </c>
      <c r="CT4" s="12">
        <f>CS4*(1 + Tickets!BI$267/100)</f>
        <v>473559.35795986402</v>
      </c>
      <c r="CU4" s="12">
        <f>CT4*(1 + Tickets!BJ$267/100)</f>
        <v>473559.35795986402</v>
      </c>
      <c r="CV4" s="12">
        <f>CU4*(1 + Tickets!BK$267/100)</f>
        <v>473559.35795986402</v>
      </c>
    </row>
    <row r="5" spans="1:108">
      <c r="G5" s="12" t="s">
        <v>262</v>
      </c>
      <c r="J5" s="13">
        <v>281864</v>
      </c>
      <c r="K5" s="13">
        <v>408956</v>
      </c>
      <c r="L5" s="13">
        <v>371317</v>
      </c>
      <c r="M5" s="13">
        <v>1062137</v>
      </c>
      <c r="N5" s="14">
        <v>281864</v>
      </c>
      <c r="O5" s="14">
        <v>408956</v>
      </c>
      <c r="P5" s="14">
        <v>371317</v>
      </c>
      <c r="Q5" s="14">
        <v>1062137</v>
      </c>
      <c r="R5" s="14">
        <v>2124274</v>
      </c>
      <c r="S5" s="14">
        <v>2184698</v>
      </c>
      <c r="T5" s="14">
        <v>278199</v>
      </c>
      <c r="W5" t="s">
        <v>170</v>
      </c>
      <c r="X5">
        <v>3.1</v>
      </c>
      <c r="Y5">
        <v>15.7</v>
      </c>
      <c r="Z5">
        <v>1.7</v>
      </c>
      <c r="AA5" s="12"/>
      <c r="AB5" s="12" t="s">
        <v>170</v>
      </c>
      <c r="AC5" s="12">
        <f>X5*100/X6*Variables!E24</f>
        <v>29.807692307692307</v>
      </c>
      <c r="AD5" s="12">
        <f>Y5*100/Y6*Variables!E24</f>
        <v>48.909657320872284</v>
      </c>
      <c r="AE5" s="12">
        <f>Z5*100/Z6*Variables!E24</f>
        <v>2.9565217391304346</v>
      </c>
      <c r="AF5" s="12"/>
      <c r="AJ5" s="12" t="s">
        <v>260</v>
      </c>
      <c r="AN5" s="12">
        <f>AA48*Variables!E26</f>
        <v>422838.91780346807</v>
      </c>
      <c r="AO5" s="12">
        <f>AN5*(1 + Tickets!D$267/100)</f>
        <v>432403.53412418254</v>
      </c>
      <c r="AP5" s="12">
        <f>AO5*(1 + Tickets!E$267/100)</f>
        <v>437069.16825738252</v>
      </c>
      <c r="AQ5" s="12">
        <f>AP5*(1 + Tickets!F$267/100)</f>
        <v>444604.24071813974</v>
      </c>
      <c r="AR5" s="12">
        <f>AQ5*(1 + Tickets!G$267/100)</f>
        <v>454385.5340139388</v>
      </c>
      <c r="AS5" s="12">
        <f>AR5*(1 + Tickets!H$267/100)</f>
        <v>461655.70255816181</v>
      </c>
      <c r="AT5" s="12">
        <f>AS5*(1 + Tickets!I$267/100)</f>
        <v>470427.16090676683</v>
      </c>
      <c r="AU5" s="12">
        <f>AT5*(1 + Tickets!J$267/100)</f>
        <v>479365.27696399536</v>
      </c>
      <c r="AV5" s="12">
        <f>AU5*(1 + Tickets!K$267/100)</f>
        <v>488952.58250327531</v>
      </c>
      <c r="AW5" s="12">
        <f>AV5*(1 + Tickets!L$267/100)</f>
        <v>498976.11044459243</v>
      </c>
      <c r="AX5" s="12">
        <f>AW5*(1 + Tickets!M$267/100)</f>
        <v>509454.60876392882</v>
      </c>
      <c r="AY5" s="12">
        <f>AX5*(1 + Tickets!N$267/100)</f>
        <v>520407.88285235333</v>
      </c>
      <c r="AZ5" s="12">
        <f>AY5*(1 + Tickets!O$267/100)</f>
        <v>531856.85627510515</v>
      </c>
      <c r="BA5" s="12">
        <f>AZ5*(1 + Tickets!P$267/100)</f>
        <v>543557.70711315749</v>
      </c>
      <c r="BB5" s="12">
        <f>BA5*(1 + Tickets!Q$267/100)</f>
        <v>555515.97666964692</v>
      </c>
      <c r="BC5" s="12">
        <f>BB5*(1 + Tickets!R$267/100)</f>
        <v>567737.32815637917</v>
      </c>
      <c r="BD5" s="12">
        <f>BC5*(1 + Tickets!S$267/100)</f>
        <v>580227.54937581951</v>
      </c>
      <c r="BE5" s="12">
        <f>BD5*(1 + Tickets!T$267/100)</f>
        <v>592992.5554620875</v>
      </c>
      <c r="BF5" s="12">
        <f>BE5*(1 + Tickets!U$267/100)</f>
        <v>606038.39168225345</v>
      </c>
      <c r="BG5" s="12">
        <f>BF5*(1 + Tickets!V$267/100)</f>
        <v>619371.23629926308</v>
      </c>
      <c r="BH5" s="12">
        <f>BG5*(1 + Tickets!W$267/100)</f>
        <v>619371.23629926308</v>
      </c>
      <c r="BI5" s="12">
        <f>BH5*(1 + Tickets!X$267/100)</f>
        <v>619371.23629926308</v>
      </c>
      <c r="BJ5" s="12">
        <f>BI5*(1 + Tickets!Y$267/100)</f>
        <v>619371.23629926308</v>
      </c>
      <c r="BK5" s="12">
        <f>BJ5*(1 + Tickets!Z$267/100)</f>
        <v>619371.23629926308</v>
      </c>
      <c r="BL5" s="12">
        <f>BK5*(1 + Tickets!AA$267/100)</f>
        <v>619371.23629926308</v>
      </c>
      <c r="BM5" s="12">
        <f>BL5*(1 + Tickets!AB$267/100)</f>
        <v>619371.23629926308</v>
      </c>
      <c r="BN5" s="12">
        <f>BM5*(1 + Tickets!AC$267/100)</f>
        <v>619371.23629926308</v>
      </c>
      <c r="BO5" s="12">
        <f>BN5*(1 + Tickets!AD$267/100)</f>
        <v>619371.23629926308</v>
      </c>
      <c r="BP5" s="12">
        <f>BO5*(1 + Tickets!AE$267/100)</f>
        <v>619371.23629926308</v>
      </c>
      <c r="BQ5" s="12">
        <f>BP5*(1 + Tickets!AF$267/100)</f>
        <v>619371.23629926308</v>
      </c>
      <c r="BR5" s="12">
        <f>BQ5*(1 + Tickets!AG$267/100)</f>
        <v>619371.23629926308</v>
      </c>
      <c r="BS5" s="12">
        <f>BR5*(1 + Tickets!AH$267/100)</f>
        <v>619371.23629926308</v>
      </c>
      <c r="BT5" s="12">
        <f>BS5*(1 + Tickets!AI$267/100)</f>
        <v>619371.23629926308</v>
      </c>
      <c r="BU5" s="12">
        <f>BT5*(1 + Tickets!AJ$267/100)</f>
        <v>619371.23629926308</v>
      </c>
      <c r="BV5" s="12">
        <f>BU5*(1 + Tickets!AK$267/100)</f>
        <v>619371.23629926308</v>
      </c>
      <c r="BW5" s="12">
        <f>BV5*(1 + Tickets!AL$267/100)</f>
        <v>619371.23629926308</v>
      </c>
      <c r="BX5" s="12">
        <f>BW5*(1 + Tickets!AM$267/100)</f>
        <v>619371.23629926308</v>
      </c>
      <c r="BY5" s="12">
        <f>BX5*(1 + Tickets!AN$267/100)</f>
        <v>619371.23629926308</v>
      </c>
      <c r="BZ5" s="12">
        <f>BY5*(1 + Tickets!AO$267/100)</f>
        <v>619371.23629926308</v>
      </c>
      <c r="CA5" s="12">
        <f>BZ5*(1 + Tickets!AP$267/100)</f>
        <v>619371.23629926308</v>
      </c>
      <c r="CB5" s="12">
        <f>CA5*(1 + Tickets!AQ$267/100)</f>
        <v>619371.23629926308</v>
      </c>
      <c r="CC5" s="12">
        <f>CB5*(1 + Tickets!AR$267/100)</f>
        <v>619371.23629926308</v>
      </c>
      <c r="CD5" s="12">
        <f>CC5*(1 + Tickets!AS$267/100)</f>
        <v>619371.23629926308</v>
      </c>
      <c r="CE5" s="12">
        <f>CD5*(1 + Tickets!AT$267/100)</f>
        <v>619371.23629926308</v>
      </c>
      <c r="CF5" s="12">
        <f>CE5*(1 + Tickets!AU$267/100)</f>
        <v>619371.23629926308</v>
      </c>
      <c r="CG5" s="12">
        <f>CF5*(1 + Tickets!AV$267/100)</f>
        <v>619371.23629926308</v>
      </c>
      <c r="CH5" s="12">
        <f>CG5*(1 + Tickets!AW$267/100)</f>
        <v>619371.23629926308</v>
      </c>
      <c r="CI5" s="12">
        <f>CH5*(1 + Tickets!AX$267/100)</f>
        <v>619371.23629926308</v>
      </c>
      <c r="CJ5" s="12">
        <f>CI5*(1 + Tickets!AY$267/100)</f>
        <v>619371.23629926308</v>
      </c>
      <c r="CK5" s="12">
        <f>CJ5*(1 + Tickets!AZ$267/100)</f>
        <v>619371.23629926308</v>
      </c>
      <c r="CL5" s="12">
        <f>CK5*(1 + Tickets!BA$267/100)</f>
        <v>619371.23629926308</v>
      </c>
      <c r="CM5" s="12">
        <f>CL5*(1 + Tickets!BB$267/100)</f>
        <v>619371.23629926308</v>
      </c>
      <c r="CN5" s="12">
        <f>CM5*(1 + Tickets!BC$267/100)</f>
        <v>619371.23629926308</v>
      </c>
      <c r="CO5" s="12">
        <f>CN5*(1 + Tickets!BD$267/100)</f>
        <v>619371.23629926308</v>
      </c>
      <c r="CP5" s="12">
        <f>CO5*(1 + Tickets!BE$267/100)</f>
        <v>619371.23629926308</v>
      </c>
      <c r="CQ5" s="12">
        <f>CP5*(1 + Tickets!BF$267/100)</f>
        <v>619371.23629926308</v>
      </c>
      <c r="CR5" s="12">
        <f>CQ5*(1 + Tickets!BG$267/100)</f>
        <v>619371.23629926308</v>
      </c>
      <c r="CS5" s="12">
        <f>CR5*(1 + Tickets!BH$267/100)</f>
        <v>619371.23629926308</v>
      </c>
      <c r="CT5" s="12">
        <f>CS5*(1 + Tickets!BI$267/100)</f>
        <v>619371.23629926308</v>
      </c>
      <c r="CU5" s="12">
        <f>CT5*(1 + Tickets!BJ$267/100)</f>
        <v>619371.23629926308</v>
      </c>
      <c r="CV5" s="12">
        <f>CU5*(1 + Tickets!BK$267/100)</f>
        <v>619371.23629926308</v>
      </c>
    </row>
    <row r="6" spans="1:108">
      <c r="G6" s="12" t="s">
        <v>263</v>
      </c>
      <c r="J6" s="13">
        <v>124065</v>
      </c>
      <c r="K6" s="13">
        <v>230201</v>
      </c>
      <c r="L6" s="13">
        <v>256138</v>
      </c>
      <c r="M6" s="13">
        <v>610404</v>
      </c>
      <c r="N6" s="14">
        <v>124065</v>
      </c>
      <c r="O6" s="14">
        <v>230201</v>
      </c>
      <c r="P6" s="14">
        <v>256138</v>
      </c>
      <c r="Q6" s="14">
        <v>610404</v>
      </c>
      <c r="R6" s="14">
        <v>1220808</v>
      </c>
      <c r="S6" s="14">
        <v>1229312</v>
      </c>
      <c r="T6" s="14">
        <v>11475</v>
      </c>
      <c r="W6" t="s">
        <v>126</v>
      </c>
      <c r="X6">
        <f>SUM(X3:X5)</f>
        <v>10.4</v>
      </c>
      <c r="Y6" s="12">
        <f t="shared" ref="Y6:Z6" si="2">SUM(Y3:Y5)</f>
        <v>32.099999999999994</v>
      </c>
      <c r="Z6" s="12">
        <f t="shared" si="2"/>
        <v>57.5</v>
      </c>
      <c r="AA6" s="12"/>
      <c r="AB6" s="12"/>
      <c r="AC6" s="12"/>
      <c r="AD6" s="12"/>
      <c r="AE6" s="12"/>
      <c r="AF6" s="12"/>
      <c r="AJ6" s="12" t="s">
        <v>261</v>
      </c>
      <c r="AN6" s="12">
        <f>AA49*Variables!E26</f>
        <v>158591.46328469398</v>
      </c>
      <c r="AO6" s="12">
        <f>AN6*(1 + Tickets!D$267/100)</f>
        <v>162178.80218419377</v>
      </c>
      <c r="AP6" s="12">
        <f>AO6*(1 + Tickets!E$267/100)</f>
        <v>163928.71145976122</v>
      </c>
      <c r="AQ6" s="12">
        <f>AP6*(1 + Tickets!F$267/100)</f>
        <v>166754.84244532749</v>
      </c>
      <c r="AR6" s="12">
        <f>AQ6*(1 + Tickets!G$267/100)</f>
        <v>170423.44897912469</v>
      </c>
      <c r="AS6" s="12">
        <f>AR6*(1 + Tickets!H$267/100)</f>
        <v>173150.22416279069</v>
      </c>
      <c r="AT6" s="12">
        <f>AS6*(1 + Tickets!I$267/100)</f>
        <v>176440.07842188369</v>
      </c>
      <c r="AU6" s="12">
        <f>AT6*(1 + Tickets!J$267/100)</f>
        <v>179792.43991189948</v>
      </c>
      <c r="AV6" s="12">
        <f>AU6*(1 + Tickets!K$267/100)</f>
        <v>183388.28871013748</v>
      </c>
      <c r="AW6" s="12">
        <f>AV6*(1 + Tickets!L$267/100)</f>
        <v>187147.74862869529</v>
      </c>
      <c r="AX6" s="12">
        <f>AW6*(1 + Tickets!M$267/100)</f>
        <v>191077.85134989789</v>
      </c>
      <c r="AY6" s="12">
        <f>AX6*(1 + Tickets!N$267/100)</f>
        <v>195186.02515392069</v>
      </c>
      <c r="AZ6" s="12">
        <f>AY6*(1 + Tickets!O$267/100)</f>
        <v>199480.11770730696</v>
      </c>
      <c r="BA6" s="12">
        <f>AZ6*(1 + Tickets!P$267/100)</f>
        <v>203868.68029686771</v>
      </c>
      <c r="BB6" s="12">
        <f>BA6*(1 + Tickets!Q$267/100)</f>
        <v>208353.7912633988</v>
      </c>
      <c r="BC6" s="12">
        <f>BB6*(1 + Tickets!R$267/100)</f>
        <v>212937.57467119358</v>
      </c>
      <c r="BD6" s="12">
        <f>BC6*(1 + Tickets!S$267/100)</f>
        <v>217622.20131395984</v>
      </c>
      <c r="BE6" s="12">
        <f>BD6*(1 + Tickets!T$267/100)</f>
        <v>222409.88974286697</v>
      </c>
      <c r="BF6" s="12">
        <f>BE6*(1 + Tickets!U$267/100)</f>
        <v>227302.90731721005</v>
      </c>
      <c r="BG6" s="12">
        <f>BF6*(1 + Tickets!V$267/100)</f>
        <v>232303.57127818867</v>
      </c>
      <c r="BH6" s="12">
        <f>BG6*(1 + Tickets!W$267/100)</f>
        <v>232303.57127818867</v>
      </c>
      <c r="BI6" s="12">
        <f>BH6*(1 + Tickets!X$267/100)</f>
        <v>232303.57127818867</v>
      </c>
      <c r="BJ6" s="12">
        <f>BI6*(1 + Tickets!Y$267/100)</f>
        <v>232303.57127818867</v>
      </c>
      <c r="BK6" s="12">
        <f>BJ6*(1 + Tickets!Z$267/100)</f>
        <v>232303.57127818867</v>
      </c>
      <c r="BL6" s="12">
        <f>BK6*(1 + Tickets!AA$267/100)</f>
        <v>232303.57127818867</v>
      </c>
      <c r="BM6" s="12">
        <f>BL6*(1 + Tickets!AB$267/100)</f>
        <v>232303.57127818867</v>
      </c>
      <c r="BN6" s="12">
        <f>BM6*(1 + Tickets!AC$267/100)</f>
        <v>232303.57127818867</v>
      </c>
      <c r="BO6" s="12">
        <f>BN6*(1 + Tickets!AD$267/100)</f>
        <v>232303.57127818867</v>
      </c>
      <c r="BP6" s="12">
        <f>BO6*(1 + Tickets!AE$267/100)</f>
        <v>232303.57127818867</v>
      </c>
      <c r="BQ6" s="12">
        <f>BP6*(1 + Tickets!AF$267/100)</f>
        <v>232303.57127818867</v>
      </c>
      <c r="BR6" s="12">
        <f>BQ6*(1 + Tickets!AG$267/100)</f>
        <v>232303.57127818867</v>
      </c>
      <c r="BS6" s="12">
        <f>BR6*(1 + Tickets!AH$267/100)</f>
        <v>232303.57127818867</v>
      </c>
      <c r="BT6" s="12">
        <f>BS6*(1 + Tickets!AI$267/100)</f>
        <v>232303.57127818867</v>
      </c>
      <c r="BU6" s="12">
        <f>BT6*(1 + Tickets!AJ$267/100)</f>
        <v>232303.57127818867</v>
      </c>
      <c r="BV6" s="12">
        <f>BU6*(1 + Tickets!AK$267/100)</f>
        <v>232303.57127818867</v>
      </c>
      <c r="BW6" s="12">
        <f>BV6*(1 + Tickets!AL$267/100)</f>
        <v>232303.57127818867</v>
      </c>
      <c r="BX6" s="12">
        <f>BW6*(1 + Tickets!AM$267/100)</f>
        <v>232303.57127818867</v>
      </c>
      <c r="BY6" s="12">
        <f>BX6*(1 + Tickets!AN$267/100)</f>
        <v>232303.57127818867</v>
      </c>
      <c r="BZ6" s="12">
        <f>BY6*(1 + Tickets!AO$267/100)</f>
        <v>232303.57127818867</v>
      </c>
      <c r="CA6" s="12">
        <f>BZ6*(1 + Tickets!AP$267/100)</f>
        <v>232303.57127818867</v>
      </c>
      <c r="CB6" s="12">
        <f>CA6*(1 + Tickets!AQ$267/100)</f>
        <v>232303.57127818867</v>
      </c>
      <c r="CC6" s="12">
        <f>CB6*(1 + Tickets!AR$267/100)</f>
        <v>232303.57127818867</v>
      </c>
      <c r="CD6" s="12">
        <f>CC6*(1 + Tickets!AS$267/100)</f>
        <v>232303.57127818867</v>
      </c>
      <c r="CE6" s="12">
        <f>CD6*(1 + Tickets!AT$267/100)</f>
        <v>232303.57127818867</v>
      </c>
      <c r="CF6" s="12">
        <f>CE6*(1 + Tickets!AU$267/100)</f>
        <v>232303.57127818867</v>
      </c>
      <c r="CG6" s="12">
        <f>CF6*(1 + Tickets!AV$267/100)</f>
        <v>232303.57127818867</v>
      </c>
      <c r="CH6" s="12">
        <f>CG6*(1 + Tickets!AW$267/100)</f>
        <v>232303.57127818867</v>
      </c>
      <c r="CI6" s="12">
        <f>CH6*(1 + Tickets!AX$267/100)</f>
        <v>232303.57127818867</v>
      </c>
      <c r="CJ6" s="12">
        <f>CI6*(1 + Tickets!AY$267/100)</f>
        <v>232303.57127818867</v>
      </c>
      <c r="CK6" s="12">
        <f>CJ6*(1 + Tickets!AZ$267/100)</f>
        <v>232303.57127818867</v>
      </c>
      <c r="CL6" s="12">
        <f>CK6*(1 + Tickets!BA$267/100)</f>
        <v>232303.57127818867</v>
      </c>
      <c r="CM6" s="12">
        <f>CL6*(1 + Tickets!BB$267/100)</f>
        <v>232303.57127818867</v>
      </c>
      <c r="CN6" s="12">
        <f>CM6*(1 + Tickets!BC$267/100)</f>
        <v>232303.57127818867</v>
      </c>
      <c r="CO6" s="12">
        <f>CN6*(1 + Tickets!BD$267/100)</f>
        <v>232303.57127818867</v>
      </c>
      <c r="CP6" s="12">
        <f>CO6*(1 + Tickets!BE$267/100)</f>
        <v>232303.57127818867</v>
      </c>
      <c r="CQ6" s="12">
        <f>CP6*(1 + Tickets!BF$267/100)</f>
        <v>232303.57127818867</v>
      </c>
      <c r="CR6" s="12">
        <f>CQ6*(1 + Tickets!BG$267/100)</f>
        <v>232303.57127818867</v>
      </c>
      <c r="CS6" s="12">
        <f>CR6*(1 + Tickets!BH$267/100)</f>
        <v>232303.57127818867</v>
      </c>
      <c r="CT6" s="12">
        <f>CS6*(1 + Tickets!BI$267/100)</f>
        <v>232303.57127818867</v>
      </c>
      <c r="CU6" s="12">
        <f>CT6*(1 + Tickets!BJ$267/100)</f>
        <v>232303.57127818867</v>
      </c>
      <c r="CV6" s="12">
        <f>CU6*(1 + Tickets!BK$267/100)</f>
        <v>232303.57127818867</v>
      </c>
    </row>
    <row r="7" spans="1:108">
      <c r="G7" s="12" t="s">
        <v>264</v>
      </c>
      <c r="J7" s="13">
        <v>123764</v>
      </c>
      <c r="K7" s="13">
        <v>269625</v>
      </c>
      <c r="L7" s="13">
        <v>452344</v>
      </c>
      <c r="M7" s="13">
        <v>845733</v>
      </c>
      <c r="N7" s="14">
        <v>123764</v>
      </c>
      <c r="O7" s="14">
        <v>269625</v>
      </c>
      <c r="P7" s="14">
        <v>452344</v>
      </c>
      <c r="Q7" s="14">
        <v>845733</v>
      </c>
      <c r="R7" s="14">
        <v>1691466</v>
      </c>
      <c r="S7" s="14">
        <v>1700850</v>
      </c>
      <c r="T7" s="14">
        <v>98602</v>
      </c>
      <c r="AJ7" s="12" t="s">
        <v>262</v>
      </c>
      <c r="AN7" s="12">
        <f>AA50*Variables!E26</f>
        <v>597294.43257600931</v>
      </c>
      <c r="AO7" s="12">
        <f>AN7*(1 + Tickets!D$267/100)</f>
        <v>610805.23264087865</v>
      </c>
      <c r="AP7" s="12">
        <f>AO7*(1 + Tickets!E$267/100)</f>
        <v>617395.82110107376</v>
      </c>
      <c r="AQ7" s="12">
        <f>AP7*(1 + Tickets!F$267/100)</f>
        <v>628039.72505685617</v>
      </c>
      <c r="AR7" s="12">
        <f>AQ7*(1 + Tickets!G$267/100)</f>
        <v>641856.59900810698</v>
      </c>
      <c r="AS7" s="12">
        <f>AR7*(1 + Tickets!H$267/100)</f>
        <v>652126.30459223664</v>
      </c>
      <c r="AT7" s="12">
        <f>AS7*(1 + Tickets!I$267/100)</f>
        <v>664516.70437948906</v>
      </c>
      <c r="AU7" s="12">
        <f>AT7*(1 + Tickets!J$267/100)</f>
        <v>677142.52176269924</v>
      </c>
      <c r="AV7" s="12">
        <f>AU7*(1 + Tickets!K$267/100)</f>
        <v>690685.37219795329</v>
      </c>
      <c r="AW7" s="12">
        <f>AV7*(1 + Tickets!L$267/100)</f>
        <v>704844.42232801125</v>
      </c>
      <c r="AX7" s="12">
        <f>AW7*(1 + Tickets!M$267/100)</f>
        <v>719646.15519689943</v>
      </c>
      <c r="AY7" s="12">
        <f>AX7*(1 + Tickets!N$267/100)</f>
        <v>735118.54753363284</v>
      </c>
      <c r="AZ7" s="12">
        <f>AY7*(1 + Tickets!O$267/100)</f>
        <v>751291.15557937277</v>
      </c>
      <c r="BA7" s="12">
        <f>AZ7*(1 + Tickets!P$267/100)</f>
        <v>767819.56100211898</v>
      </c>
      <c r="BB7" s="12">
        <f>BA7*(1 + Tickets!Q$267/100)</f>
        <v>784711.59134416562</v>
      </c>
      <c r="BC7" s="12">
        <f>BB7*(1 + Tickets!R$267/100)</f>
        <v>801975.24635373731</v>
      </c>
      <c r="BD7" s="12">
        <f>BC7*(1 + Tickets!S$267/100)</f>
        <v>819618.70177351951</v>
      </c>
      <c r="BE7" s="12">
        <f>BD7*(1 + Tickets!T$267/100)</f>
        <v>837650.31321253697</v>
      </c>
      <c r="BF7" s="12">
        <f>BE7*(1 + Tickets!U$267/100)</f>
        <v>856078.62010321277</v>
      </c>
      <c r="BG7" s="12">
        <f>BF7*(1 + Tickets!V$267/100)</f>
        <v>874912.34974548349</v>
      </c>
      <c r="BH7" s="12">
        <f>BG7*(1 + Tickets!W$267/100)</f>
        <v>874912.34974548349</v>
      </c>
      <c r="BI7" s="12">
        <f>BH7*(1 + Tickets!X$267/100)</f>
        <v>874912.34974548349</v>
      </c>
      <c r="BJ7" s="12">
        <f>BI7*(1 + Tickets!Y$267/100)</f>
        <v>874912.34974548349</v>
      </c>
      <c r="BK7" s="12">
        <f>BJ7*(1 + Tickets!Z$267/100)</f>
        <v>874912.34974548349</v>
      </c>
      <c r="BL7" s="12">
        <f>BK7*(1 + Tickets!AA$267/100)</f>
        <v>874912.34974548349</v>
      </c>
      <c r="BM7" s="12">
        <f>BL7*(1 + Tickets!AB$267/100)</f>
        <v>874912.34974548349</v>
      </c>
      <c r="BN7" s="12">
        <f>BM7*(1 + Tickets!AC$267/100)</f>
        <v>874912.34974548349</v>
      </c>
      <c r="BO7" s="12">
        <f>BN7*(1 + Tickets!AD$267/100)</f>
        <v>874912.34974548349</v>
      </c>
      <c r="BP7" s="12">
        <f>BO7*(1 + Tickets!AE$267/100)</f>
        <v>874912.34974548349</v>
      </c>
      <c r="BQ7" s="12">
        <f>BP7*(1 + Tickets!AF$267/100)</f>
        <v>874912.34974548349</v>
      </c>
      <c r="BR7" s="12">
        <f>BQ7*(1 + Tickets!AG$267/100)</f>
        <v>874912.34974548349</v>
      </c>
      <c r="BS7" s="12">
        <f>BR7*(1 + Tickets!AH$267/100)</f>
        <v>874912.34974548349</v>
      </c>
      <c r="BT7" s="12">
        <f>BS7*(1 + Tickets!AI$267/100)</f>
        <v>874912.34974548349</v>
      </c>
      <c r="BU7" s="12">
        <f>BT7*(1 + Tickets!AJ$267/100)</f>
        <v>874912.34974548349</v>
      </c>
      <c r="BV7" s="12">
        <f>BU7*(1 + Tickets!AK$267/100)</f>
        <v>874912.34974548349</v>
      </c>
      <c r="BW7" s="12">
        <f>BV7*(1 + Tickets!AL$267/100)</f>
        <v>874912.34974548349</v>
      </c>
      <c r="BX7" s="12">
        <f>BW7*(1 + Tickets!AM$267/100)</f>
        <v>874912.34974548349</v>
      </c>
      <c r="BY7" s="12">
        <f>BX7*(1 + Tickets!AN$267/100)</f>
        <v>874912.34974548349</v>
      </c>
      <c r="BZ7" s="12">
        <f>BY7*(1 + Tickets!AO$267/100)</f>
        <v>874912.34974548349</v>
      </c>
      <c r="CA7" s="12">
        <f>BZ7*(1 + Tickets!AP$267/100)</f>
        <v>874912.34974548349</v>
      </c>
      <c r="CB7" s="12">
        <f>CA7*(1 + Tickets!AQ$267/100)</f>
        <v>874912.34974548349</v>
      </c>
      <c r="CC7" s="12">
        <f>CB7*(1 + Tickets!AR$267/100)</f>
        <v>874912.34974548349</v>
      </c>
      <c r="CD7" s="12">
        <f>CC7*(1 + Tickets!AS$267/100)</f>
        <v>874912.34974548349</v>
      </c>
      <c r="CE7" s="12">
        <f>CD7*(1 + Tickets!AT$267/100)</f>
        <v>874912.34974548349</v>
      </c>
      <c r="CF7" s="12">
        <f>CE7*(1 + Tickets!AU$267/100)</f>
        <v>874912.34974548349</v>
      </c>
      <c r="CG7" s="12">
        <f>CF7*(1 + Tickets!AV$267/100)</f>
        <v>874912.34974548349</v>
      </c>
      <c r="CH7" s="12">
        <f>CG7*(1 + Tickets!AW$267/100)</f>
        <v>874912.34974548349</v>
      </c>
      <c r="CI7" s="12">
        <f>CH7*(1 + Tickets!AX$267/100)</f>
        <v>874912.34974548349</v>
      </c>
      <c r="CJ7" s="12">
        <f>CI7*(1 + Tickets!AY$267/100)</f>
        <v>874912.34974548349</v>
      </c>
      <c r="CK7" s="12">
        <f>CJ7*(1 + Tickets!AZ$267/100)</f>
        <v>874912.34974548349</v>
      </c>
      <c r="CL7" s="12">
        <f>CK7*(1 + Tickets!BA$267/100)</f>
        <v>874912.34974548349</v>
      </c>
      <c r="CM7" s="12">
        <f>CL7*(1 + Tickets!BB$267/100)</f>
        <v>874912.34974548349</v>
      </c>
      <c r="CN7" s="12">
        <f>CM7*(1 + Tickets!BC$267/100)</f>
        <v>874912.34974548349</v>
      </c>
      <c r="CO7" s="12">
        <f>CN7*(1 + Tickets!BD$267/100)</f>
        <v>874912.34974548349</v>
      </c>
      <c r="CP7" s="12">
        <f>CO7*(1 + Tickets!BE$267/100)</f>
        <v>874912.34974548349</v>
      </c>
      <c r="CQ7" s="12">
        <f>CP7*(1 + Tickets!BF$267/100)</f>
        <v>874912.34974548349</v>
      </c>
      <c r="CR7" s="12">
        <f>CQ7*(1 + Tickets!BG$267/100)</f>
        <v>874912.34974548349</v>
      </c>
      <c r="CS7" s="12">
        <f>CR7*(1 + Tickets!BH$267/100)</f>
        <v>874912.34974548349</v>
      </c>
      <c r="CT7" s="12">
        <f>CS7*(1 + Tickets!BI$267/100)</f>
        <v>874912.34974548349</v>
      </c>
      <c r="CU7" s="12">
        <f>CT7*(1 + Tickets!BJ$267/100)</f>
        <v>874912.34974548349</v>
      </c>
      <c r="CV7" s="12">
        <f>CU7*(1 + Tickets!BK$267/100)</f>
        <v>874912.34974548349</v>
      </c>
    </row>
    <row r="8" spans="1:108" s="12" customFormat="1">
      <c r="G8" s="12" t="s">
        <v>265</v>
      </c>
      <c r="J8" s="13">
        <v>982318</v>
      </c>
      <c r="K8" s="13">
        <v>1499949</v>
      </c>
      <c r="L8" s="13">
        <v>1398894</v>
      </c>
      <c r="M8" s="13">
        <v>3881161</v>
      </c>
      <c r="N8" s="14">
        <v>982318</v>
      </c>
      <c r="O8" s="14">
        <v>1499949</v>
      </c>
      <c r="P8" s="14">
        <v>1398894</v>
      </c>
      <c r="Q8" s="14">
        <v>3881161</v>
      </c>
      <c r="R8" s="14">
        <v>7762322</v>
      </c>
      <c r="S8" s="14">
        <v>8051842</v>
      </c>
      <c r="T8" s="14">
        <v>943202</v>
      </c>
      <c r="AJ8" s="12" t="s">
        <v>263</v>
      </c>
      <c r="AN8" s="12">
        <f>AA51*Variables!E26</f>
        <v>385685.12327176309</v>
      </c>
      <c r="AO8" s="12">
        <f>AN8*(1 + Tickets!D$267/100)</f>
        <v>394409.32076017041</v>
      </c>
      <c r="AP8" s="12">
        <f>AO8*(1 + Tickets!E$267/100)</f>
        <v>398664.99733117269</v>
      </c>
      <c r="AQ8" s="12">
        <f>AP8*(1 + Tickets!F$267/100)</f>
        <v>405537.98188516207</v>
      </c>
      <c r="AR8" s="12">
        <f>AQ8*(1 + Tickets!G$267/100)</f>
        <v>414459.81748663564</v>
      </c>
      <c r="AS8" s="12">
        <f>AR8*(1 + Tickets!H$267/100)</f>
        <v>421091.17456642183</v>
      </c>
      <c r="AT8" s="12">
        <f>AS8*(1 + Tickets!I$267/100)</f>
        <v>429091.90688318381</v>
      </c>
      <c r="AU8" s="12">
        <f>AT8*(1 + Tickets!J$267/100)</f>
        <v>437244.65311396425</v>
      </c>
      <c r="AV8" s="12">
        <f>AU8*(1 + Tickets!K$267/100)</f>
        <v>445989.54617624352</v>
      </c>
      <c r="AW8" s="12">
        <f>AV8*(1 + Tickets!L$267/100)</f>
        <v>455132.33187285648</v>
      </c>
      <c r="AX8" s="12">
        <f>AW8*(1 + Tickets!M$267/100)</f>
        <v>464690.11084218643</v>
      </c>
      <c r="AY8" s="12">
        <f>AX8*(1 + Tickets!N$267/100)</f>
        <v>474680.94822529348</v>
      </c>
      <c r="AZ8" s="12">
        <f>AY8*(1 + Tickets!O$267/100)</f>
        <v>485123.92908624996</v>
      </c>
      <c r="BA8" s="12">
        <f>AZ8*(1 + Tickets!P$267/100)</f>
        <v>495796.65552614746</v>
      </c>
      <c r="BB8" s="12">
        <f>BA8*(1 + Tickets!Q$267/100)</f>
        <v>506704.18194772268</v>
      </c>
      <c r="BC8" s="12">
        <f>BB8*(1 + Tickets!R$267/100)</f>
        <v>517851.67395057261</v>
      </c>
      <c r="BD8" s="12">
        <f>BC8*(1 + Tickets!S$267/100)</f>
        <v>529244.41077748523</v>
      </c>
      <c r="BE8" s="12">
        <f>BD8*(1 + Tickets!T$267/100)</f>
        <v>540887.78781458992</v>
      </c>
      <c r="BF8" s="12">
        <f>BE8*(1 + Tickets!U$267/100)</f>
        <v>552787.31914651091</v>
      </c>
      <c r="BG8" s="12">
        <f>BF8*(1 + Tickets!V$267/100)</f>
        <v>564948.64016773412</v>
      </c>
      <c r="BH8" s="12">
        <f>BG8*(1 + Tickets!W$267/100)</f>
        <v>564948.64016773412</v>
      </c>
      <c r="BI8" s="12">
        <f>BH8*(1 + Tickets!X$267/100)</f>
        <v>564948.64016773412</v>
      </c>
      <c r="BJ8" s="12">
        <f>BI8*(1 + Tickets!Y$267/100)</f>
        <v>564948.64016773412</v>
      </c>
      <c r="BK8" s="12">
        <f>BJ8*(1 + Tickets!Z$267/100)</f>
        <v>564948.64016773412</v>
      </c>
      <c r="BL8" s="12">
        <f>BK8*(1 + Tickets!AA$267/100)</f>
        <v>564948.64016773412</v>
      </c>
      <c r="BM8" s="12">
        <f>BL8*(1 + Tickets!AB$267/100)</f>
        <v>564948.64016773412</v>
      </c>
      <c r="BN8" s="12">
        <f>BM8*(1 + Tickets!AC$267/100)</f>
        <v>564948.64016773412</v>
      </c>
      <c r="BO8" s="12">
        <f>BN8*(1 + Tickets!AD$267/100)</f>
        <v>564948.64016773412</v>
      </c>
      <c r="BP8" s="12">
        <f>BO8*(1 + Tickets!AE$267/100)</f>
        <v>564948.64016773412</v>
      </c>
      <c r="BQ8" s="12">
        <f>BP8*(1 + Tickets!AF$267/100)</f>
        <v>564948.64016773412</v>
      </c>
      <c r="BR8" s="12">
        <f>BQ8*(1 + Tickets!AG$267/100)</f>
        <v>564948.64016773412</v>
      </c>
      <c r="BS8" s="12">
        <f>BR8*(1 + Tickets!AH$267/100)</f>
        <v>564948.64016773412</v>
      </c>
      <c r="BT8" s="12">
        <f>BS8*(1 + Tickets!AI$267/100)</f>
        <v>564948.64016773412</v>
      </c>
      <c r="BU8" s="12">
        <f>BT8*(1 + Tickets!AJ$267/100)</f>
        <v>564948.64016773412</v>
      </c>
      <c r="BV8" s="12">
        <f>BU8*(1 + Tickets!AK$267/100)</f>
        <v>564948.64016773412</v>
      </c>
      <c r="BW8" s="12">
        <f>BV8*(1 + Tickets!AL$267/100)</f>
        <v>564948.64016773412</v>
      </c>
      <c r="BX8" s="12">
        <f>BW8*(1 + Tickets!AM$267/100)</f>
        <v>564948.64016773412</v>
      </c>
      <c r="BY8" s="12">
        <f>BX8*(1 + Tickets!AN$267/100)</f>
        <v>564948.64016773412</v>
      </c>
      <c r="BZ8" s="12">
        <f>BY8*(1 + Tickets!AO$267/100)</f>
        <v>564948.64016773412</v>
      </c>
      <c r="CA8" s="12">
        <f>BZ8*(1 + Tickets!AP$267/100)</f>
        <v>564948.64016773412</v>
      </c>
      <c r="CB8" s="12">
        <f>CA8*(1 + Tickets!AQ$267/100)</f>
        <v>564948.64016773412</v>
      </c>
      <c r="CC8" s="12">
        <f>CB8*(1 + Tickets!AR$267/100)</f>
        <v>564948.64016773412</v>
      </c>
      <c r="CD8" s="12">
        <f>CC8*(1 + Tickets!AS$267/100)</f>
        <v>564948.64016773412</v>
      </c>
      <c r="CE8" s="12">
        <f>CD8*(1 + Tickets!AT$267/100)</f>
        <v>564948.64016773412</v>
      </c>
      <c r="CF8" s="12">
        <f>CE8*(1 + Tickets!AU$267/100)</f>
        <v>564948.64016773412</v>
      </c>
      <c r="CG8" s="12">
        <f>CF8*(1 + Tickets!AV$267/100)</f>
        <v>564948.64016773412</v>
      </c>
      <c r="CH8" s="12">
        <f>CG8*(1 + Tickets!AW$267/100)</f>
        <v>564948.64016773412</v>
      </c>
      <c r="CI8" s="12">
        <f>CH8*(1 + Tickets!AX$267/100)</f>
        <v>564948.64016773412</v>
      </c>
      <c r="CJ8" s="12">
        <f>CI8*(1 + Tickets!AY$267/100)</f>
        <v>564948.64016773412</v>
      </c>
      <c r="CK8" s="12">
        <f>CJ8*(1 + Tickets!AZ$267/100)</f>
        <v>564948.64016773412</v>
      </c>
      <c r="CL8" s="12">
        <f>CK8*(1 + Tickets!BA$267/100)</f>
        <v>564948.64016773412</v>
      </c>
      <c r="CM8" s="12">
        <f>CL8*(1 + Tickets!BB$267/100)</f>
        <v>564948.64016773412</v>
      </c>
      <c r="CN8" s="12">
        <f>CM8*(1 + Tickets!BC$267/100)</f>
        <v>564948.64016773412</v>
      </c>
      <c r="CO8" s="12">
        <f>CN8*(1 + Tickets!BD$267/100)</f>
        <v>564948.64016773412</v>
      </c>
      <c r="CP8" s="12">
        <f>CO8*(1 + Tickets!BE$267/100)</f>
        <v>564948.64016773412</v>
      </c>
      <c r="CQ8" s="12">
        <f>CP8*(1 + Tickets!BF$267/100)</f>
        <v>564948.64016773412</v>
      </c>
      <c r="CR8" s="12">
        <f>CQ8*(1 + Tickets!BG$267/100)</f>
        <v>564948.64016773412</v>
      </c>
      <c r="CS8" s="12">
        <f>CR8*(1 + Tickets!BH$267/100)</f>
        <v>564948.64016773412</v>
      </c>
      <c r="CT8" s="12">
        <f>CS8*(1 + Tickets!BI$267/100)</f>
        <v>564948.64016773412</v>
      </c>
      <c r="CU8" s="12">
        <f>CT8*(1 + Tickets!BJ$267/100)</f>
        <v>564948.64016773412</v>
      </c>
      <c r="CV8" s="12">
        <f>CU8*(1 + Tickets!BK$267/100)</f>
        <v>564948.64016773412</v>
      </c>
    </row>
    <row r="9" spans="1:108" s="12" customFormat="1">
      <c r="G9" s="12" t="s">
        <v>92</v>
      </c>
      <c r="J9" s="13">
        <v>875180</v>
      </c>
      <c r="K9" s="13">
        <v>1073149</v>
      </c>
      <c r="L9" s="13">
        <v>1623833</v>
      </c>
      <c r="M9" s="13">
        <v>3572162</v>
      </c>
      <c r="N9" s="14">
        <v>875180</v>
      </c>
      <c r="O9" s="14">
        <v>1073149</v>
      </c>
      <c r="P9" s="14">
        <v>1623833</v>
      </c>
      <c r="Q9" s="14">
        <v>3572162</v>
      </c>
      <c r="R9" s="14">
        <v>7144324</v>
      </c>
      <c r="S9" s="14">
        <v>7483604</v>
      </c>
      <c r="T9" s="14">
        <v>1406971</v>
      </c>
      <c r="AJ9" s="12" t="s">
        <v>264</v>
      </c>
      <c r="AN9" s="12">
        <f>AA52*Variables!E26</f>
        <v>671968.81565617083</v>
      </c>
      <c r="AO9" s="12">
        <f>AN9*(1 + Tickets!D$267/100)</f>
        <v>687168.75026631344</v>
      </c>
      <c r="AP9" s="12">
        <f>AO9*(1 + Tickets!E$267/100)</f>
        <v>694583.30108168698</v>
      </c>
      <c r="AQ9" s="12">
        <f>AP9*(1 + Tickets!F$267/100)</f>
        <v>706557.91719233524</v>
      </c>
      <c r="AR9" s="12">
        <f>AQ9*(1 + Tickets!G$267/100)</f>
        <v>722102.19137056661</v>
      </c>
      <c r="AS9" s="12">
        <f>AR9*(1 + Tickets!H$267/100)</f>
        <v>733655.82643249573</v>
      </c>
      <c r="AT9" s="12">
        <f>AS9*(1 + Tickets!I$267/100)</f>
        <v>747595.28713471303</v>
      </c>
      <c r="AU9" s="12">
        <f>AT9*(1 + Tickets!J$267/100)</f>
        <v>761799.59759027255</v>
      </c>
      <c r="AV9" s="12">
        <f>AU9*(1 + Tickets!K$267/100)</f>
        <v>777035.58954207797</v>
      </c>
      <c r="AW9" s="12">
        <f>AV9*(1 + Tickets!L$267/100)</f>
        <v>792964.81912769051</v>
      </c>
      <c r="AX9" s="12">
        <f>AW9*(1 + Tickets!M$267/100)</f>
        <v>809617.08032937197</v>
      </c>
      <c r="AY9" s="12">
        <f>AX9*(1 + Tickets!N$267/100)</f>
        <v>827023.84755645355</v>
      </c>
      <c r="AZ9" s="12">
        <f>AY9*(1 + Tickets!O$267/100)</f>
        <v>845218.37220269558</v>
      </c>
      <c r="BA9" s="12">
        <f>AZ9*(1 + Tickets!P$267/100)</f>
        <v>863813.17639115488</v>
      </c>
      <c r="BB9" s="12">
        <f>BA9*(1 + Tickets!Q$267/100)</f>
        <v>882817.06627176027</v>
      </c>
      <c r="BC9" s="12">
        <f>BB9*(1 + Tickets!R$267/100)</f>
        <v>902239.04172973905</v>
      </c>
      <c r="BD9" s="12">
        <f>BC9*(1 + Tickets!S$267/100)</f>
        <v>922088.30064779334</v>
      </c>
      <c r="BE9" s="12">
        <f>BD9*(1 + Tickets!T$267/100)</f>
        <v>942374.24326204485</v>
      </c>
      <c r="BF9" s="12">
        <f>BE9*(1 + Tickets!U$267/100)</f>
        <v>963106.47661380982</v>
      </c>
      <c r="BG9" s="12">
        <f>BF9*(1 + Tickets!V$267/100)</f>
        <v>984294.8190993137</v>
      </c>
      <c r="BH9" s="12">
        <f>BG9*(1 + Tickets!W$267/100)</f>
        <v>984294.8190993137</v>
      </c>
      <c r="BI9" s="12">
        <f>BH9*(1 + Tickets!X$267/100)</f>
        <v>984294.8190993137</v>
      </c>
      <c r="BJ9" s="12">
        <f>BI9*(1 + Tickets!Y$267/100)</f>
        <v>984294.8190993137</v>
      </c>
      <c r="BK9" s="12">
        <f>BJ9*(1 + Tickets!Z$267/100)</f>
        <v>984294.8190993137</v>
      </c>
      <c r="BL9" s="12">
        <f>BK9*(1 + Tickets!AA$267/100)</f>
        <v>984294.8190993137</v>
      </c>
      <c r="BM9" s="12">
        <f>BL9*(1 + Tickets!AB$267/100)</f>
        <v>984294.8190993137</v>
      </c>
      <c r="BN9" s="12">
        <f>BM9*(1 + Tickets!AC$267/100)</f>
        <v>984294.8190993137</v>
      </c>
      <c r="BO9" s="12">
        <f>BN9*(1 + Tickets!AD$267/100)</f>
        <v>984294.8190993137</v>
      </c>
      <c r="BP9" s="12">
        <f>BO9*(1 + Tickets!AE$267/100)</f>
        <v>984294.8190993137</v>
      </c>
      <c r="BQ9" s="12">
        <f>BP9*(1 + Tickets!AF$267/100)</f>
        <v>984294.8190993137</v>
      </c>
      <c r="BR9" s="12">
        <f>BQ9*(1 + Tickets!AG$267/100)</f>
        <v>984294.8190993137</v>
      </c>
      <c r="BS9" s="12">
        <f>BR9*(1 + Tickets!AH$267/100)</f>
        <v>984294.8190993137</v>
      </c>
      <c r="BT9" s="12">
        <f>BS9*(1 + Tickets!AI$267/100)</f>
        <v>984294.8190993137</v>
      </c>
      <c r="BU9" s="12">
        <f>BT9*(1 + Tickets!AJ$267/100)</f>
        <v>984294.8190993137</v>
      </c>
      <c r="BV9" s="12">
        <f>BU9*(1 + Tickets!AK$267/100)</f>
        <v>984294.8190993137</v>
      </c>
      <c r="BW9" s="12">
        <f>BV9*(1 + Tickets!AL$267/100)</f>
        <v>984294.8190993137</v>
      </c>
      <c r="BX9" s="12">
        <f>BW9*(1 + Tickets!AM$267/100)</f>
        <v>984294.8190993137</v>
      </c>
      <c r="BY9" s="12">
        <f>BX9*(1 + Tickets!AN$267/100)</f>
        <v>984294.8190993137</v>
      </c>
      <c r="BZ9" s="12">
        <f>BY9*(1 + Tickets!AO$267/100)</f>
        <v>984294.8190993137</v>
      </c>
      <c r="CA9" s="12">
        <f>BZ9*(1 + Tickets!AP$267/100)</f>
        <v>984294.8190993137</v>
      </c>
      <c r="CB9" s="12">
        <f>CA9*(1 + Tickets!AQ$267/100)</f>
        <v>984294.8190993137</v>
      </c>
      <c r="CC9" s="12">
        <f>CB9*(1 + Tickets!AR$267/100)</f>
        <v>984294.8190993137</v>
      </c>
      <c r="CD9" s="12">
        <f>CC9*(1 + Tickets!AS$267/100)</f>
        <v>984294.8190993137</v>
      </c>
      <c r="CE9" s="12">
        <f>CD9*(1 + Tickets!AT$267/100)</f>
        <v>984294.8190993137</v>
      </c>
      <c r="CF9" s="12">
        <f>CE9*(1 + Tickets!AU$267/100)</f>
        <v>984294.8190993137</v>
      </c>
      <c r="CG9" s="12">
        <f>CF9*(1 + Tickets!AV$267/100)</f>
        <v>984294.8190993137</v>
      </c>
      <c r="CH9" s="12">
        <f>CG9*(1 + Tickets!AW$267/100)</f>
        <v>984294.8190993137</v>
      </c>
      <c r="CI9" s="12">
        <f>CH9*(1 + Tickets!AX$267/100)</f>
        <v>984294.8190993137</v>
      </c>
      <c r="CJ9" s="12">
        <f>CI9*(1 + Tickets!AY$267/100)</f>
        <v>984294.8190993137</v>
      </c>
      <c r="CK9" s="12">
        <f>CJ9*(1 + Tickets!AZ$267/100)</f>
        <v>984294.8190993137</v>
      </c>
      <c r="CL9" s="12">
        <f>CK9*(1 + Tickets!BA$267/100)</f>
        <v>984294.8190993137</v>
      </c>
      <c r="CM9" s="12">
        <f>CL9*(1 + Tickets!BB$267/100)</f>
        <v>984294.8190993137</v>
      </c>
      <c r="CN9" s="12">
        <f>CM9*(1 + Tickets!BC$267/100)</f>
        <v>984294.8190993137</v>
      </c>
      <c r="CO9" s="12">
        <f>CN9*(1 + Tickets!BD$267/100)</f>
        <v>984294.8190993137</v>
      </c>
      <c r="CP9" s="12">
        <f>CO9*(1 + Tickets!BE$267/100)</f>
        <v>984294.8190993137</v>
      </c>
      <c r="CQ9" s="12">
        <f>CP9*(1 + Tickets!BF$267/100)</f>
        <v>984294.8190993137</v>
      </c>
      <c r="CR9" s="12">
        <f>CQ9*(1 + Tickets!BG$267/100)</f>
        <v>984294.8190993137</v>
      </c>
      <c r="CS9" s="12">
        <f>CR9*(1 + Tickets!BH$267/100)</f>
        <v>984294.8190993137</v>
      </c>
      <c r="CT9" s="12">
        <f>CS9*(1 + Tickets!BI$267/100)</f>
        <v>984294.8190993137</v>
      </c>
      <c r="CU9" s="12">
        <f>CT9*(1 + Tickets!BJ$267/100)</f>
        <v>984294.8190993137</v>
      </c>
      <c r="CV9" s="12">
        <f>CU9*(1 + Tickets!BK$267/100)</f>
        <v>984294.8190993137</v>
      </c>
    </row>
    <row r="10" spans="1:108" s="12" customFormat="1">
      <c r="AJ10" s="12" t="s">
        <v>265</v>
      </c>
      <c r="AN10" s="12">
        <f>AA53*Variables!E26</f>
        <v>2236497.8883628868</v>
      </c>
      <c r="AO10" s="12">
        <f>AN10*(1 + Tickets!D$267/100)</f>
        <v>2287087.4705976555</v>
      </c>
      <c r="AP10" s="12">
        <f>AO10*(1 + Tickets!E$267/100)</f>
        <v>2311765.1444054046</v>
      </c>
      <c r="AQ10" s="12">
        <f>AP10*(1 + Tickets!F$267/100)</f>
        <v>2351619.9754949533</v>
      </c>
      <c r="AR10" s="12">
        <f>AQ10*(1 + Tickets!G$267/100)</f>
        <v>2403355.6149558425</v>
      </c>
      <c r="AS10" s="12">
        <f>AR10*(1 + Tickets!H$267/100)</f>
        <v>2441809.3047951362</v>
      </c>
      <c r="AT10" s="12">
        <f>AS10*(1 + Tickets!I$267/100)</f>
        <v>2488203.6815862437</v>
      </c>
      <c r="AU10" s="12">
        <f>AT10*(1 + Tickets!J$267/100)</f>
        <v>2535479.5515363822</v>
      </c>
      <c r="AV10" s="12">
        <f>AU10*(1 + Tickets!K$267/100)</f>
        <v>2586189.1425671098</v>
      </c>
      <c r="AW10" s="12">
        <f>AV10*(1 + Tickets!L$267/100)</f>
        <v>2639206.0199897354</v>
      </c>
      <c r="AX10" s="12">
        <f>AW10*(1 + Tickets!M$267/100)</f>
        <v>2694629.3464095197</v>
      </c>
      <c r="AY10" s="12">
        <f>AX10*(1 + Tickets!N$267/100)</f>
        <v>2752563.8773573246</v>
      </c>
      <c r="AZ10" s="12">
        <f>AY10*(1 + Tickets!O$267/100)</f>
        <v>2813120.2826591856</v>
      </c>
      <c r="BA10" s="12">
        <f>AZ10*(1 + Tickets!P$267/100)</f>
        <v>2875008.9288776875</v>
      </c>
      <c r="BB10" s="12">
        <f>BA10*(1 + Tickets!Q$267/100)</f>
        <v>2938259.1253129966</v>
      </c>
      <c r="BC10" s="12">
        <f>BB10*(1 + Tickets!R$267/100)</f>
        <v>3002900.8260698826</v>
      </c>
      <c r="BD10" s="12">
        <f>BC10*(1 + Tickets!S$267/100)</f>
        <v>3068964.6442434201</v>
      </c>
      <c r="BE10" s="12">
        <f>BD10*(1 + Tickets!T$267/100)</f>
        <v>3136481.8664167756</v>
      </c>
      <c r="BF10" s="12">
        <f>BE10*(1 + Tickets!U$267/100)</f>
        <v>3205484.4674779447</v>
      </c>
      <c r="BG10" s="12">
        <f>BF10*(1 + Tickets!V$267/100)</f>
        <v>3276005.1257624594</v>
      </c>
      <c r="BH10" s="12">
        <f>BG10*(1 + Tickets!W$267/100)</f>
        <v>3276005.1257624594</v>
      </c>
      <c r="BI10" s="12">
        <f>BH10*(1 + Tickets!X$267/100)</f>
        <v>3276005.1257624594</v>
      </c>
      <c r="BJ10" s="12">
        <f>BI10*(1 + Tickets!Y$267/100)</f>
        <v>3276005.1257624594</v>
      </c>
      <c r="BK10" s="12">
        <f>BJ10*(1 + Tickets!Z$267/100)</f>
        <v>3276005.1257624594</v>
      </c>
      <c r="BL10" s="12">
        <f>BK10*(1 + Tickets!AA$267/100)</f>
        <v>3276005.1257624594</v>
      </c>
      <c r="BM10" s="12">
        <f>BL10*(1 + Tickets!AB$267/100)</f>
        <v>3276005.1257624594</v>
      </c>
      <c r="BN10" s="12">
        <f>BM10*(1 + Tickets!AC$267/100)</f>
        <v>3276005.1257624594</v>
      </c>
      <c r="BO10" s="12">
        <f>BN10*(1 + Tickets!AD$267/100)</f>
        <v>3276005.1257624594</v>
      </c>
      <c r="BP10" s="12">
        <f>BO10*(1 + Tickets!AE$267/100)</f>
        <v>3276005.1257624594</v>
      </c>
      <c r="BQ10" s="12">
        <f>BP10*(1 + Tickets!AF$267/100)</f>
        <v>3276005.1257624594</v>
      </c>
      <c r="BR10" s="12">
        <f>BQ10*(1 + Tickets!AG$267/100)</f>
        <v>3276005.1257624594</v>
      </c>
      <c r="BS10" s="12">
        <f>BR10*(1 + Tickets!AH$267/100)</f>
        <v>3276005.1257624594</v>
      </c>
      <c r="BT10" s="12">
        <f>BS10*(1 + Tickets!AI$267/100)</f>
        <v>3276005.1257624594</v>
      </c>
      <c r="BU10" s="12">
        <f>BT10*(1 + Tickets!AJ$267/100)</f>
        <v>3276005.1257624594</v>
      </c>
      <c r="BV10" s="12">
        <f>BU10*(1 + Tickets!AK$267/100)</f>
        <v>3276005.1257624594</v>
      </c>
      <c r="BW10" s="12">
        <f>BV10*(1 + Tickets!AL$267/100)</f>
        <v>3276005.1257624594</v>
      </c>
      <c r="BX10" s="12">
        <f>BW10*(1 + Tickets!AM$267/100)</f>
        <v>3276005.1257624594</v>
      </c>
      <c r="BY10" s="12">
        <f>BX10*(1 + Tickets!AN$267/100)</f>
        <v>3276005.1257624594</v>
      </c>
      <c r="BZ10" s="12">
        <f>BY10*(1 + Tickets!AO$267/100)</f>
        <v>3276005.1257624594</v>
      </c>
      <c r="CA10" s="12">
        <f>BZ10*(1 + Tickets!AP$267/100)</f>
        <v>3276005.1257624594</v>
      </c>
      <c r="CB10" s="12">
        <f>CA10*(1 + Tickets!AQ$267/100)</f>
        <v>3276005.1257624594</v>
      </c>
      <c r="CC10" s="12">
        <f>CB10*(1 + Tickets!AR$267/100)</f>
        <v>3276005.1257624594</v>
      </c>
      <c r="CD10" s="12">
        <f>CC10*(1 + Tickets!AS$267/100)</f>
        <v>3276005.1257624594</v>
      </c>
      <c r="CE10" s="12">
        <f>CD10*(1 + Tickets!AT$267/100)</f>
        <v>3276005.1257624594</v>
      </c>
      <c r="CF10" s="12">
        <f>CE10*(1 + Tickets!AU$267/100)</f>
        <v>3276005.1257624594</v>
      </c>
      <c r="CG10" s="12">
        <f>CF10*(1 + Tickets!AV$267/100)</f>
        <v>3276005.1257624594</v>
      </c>
      <c r="CH10" s="12">
        <f>CG10*(1 + Tickets!AW$267/100)</f>
        <v>3276005.1257624594</v>
      </c>
      <c r="CI10" s="12">
        <f>CH10*(1 + Tickets!AX$267/100)</f>
        <v>3276005.1257624594</v>
      </c>
      <c r="CJ10" s="12">
        <f>CI10*(1 + Tickets!AY$267/100)</f>
        <v>3276005.1257624594</v>
      </c>
      <c r="CK10" s="12">
        <f>CJ10*(1 + Tickets!AZ$267/100)</f>
        <v>3276005.1257624594</v>
      </c>
      <c r="CL10" s="12">
        <f>CK10*(1 + Tickets!BA$267/100)</f>
        <v>3276005.1257624594</v>
      </c>
      <c r="CM10" s="12">
        <f>CL10*(1 + Tickets!BB$267/100)</f>
        <v>3276005.1257624594</v>
      </c>
      <c r="CN10" s="12">
        <f>CM10*(1 + Tickets!BC$267/100)</f>
        <v>3276005.1257624594</v>
      </c>
      <c r="CO10" s="12">
        <f>CN10*(1 + Tickets!BD$267/100)</f>
        <v>3276005.1257624594</v>
      </c>
      <c r="CP10" s="12">
        <f>CO10*(1 + Tickets!BE$267/100)</f>
        <v>3276005.1257624594</v>
      </c>
      <c r="CQ10" s="12">
        <f>CP10*(1 + Tickets!BF$267/100)</f>
        <v>3276005.1257624594</v>
      </c>
      <c r="CR10" s="12">
        <f>CQ10*(1 + Tickets!BG$267/100)</f>
        <v>3276005.1257624594</v>
      </c>
      <c r="CS10" s="12">
        <f>CR10*(1 + Tickets!BH$267/100)</f>
        <v>3276005.1257624594</v>
      </c>
      <c r="CT10" s="12">
        <f>CS10*(1 + Tickets!BI$267/100)</f>
        <v>3276005.1257624594</v>
      </c>
      <c r="CU10" s="12">
        <f>CT10*(1 + Tickets!BJ$267/100)</f>
        <v>3276005.1257624594</v>
      </c>
      <c r="CV10" s="12">
        <f>CU10*(1 + Tickets!BK$267/100)</f>
        <v>3276005.1257624594</v>
      </c>
    </row>
    <row r="11" spans="1:108">
      <c r="AJ11" s="12" t="s">
        <v>92</v>
      </c>
      <c r="AN11" s="12">
        <f>AA54*Variables!E26</f>
        <v>3107864.6358058318</v>
      </c>
      <c r="AO11" s="12">
        <f>AN11*(1 + Tickets!D$267/100)</f>
        <v>3178164.5338677601</v>
      </c>
      <c r="AP11" s="12">
        <f>AO11*(1 + Tickets!E$267/100)</f>
        <v>3212456.9291881933</v>
      </c>
      <c r="AQ11" s="12">
        <f>AP11*(1 + Tickets!F$267/100)</f>
        <v>3267839.6866473975</v>
      </c>
      <c r="AR11" s="12">
        <f>AQ11*(1 + Tickets!G$267/100)</f>
        <v>3339732.1597536402</v>
      </c>
      <c r="AS11" s="12">
        <f>AR11*(1 + Tickets!H$267/100)</f>
        <v>3393167.8743096986</v>
      </c>
      <c r="AT11" s="12">
        <f>AS11*(1 + Tickets!I$267/100)</f>
        <v>3457638.0639215824</v>
      </c>
      <c r="AU11" s="12">
        <f>AT11*(1 + Tickets!J$267/100)</f>
        <v>3523333.1871360922</v>
      </c>
      <c r="AV11" s="12">
        <f>AU11*(1 + Tickets!K$267/100)</f>
        <v>3593799.8508788142</v>
      </c>
      <c r="AW11" s="12">
        <f>AV11*(1 + Tickets!L$267/100)</f>
        <v>3667472.7478218297</v>
      </c>
      <c r="AX11" s="12">
        <f>AW11*(1 + Tickets!M$267/100)</f>
        <v>3744489.6755260876</v>
      </c>
      <c r="AY11" s="12">
        <f>AX11*(1 + Tickets!N$267/100)</f>
        <v>3824996.2035498987</v>
      </c>
      <c r="AZ11" s="12">
        <f>AY11*(1 + Tickets!O$267/100)</f>
        <v>3909146.1200279966</v>
      </c>
      <c r="BA11" s="12">
        <f>AZ11*(1 + Tickets!P$267/100)</f>
        <v>3995147.3346686126</v>
      </c>
      <c r="BB11" s="12">
        <f>BA11*(1 + Tickets!Q$267/100)</f>
        <v>4083040.5760313221</v>
      </c>
      <c r="BC11" s="12">
        <f>BB11*(1 + Tickets!R$267/100)</f>
        <v>4172867.4687040113</v>
      </c>
      <c r="BD11" s="12">
        <f>BC11*(1 + Tickets!S$267/100)</f>
        <v>4264670.5530154994</v>
      </c>
      <c r="BE11" s="12">
        <f>BD11*(1 + Tickets!T$267/100)</f>
        <v>4358493.3051818404</v>
      </c>
      <c r="BF11" s="12">
        <f>BE11*(1 + Tickets!U$267/100)</f>
        <v>4454380.1578958407</v>
      </c>
      <c r="BG11" s="12">
        <f>BF11*(1 + Tickets!V$267/100)</f>
        <v>4552376.5213695494</v>
      </c>
      <c r="BH11" s="12">
        <f>BG11*(1 + Tickets!W$267/100)</f>
        <v>4552376.5213695494</v>
      </c>
      <c r="BI11" s="12">
        <f>BH11*(1 + Tickets!X$267/100)</f>
        <v>4552376.5213695494</v>
      </c>
      <c r="BJ11" s="12">
        <f>BI11*(1 + Tickets!Y$267/100)</f>
        <v>4552376.5213695494</v>
      </c>
      <c r="BK11" s="12">
        <f>BJ11*(1 + Tickets!Z$267/100)</f>
        <v>4552376.5213695494</v>
      </c>
      <c r="BL11" s="12">
        <f>BK11*(1 + Tickets!AA$267/100)</f>
        <v>4552376.5213695494</v>
      </c>
      <c r="BM11" s="12">
        <f>BL11*(1 + Tickets!AB$267/100)</f>
        <v>4552376.5213695494</v>
      </c>
      <c r="BN11" s="12">
        <f>BM11*(1 + Tickets!AC$267/100)</f>
        <v>4552376.5213695494</v>
      </c>
      <c r="BO11" s="12">
        <f>BN11*(1 + Tickets!AD$267/100)</f>
        <v>4552376.5213695494</v>
      </c>
      <c r="BP11" s="12">
        <f>BO11*(1 + Tickets!AE$267/100)</f>
        <v>4552376.5213695494</v>
      </c>
      <c r="BQ11" s="12">
        <f>BP11*(1 + Tickets!AF$267/100)</f>
        <v>4552376.5213695494</v>
      </c>
      <c r="BR11" s="12">
        <f>BQ11*(1 + Tickets!AG$267/100)</f>
        <v>4552376.5213695494</v>
      </c>
      <c r="BS11" s="12">
        <f>BR11*(1 + Tickets!AH$267/100)</f>
        <v>4552376.5213695494</v>
      </c>
      <c r="BT11" s="12">
        <f>BS11*(1 + Tickets!AI$267/100)</f>
        <v>4552376.5213695494</v>
      </c>
      <c r="BU11" s="12">
        <f>BT11*(1 + Tickets!AJ$267/100)</f>
        <v>4552376.5213695494</v>
      </c>
      <c r="BV11" s="12">
        <f>BU11*(1 + Tickets!AK$267/100)</f>
        <v>4552376.5213695494</v>
      </c>
      <c r="BW11" s="12">
        <f>BV11*(1 + Tickets!AL$267/100)</f>
        <v>4552376.5213695494</v>
      </c>
      <c r="BX11" s="12">
        <f>BW11*(1 + Tickets!AM$267/100)</f>
        <v>4552376.5213695494</v>
      </c>
      <c r="BY11" s="12">
        <f>BX11*(1 + Tickets!AN$267/100)</f>
        <v>4552376.5213695494</v>
      </c>
      <c r="BZ11" s="12">
        <f>BY11*(1 + Tickets!AO$267/100)</f>
        <v>4552376.5213695494</v>
      </c>
      <c r="CA11" s="12">
        <f>BZ11*(1 + Tickets!AP$267/100)</f>
        <v>4552376.5213695494</v>
      </c>
      <c r="CB11" s="12">
        <f>CA11*(1 + Tickets!AQ$267/100)</f>
        <v>4552376.5213695494</v>
      </c>
      <c r="CC11" s="12">
        <f>CB11*(1 + Tickets!AR$267/100)</f>
        <v>4552376.5213695494</v>
      </c>
      <c r="CD11" s="12">
        <f>CC11*(1 + Tickets!AS$267/100)</f>
        <v>4552376.5213695494</v>
      </c>
      <c r="CE11" s="12">
        <f>CD11*(1 + Tickets!AT$267/100)</f>
        <v>4552376.5213695494</v>
      </c>
      <c r="CF11" s="12">
        <f>CE11*(1 + Tickets!AU$267/100)</f>
        <v>4552376.5213695494</v>
      </c>
      <c r="CG11" s="12">
        <f>CF11*(1 + Tickets!AV$267/100)</f>
        <v>4552376.5213695494</v>
      </c>
      <c r="CH11" s="12">
        <f>CG11*(1 + Tickets!AW$267/100)</f>
        <v>4552376.5213695494</v>
      </c>
      <c r="CI11" s="12">
        <f>CH11*(1 + Tickets!AX$267/100)</f>
        <v>4552376.5213695494</v>
      </c>
      <c r="CJ11" s="12">
        <f>CI11*(1 + Tickets!AY$267/100)</f>
        <v>4552376.5213695494</v>
      </c>
      <c r="CK11" s="12">
        <f>CJ11*(1 + Tickets!AZ$267/100)</f>
        <v>4552376.5213695494</v>
      </c>
      <c r="CL11" s="12">
        <f>CK11*(1 + Tickets!BA$267/100)</f>
        <v>4552376.5213695494</v>
      </c>
      <c r="CM11" s="12">
        <f>CL11*(1 + Tickets!BB$267/100)</f>
        <v>4552376.5213695494</v>
      </c>
      <c r="CN11" s="12">
        <f>CM11*(1 + Tickets!BC$267/100)</f>
        <v>4552376.5213695494</v>
      </c>
      <c r="CO11" s="12">
        <f>CN11*(1 + Tickets!BD$267/100)</f>
        <v>4552376.5213695494</v>
      </c>
      <c r="CP11" s="12">
        <f>CO11*(1 + Tickets!BE$267/100)</f>
        <v>4552376.5213695494</v>
      </c>
      <c r="CQ11" s="12">
        <f>CP11*(1 + Tickets!BF$267/100)</f>
        <v>4552376.5213695494</v>
      </c>
      <c r="CR11" s="12">
        <f>CQ11*(1 + Tickets!BG$267/100)</f>
        <v>4552376.5213695494</v>
      </c>
      <c r="CS11" s="12">
        <f>CR11*(1 + Tickets!BH$267/100)</f>
        <v>4552376.5213695494</v>
      </c>
      <c r="CT11" s="12">
        <f>CS11*(1 + Tickets!BI$267/100)</f>
        <v>4552376.5213695494</v>
      </c>
      <c r="CU11" s="12">
        <f>CT11*(1 + Tickets!BJ$267/100)</f>
        <v>4552376.5213695494</v>
      </c>
      <c r="CV11" s="12">
        <f>CU11*(1 + Tickets!BK$267/100)</f>
        <v>4552376.5213695494</v>
      </c>
    </row>
    <row r="12" spans="1:108">
      <c r="AN12" s="12"/>
      <c r="AO12" s="12"/>
    </row>
    <row r="13" spans="1:108">
      <c r="A13" s="8"/>
      <c r="AN13" s="12"/>
      <c r="AO13" s="12"/>
    </row>
    <row r="14" spans="1:108">
      <c r="W14" t="s">
        <v>101</v>
      </c>
      <c r="AN14" s="12"/>
      <c r="AO14" s="12"/>
    </row>
    <row r="15" spans="1:108">
      <c r="Z15">
        <v>2009</v>
      </c>
      <c r="AA15">
        <v>2010</v>
      </c>
      <c r="AJ15" t="s">
        <v>178</v>
      </c>
      <c r="AN15" s="12"/>
      <c r="AO15" s="12"/>
    </row>
    <row r="16" spans="1:108">
      <c r="G16" s="12" t="s">
        <v>259</v>
      </c>
      <c r="J16" s="12">
        <f>J2*$H$29</f>
        <v>157236.40000000002</v>
      </c>
      <c r="K16" s="12">
        <f t="shared" ref="K16:T16" si="3">K2*$H$29</f>
        <v>326887.56</v>
      </c>
      <c r="L16" s="12">
        <f t="shared" si="3"/>
        <v>140302.36000000002</v>
      </c>
      <c r="M16" s="12">
        <f t="shared" si="3"/>
        <v>624426.32000000007</v>
      </c>
      <c r="N16" s="12">
        <f t="shared" si="3"/>
        <v>157184.04</v>
      </c>
      <c r="O16" s="12">
        <f t="shared" si="3"/>
        <v>326775.36000000004</v>
      </c>
      <c r="P16" s="12">
        <f t="shared" si="3"/>
        <v>139982.08000000002</v>
      </c>
      <c r="Q16" s="12">
        <f t="shared" si="3"/>
        <v>623941.4800000001</v>
      </c>
      <c r="R16" s="12">
        <f t="shared" si="3"/>
        <v>1248367.8</v>
      </c>
      <c r="S16" s="12">
        <f t="shared" si="3"/>
        <v>1241687.48</v>
      </c>
      <c r="T16" s="12">
        <f t="shared" si="3"/>
        <v>121144.04000000001</v>
      </c>
      <c r="W16" s="12" t="s">
        <v>259</v>
      </c>
      <c r="Z16">
        <f>R16 +T16</f>
        <v>1369511.84</v>
      </c>
      <c r="AA16">
        <f>H29*R45 + H29*T45</f>
        <v>1425946.4000000001</v>
      </c>
      <c r="AE16" s="27"/>
      <c r="AJ16" s="12" t="s">
        <v>259</v>
      </c>
      <c r="AN16" s="12">
        <f>AA71*Variables!E25</f>
        <v>367500.12318442087</v>
      </c>
      <c r="AO16" s="12">
        <f>AN16*(1 + Tickets!D$267/100)</f>
        <v>375812.97597085248</v>
      </c>
      <c r="AP16" s="12">
        <f>AO16*(1 + Tickets!E$267/100)</f>
        <v>379867.997981578</v>
      </c>
      <c r="AQ16" s="12">
        <f>AP16*(1 + Tickets!F$267/100)</f>
        <v>386416.9222667804</v>
      </c>
      <c r="AR16" s="12">
        <f>AQ16*(1 + Tickets!G$267/100)</f>
        <v>394918.09455664956</v>
      </c>
      <c r="AS16" s="12">
        <f>AR16*(1 + Tickets!H$267/100)</f>
        <v>401236.78406955599</v>
      </c>
      <c r="AT16" s="12">
        <f>AS16*(1 + Tickets!I$267/100)</f>
        <v>408860.28296687751</v>
      </c>
      <c r="AU16" s="12">
        <f>AT16*(1 + Tickets!J$267/100)</f>
        <v>416628.62834324816</v>
      </c>
      <c r="AV16" s="12">
        <f>AU16*(1 + Tickets!K$267/100)</f>
        <v>424961.20091011311</v>
      </c>
      <c r="AW16" s="12">
        <f>AV16*(1 + Tickets!L$267/100)</f>
        <v>433672.90552877041</v>
      </c>
      <c r="AX16" s="12">
        <f>AW16*(1 + Tickets!M$267/100)</f>
        <v>442780.03654487454</v>
      </c>
      <c r="AY16" s="12">
        <f>AX16*(1 + Tickets!N$267/100)</f>
        <v>452299.80733058939</v>
      </c>
      <c r="AZ16" s="12">
        <f>AY16*(1 + Tickets!O$267/100)</f>
        <v>462250.40309186239</v>
      </c>
      <c r="BA16" s="12">
        <f>AZ16*(1 + Tickets!P$267/100)</f>
        <v>472419.91195988335</v>
      </c>
      <c r="BB16" s="12">
        <f>BA16*(1 + Tickets!Q$267/100)</f>
        <v>482813.15002300078</v>
      </c>
      <c r="BC16" s="12">
        <f>BB16*(1 + Tickets!R$267/100)</f>
        <v>493435.03932350682</v>
      </c>
      <c r="BD16" s="12">
        <f>BC16*(1 + Tickets!S$267/100)</f>
        <v>504290.61018862401</v>
      </c>
      <c r="BE16" s="12">
        <f>BD16*(1 + Tickets!T$267/100)</f>
        <v>515385.00361277373</v>
      </c>
      <c r="BF16" s="12">
        <f>BE16*(1 + Tickets!U$267/100)</f>
        <v>526723.47369225475</v>
      </c>
      <c r="BG16" s="12">
        <f>BF16*(1 + Tickets!V$267/100)</f>
        <v>538311.39011348435</v>
      </c>
      <c r="BH16" s="12">
        <f>BG16*(1 + Tickets!W$267/100)</f>
        <v>538311.39011348435</v>
      </c>
      <c r="BI16" s="12">
        <f>BH16*(1 + Tickets!X$267/100)</f>
        <v>538311.39011348435</v>
      </c>
      <c r="BJ16" s="12">
        <f>BI16*(1 + Tickets!Y$267/100)</f>
        <v>538311.39011348435</v>
      </c>
      <c r="BK16" s="12">
        <f>BJ16*(1 + Tickets!Z$267/100)</f>
        <v>538311.39011348435</v>
      </c>
      <c r="BL16" s="12">
        <f>BK16*(1 + Tickets!AA$267/100)</f>
        <v>538311.39011348435</v>
      </c>
      <c r="BM16" s="12">
        <f>BL16*(1 + Tickets!AB$267/100)</f>
        <v>538311.39011348435</v>
      </c>
      <c r="BN16" s="12">
        <f>BM16*(1 + Tickets!AC$267/100)</f>
        <v>538311.39011348435</v>
      </c>
      <c r="BO16" s="12">
        <f>BN16*(1 + Tickets!AD$267/100)</f>
        <v>538311.39011348435</v>
      </c>
      <c r="BP16" s="12">
        <f>BO16*(1 + Tickets!AE$267/100)</f>
        <v>538311.39011348435</v>
      </c>
      <c r="BQ16" s="12">
        <f>BP16*(1 + Tickets!AF$267/100)</f>
        <v>538311.39011348435</v>
      </c>
      <c r="BR16" s="12">
        <f>BQ16*(1 + Tickets!AG$267/100)</f>
        <v>538311.39011348435</v>
      </c>
      <c r="BS16" s="12">
        <f>BR16*(1 + Tickets!AH$267/100)</f>
        <v>538311.39011348435</v>
      </c>
      <c r="BT16" s="12">
        <f>BS16*(1 + Tickets!AI$267/100)</f>
        <v>538311.39011348435</v>
      </c>
      <c r="BU16" s="12">
        <f>BT16*(1 + Tickets!AJ$267/100)</f>
        <v>538311.39011348435</v>
      </c>
      <c r="BV16" s="12">
        <f>BU16*(1 + Tickets!AK$267/100)</f>
        <v>538311.39011348435</v>
      </c>
      <c r="BW16" s="12">
        <f>BV16*(1 + Tickets!AL$267/100)</f>
        <v>538311.39011348435</v>
      </c>
      <c r="BX16" s="12">
        <f>BW16*(1 + Tickets!AM$267/100)</f>
        <v>538311.39011348435</v>
      </c>
      <c r="BY16" s="12">
        <f>BX16*(1 + Tickets!AN$267/100)</f>
        <v>538311.39011348435</v>
      </c>
      <c r="BZ16" s="12">
        <f>BY16*(1 + Tickets!AO$267/100)</f>
        <v>538311.39011348435</v>
      </c>
      <c r="CA16" s="12">
        <f>BZ16*(1 + Tickets!AP$267/100)</f>
        <v>538311.39011348435</v>
      </c>
      <c r="CB16" s="12">
        <f>CA16*(1 + Tickets!AQ$267/100)</f>
        <v>538311.39011348435</v>
      </c>
      <c r="CC16" s="12">
        <f>CB16*(1 + Tickets!AR$267/100)</f>
        <v>538311.39011348435</v>
      </c>
      <c r="CD16" s="12">
        <f>CC16*(1 + Tickets!AS$267/100)</f>
        <v>538311.39011348435</v>
      </c>
      <c r="CE16" s="12">
        <f>CD16*(1 + Tickets!AT$267/100)</f>
        <v>538311.39011348435</v>
      </c>
      <c r="CF16" s="12">
        <f>CE16*(1 + Tickets!AU$267/100)</f>
        <v>538311.39011348435</v>
      </c>
      <c r="CG16" s="12">
        <f>CF16*(1 + Tickets!AV$267/100)</f>
        <v>538311.39011348435</v>
      </c>
      <c r="CH16" s="12">
        <f>CG16*(1 + Tickets!AW$267/100)</f>
        <v>538311.39011348435</v>
      </c>
      <c r="CI16" s="12">
        <f>CH16*(1 + Tickets!AX$267/100)</f>
        <v>538311.39011348435</v>
      </c>
      <c r="CJ16" s="12">
        <f>CI16*(1 + Tickets!AY$267/100)</f>
        <v>538311.39011348435</v>
      </c>
      <c r="CK16" s="12">
        <f>CJ16*(1 + Tickets!AZ$267/100)</f>
        <v>538311.39011348435</v>
      </c>
      <c r="CL16" s="12">
        <f>CK16*(1 + Tickets!BA$267/100)</f>
        <v>538311.39011348435</v>
      </c>
      <c r="CM16" s="12">
        <f>CL16*(1 + Tickets!BB$267/100)</f>
        <v>538311.39011348435</v>
      </c>
      <c r="CN16" s="12">
        <f>CM16*(1 + Tickets!BC$267/100)</f>
        <v>538311.39011348435</v>
      </c>
      <c r="CO16" s="12">
        <f>CN16*(1 + Tickets!BD$267/100)</f>
        <v>538311.39011348435</v>
      </c>
      <c r="CP16" s="12">
        <f>CO16*(1 + Tickets!BE$267/100)</f>
        <v>538311.39011348435</v>
      </c>
      <c r="CQ16" s="12">
        <f>CP16*(1 + Tickets!BF$267/100)</f>
        <v>538311.39011348435</v>
      </c>
      <c r="CR16" s="12">
        <f>CQ16*(1 + Tickets!BG$267/100)</f>
        <v>538311.39011348435</v>
      </c>
      <c r="CS16" s="12">
        <f>CR16*(1 + Tickets!BH$267/100)</f>
        <v>538311.39011348435</v>
      </c>
      <c r="CT16" s="12">
        <f>CS16*(1 + Tickets!BI$267/100)</f>
        <v>538311.39011348435</v>
      </c>
      <c r="CU16" s="12">
        <f>CT16*(1 + Tickets!BJ$267/100)</f>
        <v>538311.39011348435</v>
      </c>
      <c r="CV16" s="12">
        <f>CU16*(1 + Tickets!BK$267/100)</f>
        <v>538311.39011348435</v>
      </c>
    </row>
    <row r="17" spans="1:100">
      <c r="G17" s="12" t="s">
        <v>260</v>
      </c>
      <c r="J17">
        <f>J3*$H$30</f>
        <v>183311</v>
      </c>
      <c r="K17" s="12">
        <f t="shared" ref="K17:T17" si="4">K3*$H$30</f>
        <v>404697.24000000005</v>
      </c>
      <c r="L17" s="12">
        <f t="shared" si="4"/>
        <v>187257.72</v>
      </c>
      <c r="M17" s="12">
        <f t="shared" si="4"/>
        <v>775265.96000000008</v>
      </c>
      <c r="N17" s="12">
        <f t="shared" si="4"/>
        <v>183364.04</v>
      </c>
      <c r="O17" s="12">
        <f t="shared" si="4"/>
        <v>404809.44</v>
      </c>
      <c r="P17" s="12">
        <f t="shared" si="4"/>
        <v>187578</v>
      </c>
      <c r="Q17" s="12">
        <f t="shared" si="4"/>
        <v>775751.4800000001</v>
      </c>
      <c r="R17" s="12">
        <f t="shared" si="4"/>
        <v>1551017.4400000002</v>
      </c>
      <c r="S17" s="12">
        <f t="shared" si="4"/>
        <v>1551167.04</v>
      </c>
      <c r="T17" s="12">
        <f t="shared" si="4"/>
        <v>16521.960000000003</v>
      </c>
      <c r="W17" s="12" t="s">
        <v>260</v>
      </c>
      <c r="Z17" s="12">
        <f t="shared" ref="Z17:Z23" si="5">R17 +T17</f>
        <v>1567539.4000000001</v>
      </c>
      <c r="AA17" s="12">
        <f t="shared" ref="AA17:AA23" si="6">H30*R46 + H30*T46</f>
        <v>1636386</v>
      </c>
      <c r="AB17" s="12"/>
      <c r="AC17" s="12"/>
      <c r="AD17" s="12"/>
      <c r="AE17" s="27"/>
      <c r="AJ17" s="12" t="s">
        <v>260</v>
      </c>
      <c r="AN17" s="12">
        <f>AA72*Variables!E25</f>
        <v>382911.75015772705</v>
      </c>
      <c r="AO17" s="12">
        <f>AN17*(1 + Tickets!D$267/100)</f>
        <v>391573.21394629485</v>
      </c>
      <c r="AP17" s="12">
        <f>AO17*(1 + Tickets!E$267/100)</f>
        <v>395798.28892477538</v>
      </c>
      <c r="AQ17" s="12">
        <f>AP17*(1 + Tickets!F$267/100)</f>
        <v>402621.85142583848</v>
      </c>
      <c r="AR17" s="12">
        <f>AQ17*(1 + Tickets!G$267/100)</f>
        <v>411479.53215720691</v>
      </c>
      <c r="AS17" s="12">
        <f>AR17*(1 + Tickets!H$267/100)</f>
        <v>418063.2046717222</v>
      </c>
      <c r="AT17" s="12">
        <f>AS17*(1 + Tickets!I$267/100)</f>
        <v>426006.40556048485</v>
      </c>
      <c r="AU17" s="12">
        <f>AT17*(1 + Tickets!J$267/100)</f>
        <v>434100.52726613404</v>
      </c>
      <c r="AV17" s="12">
        <f>AU17*(1 + Tickets!K$267/100)</f>
        <v>442782.53781145671</v>
      </c>
      <c r="AW17" s="12">
        <f>AV17*(1 + Tickets!L$267/100)</f>
        <v>451859.57983659155</v>
      </c>
      <c r="AX17" s="12">
        <f>AW17*(1 + Tickets!M$267/100)</f>
        <v>461348.63101315993</v>
      </c>
      <c r="AY17" s="12">
        <f>AX17*(1 + Tickets!N$267/100)</f>
        <v>471267.62657994288</v>
      </c>
      <c r="AZ17" s="12">
        <f>AY17*(1 + Tickets!O$267/100)</f>
        <v>481635.51436470164</v>
      </c>
      <c r="BA17" s="12">
        <f>AZ17*(1 + Tickets!P$267/100)</f>
        <v>492231.49568072509</v>
      </c>
      <c r="BB17" s="12">
        <f>BA17*(1 + Tickets!Q$267/100)</f>
        <v>503060.58858570107</v>
      </c>
      <c r="BC17" s="12">
        <f>BB17*(1 + Tickets!R$267/100)</f>
        <v>514127.92153458652</v>
      </c>
      <c r="BD17" s="12">
        <f>BC17*(1 + Tickets!S$267/100)</f>
        <v>525438.73580834747</v>
      </c>
      <c r="BE17" s="12">
        <f>BD17*(1 + Tickets!T$267/100)</f>
        <v>536998.38799613109</v>
      </c>
      <c r="BF17" s="12">
        <f>BE17*(1 + Tickets!U$267/100)</f>
        <v>548812.35253204603</v>
      </c>
      <c r="BG17" s="12">
        <f>BF17*(1 + Tickets!V$267/100)</f>
        <v>560886.22428775101</v>
      </c>
      <c r="BH17" s="12">
        <f>BG17*(1 + Tickets!W$267/100)</f>
        <v>560886.22428775101</v>
      </c>
      <c r="BI17" s="12">
        <f>BH17*(1 + Tickets!X$267/100)</f>
        <v>560886.22428775101</v>
      </c>
      <c r="BJ17" s="12">
        <f>BI17*(1 + Tickets!Y$267/100)</f>
        <v>560886.22428775101</v>
      </c>
      <c r="BK17" s="12">
        <f>BJ17*(1 + Tickets!Z$267/100)</f>
        <v>560886.22428775101</v>
      </c>
      <c r="BL17" s="12">
        <f>BK17*(1 + Tickets!AA$267/100)</f>
        <v>560886.22428775101</v>
      </c>
      <c r="BM17" s="12">
        <f>BL17*(1 + Tickets!AB$267/100)</f>
        <v>560886.22428775101</v>
      </c>
      <c r="BN17" s="12">
        <f>BM17*(1 + Tickets!AC$267/100)</f>
        <v>560886.22428775101</v>
      </c>
      <c r="BO17" s="12">
        <f>BN17*(1 + Tickets!AD$267/100)</f>
        <v>560886.22428775101</v>
      </c>
      <c r="BP17" s="12">
        <f>BO17*(1 + Tickets!AE$267/100)</f>
        <v>560886.22428775101</v>
      </c>
      <c r="BQ17" s="12">
        <f>BP17*(1 + Tickets!AF$267/100)</f>
        <v>560886.22428775101</v>
      </c>
      <c r="BR17" s="12">
        <f>BQ17*(1 + Tickets!AG$267/100)</f>
        <v>560886.22428775101</v>
      </c>
      <c r="BS17" s="12">
        <f>BR17*(1 + Tickets!AH$267/100)</f>
        <v>560886.22428775101</v>
      </c>
      <c r="BT17" s="12">
        <f>BS17*(1 + Tickets!AI$267/100)</f>
        <v>560886.22428775101</v>
      </c>
      <c r="BU17" s="12">
        <f>BT17*(1 + Tickets!AJ$267/100)</f>
        <v>560886.22428775101</v>
      </c>
      <c r="BV17" s="12">
        <f>BU17*(1 + Tickets!AK$267/100)</f>
        <v>560886.22428775101</v>
      </c>
      <c r="BW17" s="12">
        <f>BV17*(1 + Tickets!AL$267/100)</f>
        <v>560886.22428775101</v>
      </c>
      <c r="BX17" s="12">
        <f>BW17*(1 + Tickets!AM$267/100)</f>
        <v>560886.22428775101</v>
      </c>
      <c r="BY17" s="12">
        <f>BX17*(1 + Tickets!AN$267/100)</f>
        <v>560886.22428775101</v>
      </c>
      <c r="BZ17" s="12">
        <f>BY17*(1 + Tickets!AO$267/100)</f>
        <v>560886.22428775101</v>
      </c>
      <c r="CA17" s="12">
        <f>BZ17*(1 + Tickets!AP$267/100)</f>
        <v>560886.22428775101</v>
      </c>
      <c r="CB17" s="12">
        <f>CA17*(1 + Tickets!AQ$267/100)</f>
        <v>560886.22428775101</v>
      </c>
      <c r="CC17" s="12">
        <f>CB17*(1 + Tickets!AR$267/100)</f>
        <v>560886.22428775101</v>
      </c>
      <c r="CD17" s="12">
        <f>CC17*(1 + Tickets!AS$267/100)</f>
        <v>560886.22428775101</v>
      </c>
      <c r="CE17" s="12">
        <f>CD17*(1 + Tickets!AT$267/100)</f>
        <v>560886.22428775101</v>
      </c>
      <c r="CF17" s="12">
        <f>CE17*(1 + Tickets!AU$267/100)</f>
        <v>560886.22428775101</v>
      </c>
      <c r="CG17" s="12">
        <f>CF17*(1 + Tickets!AV$267/100)</f>
        <v>560886.22428775101</v>
      </c>
      <c r="CH17" s="12">
        <f>CG17*(1 + Tickets!AW$267/100)</f>
        <v>560886.22428775101</v>
      </c>
      <c r="CI17" s="12">
        <f>CH17*(1 + Tickets!AX$267/100)</f>
        <v>560886.22428775101</v>
      </c>
      <c r="CJ17" s="12">
        <f>CI17*(1 + Tickets!AY$267/100)</f>
        <v>560886.22428775101</v>
      </c>
      <c r="CK17" s="12">
        <f>CJ17*(1 + Tickets!AZ$267/100)</f>
        <v>560886.22428775101</v>
      </c>
      <c r="CL17" s="12">
        <f>CK17*(1 + Tickets!BA$267/100)</f>
        <v>560886.22428775101</v>
      </c>
      <c r="CM17" s="12">
        <f>CL17*(1 + Tickets!BB$267/100)</f>
        <v>560886.22428775101</v>
      </c>
      <c r="CN17" s="12">
        <f>CM17*(1 + Tickets!BC$267/100)</f>
        <v>560886.22428775101</v>
      </c>
      <c r="CO17" s="12">
        <f>CN17*(1 + Tickets!BD$267/100)</f>
        <v>560886.22428775101</v>
      </c>
      <c r="CP17" s="12">
        <f>CO17*(1 + Tickets!BE$267/100)</f>
        <v>560886.22428775101</v>
      </c>
      <c r="CQ17" s="12">
        <f>CP17*(1 + Tickets!BF$267/100)</f>
        <v>560886.22428775101</v>
      </c>
      <c r="CR17" s="12">
        <f>CQ17*(1 + Tickets!BG$267/100)</f>
        <v>560886.22428775101</v>
      </c>
      <c r="CS17" s="12">
        <f>CR17*(1 + Tickets!BH$267/100)</f>
        <v>560886.22428775101</v>
      </c>
      <c r="CT17" s="12">
        <f>CS17*(1 + Tickets!BI$267/100)</f>
        <v>560886.22428775101</v>
      </c>
      <c r="CU17" s="12">
        <f>CT17*(1 + Tickets!BJ$267/100)</f>
        <v>560886.22428775101</v>
      </c>
      <c r="CV17" s="12">
        <f>CU17*(1 + Tickets!BK$267/100)</f>
        <v>560886.22428775101</v>
      </c>
    </row>
    <row r="18" spans="1:100">
      <c r="G18" s="12" t="s">
        <v>261</v>
      </c>
      <c r="J18">
        <f>J4*$H$31</f>
        <v>184526.16</v>
      </c>
      <c r="K18" s="12">
        <f t="shared" ref="K18:T18" si="7">K4*$H$31</f>
        <v>246570.04</v>
      </c>
      <c r="L18" s="12">
        <f t="shared" si="7"/>
        <v>74090.080000000002</v>
      </c>
      <c r="M18" s="12">
        <f t="shared" si="7"/>
        <v>505186.28</v>
      </c>
      <c r="N18" s="12">
        <f t="shared" si="7"/>
        <v>184526.16</v>
      </c>
      <c r="O18" s="12">
        <f t="shared" si="7"/>
        <v>246570.04</v>
      </c>
      <c r="P18" s="12">
        <f t="shared" si="7"/>
        <v>74090.080000000002</v>
      </c>
      <c r="Q18" s="12">
        <f t="shared" si="7"/>
        <v>505186.28</v>
      </c>
      <c r="R18" s="12">
        <f t="shared" si="7"/>
        <v>1010372.56</v>
      </c>
      <c r="S18" s="12">
        <f t="shared" si="7"/>
        <v>1059192.48</v>
      </c>
      <c r="T18" s="12">
        <f t="shared" si="7"/>
        <v>67158.840000000011</v>
      </c>
      <c r="W18" s="12" t="s">
        <v>261</v>
      </c>
      <c r="Z18" s="12">
        <f t="shared" si="5"/>
        <v>1077531.4000000001</v>
      </c>
      <c r="AA18" s="12">
        <f t="shared" si="6"/>
        <v>1080234.4000000001</v>
      </c>
      <c r="AB18" s="12"/>
      <c r="AC18" s="12"/>
      <c r="AD18" s="12"/>
      <c r="AE18" s="27"/>
      <c r="AJ18" s="12" t="s">
        <v>261</v>
      </c>
      <c r="AN18" s="12">
        <f>AA73*Variables!E25</f>
        <v>402399.68476661592</v>
      </c>
      <c r="AO18" s="12">
        <f>AN18*(1 + Tickets!D$267/100)</f>
        <v>411501.96563603682</v>
      </c>
      <c r="AP18" s="12">
        <f>AO18*(1 + Tickets!E$267/100)</f>
        <v>415942.07184524968</v>
      </c>
      <c r="AQ18" s="12">
        <f>AP18*(1 + Tickets!F$267/100)</f>
        <v>423112.91316386173</v>
      </c>
      <c r="AR18" s="12">
        <f>AQ18*(1 + Tickets!G$267/100)</f>
        <v>432421.39725346671</v>
      </c>
      <c r="AS18" s="12">
        <f>AR18*(1 + Tickets!H$267/100)</f>
        <v>439340.13960952219</v>
      </c>
      <c r="AT18" s="12">
        <f>AS18*(1 + Tickets!I$267/100)</f>
        <v>447687.60226210306</v>
      </c>
      <c r="AU18" s="12">
        <f>AT18*(1 + Tickets!J$267/100)</f>
        <v>456193.66670508299</v>
      </c>
      <c r="AV18" s="12">
        <f>AU18*(1 + Tickets!K$267/100)</f>
        <v>465317.54003918468</v>
      </c>
      <c r="AW18" s="12">
        <f>AV18*(1 + Tickets!L$267/100)</f>
        <v>474856.54960998794</v>
      </c>
      <c r="AX18" s="12">
        <f>AW18*(1 + Tickets!M$267/100)</f>
        <v>484828.53715179762</v>
      </c>
      <c r="AY18" s="12">
        <f>AX18*(1 + Tickets!N$267/100)</f>
        <v>495252.35070056131</v>
      </c>
      <c r="AZ18" s="12">
        <f>AY18*(1 + Tickets!O$267/100)</f>
        <v>506147.90241597366</v>
      </c>
      <c r="BA18" s="12">
        <f>AZ18*(1 + Tickets!P$267/100)</f>
        <v>517283.15626912512</v>
      </c>
      <c r="BB18" s="12">
        <f>BA18*(1 + Tickets!Q$267/100)</f>
        <v>528663.38570704591</v>
      </c>
      <c r="BC18" s="12">
        <f>BB18*(1 + Tickets!R$267/100)</f>
        <v>540293.98019260098</v>
      </c>
      <c r="BD18" s="12">
        <f>BC18*(1 + Tickets!S$267/100)</f>
        <v>552180.44775683817</v>
      </c>
      <c r="BE18" s="12">
        <f>BD18*(1 + Tickets!T$267/100)</f>
        <v>564328.41760748858</v>
      </c>
      <c r="BF18" s="12">
        <f>BE18*(1 + Tickets!U$267/100)</f>
        <v>576743.64279485331</v>
      </c>
      <c r="BG18" s="12">
        <f>BF18*(1 + Tickets!V$267/100)</f>
        <v>589432.00293634005</v>
      </c>
      <c r="BH18" s="12">
        <f>BG18*(1 + Tickets!W$267/100)</f>
        <v>589432.00293634005</v>
      </c>
      <c r="BI18" s="12">
        <f>BH18*(1 + Tickets!X$267/100)</f>
        <v>589432.00293634005</v>
      </c>
      <c r="BJ18" s="12">
        <f>BI18*(1 + Tickets!Y$267/100)</f>
        <v>589432.00293634005</v>
      </c>
      <c r="BK18" s="12">
        <f>BJ18*(1 + Tickets!Z$267/100)</f>
        <v>589432.00293634005</v>
      </c>
      <c r="BL18" s="12">
        <f>BK18*(1 + Tickets!AA$267/100)</f>
        <v>589432.00293634005</v>
      </c>
      <c r="BM18" s="12">
        <f>BL18*(1 + Tickets!AB$267/100)</f>
        <v>589432.00293634005</v>
      </c>
      <c r="BN18" s="12">
        <f>BM18*(1 + Tickets!AC$267/100)</f>
        <v>589432.00293634005</v>
      </c>
      <c r="BO18" s="12">
        <f>BN18*(1 + Tickets!AD$267/100)</f>
        <v>589432.00293634005</v>
      </c>
      <c r="BP18" s="12">
        <f>BO18*(1 + Tickets!AE$267/100)</f>
        <v>589432.00293634005</v>
      </c>
      <c r="BQ18" s="12">
        <f>BP18*(1 + Tickets!AF$267/100)</f>
        <v>589432.00293634005</v>
      </c>
      <c r="BR18" s="12">
        <f>BQ18*(1 + Tickets!AG$267/100)</f>
        <v>589432.00293634005</v>
      </c>
      <c r="BS18" s="12">
        <f>BR18*(1 + Tickets!AH$267/100)</f>
        <v>589432.00293634005</v>
      </c>
      <c r="BT18" s="12">
        <f>BS18*(1 + Tickets!AI$267/100)</f>
        <v>589432.00293634005</v>
      </c>
      <c r="BU18" s="12">
        <f>BT18*(1 + Tickets!AJ$267/100)</f>
        <v>589432.00293634005</v>
      </c>
      <c r="BV18" s="12">
        <f>BU18*(1 + Tickets!AK$267/100)</f>
        <v>589432.00293634005</v>
      </c>
      <c r="BW18" s="12">
        <f>BV18*(1 + Tickets!AL$267/100)</f>
        <v>589432.00293634005</v>
      </c>
      <c r="BX18" s="12">
        <f>BW18*(1 + Tickets!AM$267/100)</f>
        <v>589432.00293634005</v>
      </c>
      <c r="BY18" s="12">
        <f>BX18*(1 + Tickets!AN$267/100)</f>
        <v>589432.00293634005</v>
      </c>
      <c r="BZ18" s="12">
        <f>BY18*(1 + Tickets!AO$267/100)</f>
        <v>589432.00293634005</v>
      </c>
      <c r="CA18" s="12">
        <f>BZ18*(1 + Tickets!AP$267/100)</f>
        <v>589432.00293634005</v>
      </c>
      <c r="CB18" s="12">
        <f>CA18*(1 + Tickets!AQ$267/100)</f>
        <v>589432.00293634005</v>
      </c>
      <c r="CC18" s="12">
        <f>CB18*(1 + Tickets!AR$267/100)</f>
        <v>589432.00293634005</v>
      </c>
      <c r="CD18" s="12">
        <f>CC18*(1 + Tickets!AS$267/100)</f>
        <v>589432.00293634005</v>
      </c>
      <c r="CE18" s="12">
        <f>CD18*(1 + Tickets!AT$267/100)</f>
        <v>589432.00293634005</v>
      </c>
      <c r="CF18" s="12">
        <f>CE18*(1 + Tickets!AU$267/100)</f>
        <v>589432.00293634005</v>
      </c>
      <c r="CG18" s="12">
        <f>CF18*(1 + Tickets!AV$267/100)</f>
        <v>589432.00293634005</v>
      </c>
      <c r="CH18" s="12">
        <f>CG18*(1 + Tickets!AW$267/100)</f>
        <v>589432.00293634005</v>
      </c>
      <c r="CI18" s="12">
        <f>CH18*(1 + Tickets!AX$267/100)</f>
        <v>589432.00293634005</v>
      </c>
      <c r="CJ18" s="12">
        <f>CI18*(1 + Tickets!AY$267/100)</f>
        <v>589432.00293634005</v>
      </c>
      <c r="CK18" s="12">
        <f>CJ18*(1 + Tickets!AZ$267/100)</f>
        <v>589432.00293634005</v>
      </c>
      <c r="CL18" s="12">
        <f>CK18*(1 + Tickets!BA$267/100)</f>
        <v>589432.00293634005</v>
      </c>
      <c r="CM18" s="12">
        <f>CL18*(1 + Tickets!BB$267/100)</f>
        <v>589432.00293634005</v>
      </c>
      <c r="CN18" s="12">
        <f>CM18*(1 + Tickets!BC$267/100)</f>
        <v>589432.00293634005</v>
      </c>
      <c r="CO18" s="12">
        <f>CN18*(1 + Tickets!BD$267/100)</f>
        <v>589432.00293634005</v>
      </c>
      <c r="CP18" s="12">
        <f>CO18*(1 + Tickets!BE$267/100)</f>
        <v>589432.00293634005</v>
      </c>
      <c r="CQ18" s="12">
        <f>CP18*(1 + Tickets!BF$267/100)</f>
        <v>589432.00293634005</v>
      </c>
      <c r="CR18" s="12">
        <f>CQ18*(1 + Tickets!BG$267/100)</f>
        <v>589432.00293634005</v>
      </c>
      <c r="CS18" s="12">
        <f>CR18*(1 + Tickets!BH$267/100)</f>
        <v>589432.00293634005</v>
      </c>
      <c r="CT18" s="12">
        <f>CS18*(1 + Tickets!BI$267/100)</f>
        <v>589432.00293634005</v>
      </c>
      <c r="CU18" s="12">
        <f>CT18*(1 + Tickets!BJ$267/100)</f>
        <v>589432.00293634005</v>
      </c>
      <c r="CV18" s="12">
        <f>CU18*(1 + Tickets!BK$267/100)</f>
        <v>589432.00293634005</v>
      </c>
    </row>
    <row r="19" spans="1:100">
      <c r="G19" s="12" t="s">
        <v>262</v>
      </c>
      <c r="J19">
        <f>J5*$H$32</f>
        <v>191667.52000000002</v>
      </c>
      <c r="K19" s="12">
        <f t="shared" ref="K19:T19" si="8">K5*$H$32</f>
        <v>278090.08</v>
      </c>
      <c r="L19" s="12">
        <f t="shared" si="8"/>
        <v>252495.56000000003</v>
      </c>
      <c r="M19" s="12">
        <f t="shared" si="8"/>
        <v>722253.16</v>
      </c>
      <c r="N19" s="12">
        <f t="shared" si="8"/>
        <v>191667.52000000002</v>
      </c>
      <c r="O19" s="12">
        <f t="shared" si="8"/>
        <v>278090.08</v>
      </c>
      <c r="P19" s="12">
        <f t="shared" si="8"/>
        <v>252495.56000000003</v>
      </c>
      <c r="Q19" s="12">
        <f t="shared" si="8"/>
        <v>722253.16</v>
      </c>
      <c r="R19" s="12">
        <f t="shared" si="8"/>
        <v>1444506.32</v>
      </c>
      <c r="S19" s="12">
        <f t="shared" si="8"/>
        <v>1485594.6400000001</v>
      </c>
      <c r="T19" s="12">
        <f t="shared" si="8"/>
        <v>189175.32</v>
      </c>
      <c r="W19" s="12" t="s">
        <v>262</v>
      </c>
      <c r="Z19" s="12">
        <f t="shared" si="5"/>
        <v>1633681.6400000001</v>
      </c>
      <c r="AA19" s="12">
        <f t="shared" si="6"/>
        <v>1667272.28</v>
      </c>
      <c r="AB19" s="12"/>
      <c r="AC19" s="12"/>
      <c r="AD19" s="12"/>
      <c r="AE19" s="27"/>
      <c r="AJ19" s="12" t="s">
        <v>262</v>
      </c>
      <c r="AN19" s="12">
        <f>AA74*Variables!E25</f>
        <v>450641.12689795467</v>
      </c>
      <c r="AO19" s="12">
        <f>AN19*(1 + Tickets!D$267/100)</f>
        <v>460834.62918838643</v>
      </c>
      <c r="AP19" s="12">
        <f>AO19*(1 + Tickets!E$267/100)</f>
        <v>465807.03483732918</v>
      </c>
      <c r="AQ19" s="12">
        <f>AP19*(1 + Tickets!F$267/100)</f>
        <v>473837.54811792471</v>
      </c>
      <c r="AR19" s="12">
        <f>AQ19*(1 + Tickets!G$267/100)</f>
        <v>484261.97417651908</v>
      </c>
      <c r="AS19" s="12">
        <f>AR19*(1 + Tickets!H$267/100)</f>
        <v>492010.16576334339</v>
      </c>
      <c r="AT19" s="12">
        <f>AS19*(1 + Tickets!I$267/100)</f>
        <v>501358.35891284689</v>
      </c>
      <c r="AU19" s="12">
        <f>AT19*(1 + Tickets!J$267/100)</f>
        <v>510884.16773219092</v>
      </c>
      <c r="AV19" s="12">
        <f>AU19*(1 + Tickets!K$267/100)</f>
        <v>521101.85108683474</v>
      </c>
      <c r="AW19" s="12">
        <f>AV19*(1 + Tickets!L$267/100)</f>
        <v>531784.43903411482</v>
      </c>
      <c r="AX19" s="12">
        <f>AW19*(1 + Tickets!M$267/100)</f>
        <v>542951.91225383116</v>
      </c>
      <c r="AY19" s="12">
        <f>AX19*(1 + Tickets!N$267/100)</f>
        <v>554625.37836728862</v>
      </c>
      <c r="AZ19" s="12">
        <f>AY19*(1 + Tickets!O$267/100)</f>
        <v>566827.136691369</v>
      </c>
      <c r="BA19" s="12">
        <f>AZ19*(1 + Tickets!P$267/100)</f>
        <v>579297.33369857911</v>
      </c>
      <c r="BB19" s="12">
        <f>BA19*(1 + Tickets!Q$267/100)</f>
        <v>592041.87503994792</v>
      </c>
      <c r="BC19" s="12">
        <f>BB19*(1 + Tickets!R$267/100)</f>
        <v>605066.79629082675</v>
      </c>
      <c r="BD19" s="12">
        <f>BC19*(1 + Tickets!S$267/100)</f>
        <v>618378.26580922492</v>
      </c>
      <c r="BE19" s="12">
        <f>BD19*(1 + Tickets!T$267/100)</f>
        <v>631982.58765702788</v>
      </c>
      <c r="BF19" s="12">
        <f>BE19*(1 + Tickets!U$267/100)</f>
        <v>645886.20458548248</v>
      </c>
      <c r="BG19" s="12">
        <f>BF19*(1 + Tickets!V$267/100)</f>
        <v>660095.70108636306</v>
      </c>
      <c r="BH19" s="12">
        <f>BG19*(1 + Tickets!W$267/100)</f>
        <v>660095.70108636306</v>
      </c>
      <c r="BI19" s="12">
        <f>BH19*(1 + Tickets!X$267/100)</f>
        <v>660095.70108636306</v>
      </c>
      <c r="BJ19" s="12">
        <f>BI19*(1 + Tickets!Y$267/100)</f>
        <v>660095.70108636306</v>
      </c>
      <c r="BK19" s="12">
        <f>BJ19*(1 + Tickets!Z$267/100)</f>
        <v>660095.70108636306</v>
      </c>
      <c r="BL19" s="12">
        <f>BK19*(1 + Tickets!AA$267/100)</f>
        <v>660095.70108636306</v>
      </c>
      <c r="BM19" s="12">
        <f>BL19*(1 + Tickets!AB$267/100)</f>
        <v>660095.70108636306</v>
      </c>
      <c r="BN19" s="12">
        <f>BM19*(1 + Tickets!AC$267/100)</f>
        <v>660095.70108636306</v>
      </c>
      <c r="BO19" s="12">
        <f>BN19*(1 + Tickets!AD$267/100)</f>
        <v>660095.70108636306</v>
      </c>
      <c r="BP19" s="12">
        <f>BO19*(1 + Tickets!AE$267/100)</f>
        <v>660095.70108636306</v>
      </c>
      <c r="BQ19" s="12">
        <f>BP19*(1 + Tickets!AF$267/100)</f>
        <v>660095.70108636306</v>
      </c>
      <c r="BR19" s="12">
        <f>BQ19*(1 + Tickets!AG$267/100)</f>
        <v>660095.70108636306</v>
      </c>
      <c r="BS19" s="12">
        <f>BR19*(1 + Tickets!AH$267/100)</f>
        <v>660095.70108636306</v>
      </c>
      <c r="BT19" s="12">
        <f>BS19*(1 + Tickets!AI$267/100)</f>
        <v>660095.70108636306</v>
      </c>
      <c r="BU19" s="12">
        <f>BT19*(1 + Tickets!AJ$267/100)</f>
        <v>660095.70108636306</v>
      </c>
      <c r="BV19" s="12">
        <f>BU19*(1 + Tickets!AK$267/100)</f>
        <v>660095.70108636306</v>
      </c>
      <c r="BW19" s="12">
        <f>BV19*(1 + Tickets!AL$267/100)</f>
        <v>660095.70108636306</v>
      </c>
      <c r="BX19" s="12">
        <f>BW19*(1 + Tickets!AM$267/100)</f>
        <v>660095.70108636306</v>
      </c>
      <c r="BY19" s="12">
        <f>BX19*(1 + Tickets!AN$267/100)</f>
        <v>660095.70108636306</v>
      </c>
      <c r="BZ19" s="12">
        <f>BY19*(1 + Tickets!AO$267/100)</f>
        <v>660095.70108636306</v>
      </c>
      <c r="CA19" s="12">
        <f>BZ19*(1 + Tickets!AP$267/100)</f>
        <v>660095.70108636306</v>
      </c>
      <c r="CB19" s="12">
        <f>CA19*(1 + Tickets!AQ$267/100)</f>
        <v>660095.70108636306</v>
      </c>
      <c r="CC19" s="12">
        <f>CB19*(1 + Tickets!AR$267/100)</f>
        <v>660095.70108636306</v>
      </c>
      <c r="CD19" s="12">
        <f>CC19*(1 + Tickets!AS$267/100)</f>
        <v>660095.70108636306</v>
      </c>
      <c r="CE19" s="12">
        <f>CD19*(1 + Tickets!AT$267/100)</f>
        <v>660095.70108636306</v>
      </c>
      <c r="CF19" s="12">
        <f>CE19*(1 + Tickets!AU$267/100)</f>
        <v>660095.70108636306</v>
      </c>
      <c r="CG19" s="12">
        <f>CF19*(1 + Tickets!AV$267/100)</f>
        <v>660095.70108636306</v>
      </c>
      <c r="CH19" s="12">
        <f>CG19*(1 + Tickets!AW$267/100)</f>
        <v>660095.70108636306</v>
      </c>
      <c r="CI19" s="12">
        <f>CH19*(1 + Tickets!AX$267/100)</f>
        <v>660095.70108636306</v>
      </c>
      <c r="CJ19" s="12">
        <f>CI19*(1 + Tickets!AY$267/100)</f>
        <v>660095.70108636306</v>
      </c>
      <c r="CK19" s="12">
        <f>CJ19*(1 + Tickets!AZ$267/100)</f>
        <v>660095.70108636306</v>
      </c>
      <c r="CL19" s="12">
        <f>CK19*(1 + Tickets!BA$267/100)</f>
        <v>660095.70108636306</v>
      </c>
      <c r="CM19" s="12">
        <f>CL19*(1 + Tickets!BB$267/100)</f>
        <v>660095.70108636306</v>
      </c>
      <c r="CN19" s="12">
        <f>CM19*(1 + Tickets!BC$267/100)</f>
        <v>660095.70108636306</v>
      </c>
      <c r="CO19" s="12">
        <f>CN19*(1 + Tickets!BD$267/100)</f>
        <v>660095.70108636306</v>
      </c>
      <c r="CP19" s="12">
        <f>CO19*(1 + Tickets!BE$267/100)</f>
        <v>660095.70108636306</v>
      </c>
      <c r="CQ19" s="12">
        <f>CP19*(1 + Tickets!BF$267/100)</f>
        <v>660095.70108636306</v>
      </c>
      <c r="CR19" s="12">
        <f>CQ19*(1 + Tickets!BG$267/100)</f>
        <v>660095.70108636306</v>
      </c>
      <c r="CS19" s="12">
        <f>CR19*(1 + Tickets!BH$267/100)</f>
        <v>660095.70108636306</v>
      </c>
      <c r="CT19" s="12">
        <f>CS19*(1 + Tickets!BI$267/100)</f>
        <v>660095.70108636306</v>
      </c>
      <c r="CU19" s="12">
        <f>CT19*(1 + Tickets!BJ$267/100)</f>
        <v>660095.70108636306</v>
      </c>
      <c r="CV19" s="12">
        <f>CU19*(1 + Tickets!BK$267/100)</f>
        <v>660095.70108636306</v>
      </c>
    </row>
    <row r="20" spans="1:100" s="12" customFormat="1">
      <c r="G20" s="12" t="s">
        <v>263</v>
      </c>
      <c r="J20" s="12">
        <f>J6*$H$33</f>
        <v>84364.200000000012</v>
      </c>
      <c r="K20" s="12">
        <f t="shared" ref="K20:T20" si="9">K6*$H$33</f>
        <v>156536.68000000002</v>
      </c>
      <c r="L20" s="12">
        <f t="shared" si="9"/>
        <v>174173.84000000003</v>
      </c>
      <c r="M20" s="12">
        <f t="shared" si="9"/>
        <v>415074.72000000003</v>
      </c>
      <c r="N20" s="12">
        <f t="shared" si="9"/>
        <v>84364.200000000012</v>
      </c>
      <c r="O20" s="12">
        <f t="shared" si="9"/>
        <v>156536.68000000002</v>
      </c>
      <c r="P20" s="12">
        <f t="shared" si="9"/>
        <v>174173.84000000003</v>
      </c>
      <c r="Q20" s="12">
        <f t="shared" si="9"/>
        <v>415074.72000000003</v>
      </c>
      <c r="R20" s="12">
        <f t="shared" si="9"/>
        <v>830149.44000000006</v>
      </c>
      <c r="S20" s="12">
        <f t="shared" si="9"/>
        <v>835932.16000000003</v>
      </c>
      <c r="T20" s="12">
        <f t="shared" si="9"/>
        <v>7803.0000000000009</v>
      </c>
      <c r="W20" s="12" t="s">
        <v>263</v>
      </c>
      <c r="Z20" s="12">
        <f t="shared" si="5"/>
        <v>837952.44000000006</v>
      </c>
      <c r="AA20" s="12">
        <f t="shared" si="6"/>
        <v>888153.44000000006</v>
      </c>
      <c r="AE20" s="27"/>
      <c r="AJ20" s="12" t="s">
        <v>263</v>
      </c>
      <c r="AN20" s="12">
        <f>AA75*Variables!E25</f>
        <v>183749.49183837231</v>
      </c>
      <c r="AO20" s="12">
        <f>AN20*(1 + Tickets!D$267/100)</f>
        <v>187905.90534375631</v>
      </c>
      <c r="AP20" s="12">
        <f>AO20*(1 + Tickets!E$267/100)</f>
        <v>189933.41006241547</v>
      </c>
      <c r="AQ20" s="12">
        <f>AP20*(1 + Tickets!F$267/100)</f>
        <v>193207.86205189148</v>
      </c>
      <c r="AR20" s="12">
        <f>AQ20*(1 + Tickets!G$267/100)</f>
        <v>197458.4350170331</v>
      </c>
      <c r="AS20" s="12">
        <f>AR20*(1 + Tickets!H$267/100)</f>
        <v>200617.76997730564</v>
      </c>
      <c r="AT20" s="12">
        <f>AS20*(1 + Tickets!I$267/100)</f>
        <v>204429.50760687442</v>
      </c>
      <c r="AU20" s="12">
        <f>AT20*(1 + Tickets!J$267/100)</f>
        <v>208313.668251405</v>
      </c>
      <c r="AV20" s="12">
        <f>AU20*(1 + Tickets!K$267/100)</f>
        <v>212479.94161643312</v>
      </c>
      <c r="AW20" s="12">
        <f>AV20*(1 + Tickets!L$267/100)</f>
        <v>216835.78041956999</v>
      </c>
      <c r="AX20" s="12">
        <f>AW20*(1 + Tickets!M$267/100)</f>
        <v>221389.33180838093</v>
      </c>
      <c r="AY20" s="12">
        <f>AX20*(1 + Tickets!N$267/100)</f>
        <v>226149.20244226113</v>
      </c>
      <c r="AZ20" s="12">
        <f>AY20*(1 + Tickets!O$267/100)</f>
        <v>231124.48489599087</v>
      </c>
      <c r="BA20" s="12">
        <f>AZ20*(1 + Tickets!P$267/100)</f>
        <v>236209.22356370266</v>
      </c>
      <c r="BB20" s="12">
        <f>BA20*(1 + Tickets!Q$267/100)</f>
        <v>241405.82648210414</v>
      </c>
      <c r="BC20" s="12">
        <f>BB20*(1 + Tickets!R$267/100)</f>
        <v>246716.75466471043</v>
      </c>
      <c r="BD20" s="12">
        <f>BC20*(1 + Tickets!S$267/100)</f>
        <v>252144.52326733407</v>
      </c>
      <c r="BE20" s="12">
        <f>BD20*(1 + Tickets!T$267/100)</f>
        <v>257691.70277921541</v>
      </c>
      <c r="BF20" s="12">
        <f>BE20*(1 + Tickets!U$267/100)</f>
        <v>263360.92024035816</v>
      </c>
      <c r="BG20" s="12">
        <f>BF20*(1 + Tickets!V$267/100)</f>
        <v>269154.86048564606</v>
      </c>
      <c r="BH20" s="12">
        <f>BG20*(1 + Tickets!W$267/100)</f>
        <v>269154.86048564606</v>
      </c>
      <c r="BI20" s="12">
        <f>BH20*(1 + Tickets!X$267/100)</f>
        <v>269154.86048564606</v>
      </c>
      <c r="BJ20" s="12">
        <f>BI20*(1 + Tickets!Y$267/100)</f>
        <v>269154.86048564606</v>
      </c>
      <c r="BK20" s="12">
        <f>BJ20*(1 + Tickets!Z$267/100)</f>
        <v>269154.86048564606</v>
      </c>
      <c r="BL20" s="12">
        <f>BK20*(1 + Tickets!AA$267/100)</f>
        <v>269154.86048564606</v>
      </c>
      <c r="BM20" s="12">
        <f>BL20*(1 + Tickets!AB$267/100)</f>
        <v>269154.86048564606</v>
      </c>
      <c r="BN20" s="12">
        <f>BM20*(1 + Tickets!AC$267/100)</f>
        <v>269154.86048564606</v>
      </c>
      <c r="BO20" s="12">
        <f>BN20*(1 + Tickets!AD$267/100)</f>
        <v>269154.86048564606</v>
      </c>
      <c r="BP20" s="12">
        <f>BO20*(1 + Tickets!AE$267/100)</f>
        <v>269154.86048564606</v>
      </c>
      <c r="BQ20" s="12">
        <f>BP20*(1 + Tickets!AF$267/100)</f>
        <v>269154.86048564606</v>
      </c>
      <c r="BR20" s="12">
        <f>BQ20*(1 + Tickets!AG$267/100)</f>
        <v>269154.86048564606</v>
      </c>
      <c r="BS20" s="12">
        <f>BR20*(1 + Tickets!AH$267/100)</f>
        <v>269154.86048564606</v>
      </c>
      <c r="BT20" s="12">
        <f>BS20*(1 + Tickets!AI$267/100)</f>
        <v>269154.86048564606</v>
      </c>
      <c r="BU20" s="12">
        <f>BT20*(1 + Tickets!AJ$267/100)</f>
        <v>269154.86048564606</v>
      </c>
      <c r="BV20" s="12">
        <f>BU20*(1 + Tickets!AK$267/100)</f>
        <v>269154.86048564606</v>
      </c>
      <c r="BW20" s="12">
        <f>BV20*(1 + Tickets!AL$267/100)</f>
        <v>269154.86048564606</v>
      </c>
      <c r="BX20" s="12">
        <f>BW20*(1 + Tickets!AM$267/100)</f>
        <v>269154.86048564606</v>
      </c>
      <c r="BY20" s="12">
        <f>BX20*(1 + Tickets!AN$267/100)</f>
        <v>269154.86048564606</v>
      </c>
      <c r="BZ20" s="12">
        <f>BY20*(1 + Tickets!AO$267/100)</f>
        <v>269154.86048564606</v>
      </c>
      <c r="CA20" s="12">
        <f>BZ20*(1 + Tickets!AP$267/100)</f>
        <v>269154.86048564606</v>
      </c>
      <c r="CB20" s="12">
        <f>CA20*(1 + Tickets!AQ$267/100)</f>
        <v>269154.86048564606</v>
      </c>
      <c r="CC20" s="12">
        <f>CB20*(1 + Tickets!AR$267/100)</f>
        <v>269154.86048564606</v>
      </c>
      <c r="CD20" s="12">
        <f>CC20*(1 + Tickets!AS$267/100)</f>
        <v>269154.86048564606</v>
      </c>
      <c r="CE20" s="12">
        <f>CD20*(1 + Tickets!AT$267/100)</f>
        <v>269154.86048564606</v>
      </c>
      <c r="CF20" s="12">
        <f>CE20*(1 + Tickets!AU$267/100)</f>
        <v>269154.86048564606</v>
      </c>
      <c r="CG20" s="12">
        <f>CF20*(1 + Tickets!AV$267/100)</f>
        <v>269154.86048564606</v>
      </c>
      <c r="CH20" s="12">
        <f>CG20*(1 + Tickets!AW$267/100)</f>
        <v>269154.86048564606</v>
      </c>
      <c r="CI20" s="12">
        <f>CH20*(1 + Tickets!AX$267/100)</f>
        <v>269154.86048564606</v>
      </c>
      <c r="CJ20" s="12">
        <f>CI20*(1 + Tickets!AY$267/100)</f>
        <v>269154.86048564606</v>
      </c>
      <c r="CK20" s="12">
        <f>CJ20*(1 + Tickets!AZ$267/100)</f>
        <v>269154.86048564606</v>
      </c>
      <c r="CL20" s="12">
        <f>CK20*(1 + Tickets!BA$267/100)</f>
        <v>269154.86048564606</v>
      </c>
      <c r="CM20" s="12">
        <f>CL20*(1 + Tickets!BB$267/100)</f>
        <v>269154.86048564606</v>
      </c>
      <c r="CN20" s="12">
        <f>CM20*(1 + Tickets!BC$267/100)</f>
        <v>269154.86048564606</v>
      </c>
      <c r="CO20" s="12">
        <f>CN20*(1 + Tickets!BD$267/100)</f>
        <v>269154.86048564606</v>
      </c>
      <c r="CP20" s="12">
        <f>CO20*(1 + Tickets!BE$267/100)</f>
        <v>269154.86048564606</v>
      </c>
      <c r="CQ20" s="12">
        <f>CP20*(1 + Tickets!BF$267/100)</f>
        <v>269154.86048564606</v>
      </c>
      <c r="CR20" s="12">
        <f>CQ20*(1 + Tickets!BG$267/100)</f>
        <v>269154.86048564606</v>
      </c>
      <c r="CS20" s="12">
        <f>CR20*(1 + Tickets!BH$267/100)</f>
        <v>269154.86048564606</v>
      </c>
      <c r="CT20" s="12">
        <f>CS20*(1 + Tickets!BI$267/100)</f>
        <v>269154.86048564606</v>
      </c>
      <c r="CU20" s="12">
        <f>CT20*(1 + Tickets!BJ$267/100)</f>
        <v>269154.86048564606</v>
      </c>
      <c r="CV20" s="12">
        <f>CU20*(1 + Tickets!BK$267/100)</f>
        <v>269154.86048564606</v>
      </c>
    </row>
    <row r="21" spans="1:100" s="12" customFormat="1">
      <c r="G21" s="12" t="s">
        <v>264</v>
      </c>
      <c r="J21" s="12">
        <f>J7*$H$34</f>
        <v>89110.080000000002</v>
      </c>
      <c r="K21" s="12">
        <f t="shared" ref="K21:T21" si="10">K7*$H$34</f>
        <v>194130</v>
      </c>
      <c r="L21" s="12">
        <f t="shared" si="10"/>
        <v>325687.67999999999</v>
      </c>
      <c r="M21" s="12">
        <f t="shared" si="10"/>
        <v>608927.76</v>
      </c>
      <c r="N21" s="12">
        <f t="shared" si="10"/>
        <v>89110.080000000002</v>
      </c>
      <c r="O21" s="12">
        <f t="shared" si="10"/>
        <v>194130</v>
      </c>
      <c r="P21" s="12">
        <f t="shared" si="10"/>
        <v>325687.67999999999</v>
      </c>
      <c r="Q21" s="12">
        <f t="shared" si="10"/>
        <v>608927.76</v>
      </c>
      <c r="R21" s="12">
        <f t="shared" si="10"/>
        <v>1217855.52</v>
      </c>
      <c r="S21" s="12">
        <f t="shared" si="10"/>
        <v>1224612</v>
      </c>
      <c r="T21" s="12">
        <f t="shared" si="10"/>
        <v>70993.440000000002</v>
      </c>
      <c r="W21" s="12" t="s">
        <v>264</v>
      </c>
      <c r="Z21" s="12">
        <f t="shared" si="5"/>
        <v>1288848.96</v>
      </c>
      <c r="AA21" s="12">
        <f t="shared" si="6"/>
        <v>1289630.1599999999</v>
      </c>
      <c r="AE21" s="27"/>
      <c r="AJ21" s="12" t="s">
        <v>264</v>
      </c>
      <c r="AN21" s="12">
        <f>AA76*Variables!E25</f>
        <v>210486.42804514209</v>
      </c>
      <c r="AO21" s="12">
        <f>AN21*(1 + Tickets!D$267/100)</f>
        <v>215247.63104752323</v>
      </c>
      <c r="AP21" s="12">
        <f>AO21*(1 + Tickets!E$267/100)</f>
        <v>217570.15298652602</v>
      </c>
      <c r="AQ21" s="12">
        <f>AP21*(1 + Tickets!F$267/100)</f>
        <v>221321.06242401371</v>
      </c>
      <c r="AR21" s="12">
        <f>AQ21*(1 + Tickets!G$267/100)</f>
        <v>226190.12579734201</v>
      </c>
      <c r="AS21" s="12">
        <f>AR21*(1 + Tickets!H$267/100)</f>
        <v>229809.16781009949</v>
      </c>
      <c r="AT21" s="12">
        <f>AS21*(1 + Tickets!I$267/100)</f>
        <v>234175.54199849136</v>
      </c>
      <c r="AU21" s="12">
        <f>AT21*(1 + Tickets!J$267/100)</f>
        <v>238624.87729646268</v>
      </c>
      <c r="AV21" s="12">
        <f>AU21*(1 + Tickets!K$267/100)</f>
        <v>243397.37484239193</v>
      </c>
      <c r="AW21" s="12">
        <f>AV21*(1 + Tickets!L$267/100)</f>
        <v>248387.02102666095</v>
      </c>
      <c r="AX21" s="12">
        <f>AW21*(1 + Tickets!M$267/100)</f>
        <v>253603.14846822081</v>
      </c>
      <c r="AY21" s="12">
        <f>AX21*(1 + Tickets!N$267/100)</f>
        <v>259055.61616028758</v>
      </c>
      <c r="AZ21" s="12">
        <f>AY21*(1 + Tickets!O$267/100)</f>
        <v>264754.83971581393</v>
      </c>
      <c r="BA21" s="12">
        <f>AZ21*(1 + Tickets!P$267/100)</f>
        <v>270579.44618956186</v>
      </c>
      <c r="BB21" s="12">
        <f>BA21*(1 + Tickets!Q$267/100)</f>
        <v>276532.19400573225</v>
      </c>
      <c r="BC21" s="12">
        <f>BB21*(1 + Tickets!R$267/100)</f>
        <v>282615.90227385837</v>
      </c>
      <c r="BD21" s="12">
        <f>BC21*(1 + Tickets!S$267/100)</f>
        <v>288833.45212388324</v>
      </c>
      <c r="BE21" s="12">
        <f>BD21*(1 + Tickets!T$267/100)</f>
        <v>295187.78807060869</v>
      </c>
      <c r="BF21" s="12">
        <f>BE21*(1 + Tickets!U$267/100)</f>
        <v>301681.91940816207</v>
      </c>
      <c r="BG21" s="12">
        <f>BF21*(1 + Tickets!V$267/100)</f>
        <v>308318.92163514165</v>
      </c>
      <c r="BH21" s="12">
        <f>BG21*(1 + Tickets!W$267/100)</f>
        <v>308318.92163514165</v>
      </c>
      <c r="BI21" s="12">
        <f>BH21*(1 + Tickets!X$267/100)</f>
        <v>308318.92163514165</v>
      </c>
      <c r="BJ21" s="12">
        <f>BI21*(1 + Tickets!Y$267/100)</f>
        <v>308318.92163514165</v>
      </c>
      <c r="BK21" s="12">
        <f>BJ21*(1 + Tickets!Z$267/100)</f>
        <v>308318.92163514165</v>
      </c>
      <c r="BL21" s="12">
        <f>BK21*(1 + Tickets!AA$267/100)</f>
        <v>308318.92163514165</v>
      </c>
      <c r="BM21" s="12">
        <f>BL21*(1 + Tickets!AB$267/100)</f>
        <v>308318.92163514165</v>
      </c>
      <c r="BN21" s="12">
        <f>BM21*(1 + Tickets!AC$267/100)</f>
        <v>308318.92163514165</v>
      </c>
      <c r="BO21" s="12">
        <f>BN21*(1 + Tickets!AD$267/100)</f>
        <v>308318.92163514165</v>
      </c>
      <c r="BP21" s="12">
        <f>BO21*(1 + Tickets!AE$267/100)</f>
        <v>308318.92163514165</v>
      </c>
      <c r="BQ21" s="12">
        <f>BP21*(1 + Tickets!AF$267/100)</f>
        <v>308318.92163514165</v>
      </c>
      <c r="BR21" s="12">
        <f>BQ21*(1 + Tickets!AG$267/100)</f>
        <v>308318.92163514165</v>
      </c>
      <c r="BS21" s="12">
        <f>BR21*(1 + Tickets!AH$267/100)</f>
        <v>308318.92163514165</v>
      </c>
      <c r="BT21" s="12">
        <f>BS21*(1 + Tickets!AI$267/100)</f>
        <v>308318.92163514165</v>
      </c>
      <c r="BU21" s="12">
        <f>BT21*(1 + Tickets!AJ$267/100)</f>
        <v>308318.92163514165</v>
      </c>
      <c r="BV21" s="12">
        <f>BU21*(1 + Tickets!AK$267/100)</f>
        <v>308318.92163514165</v>
      </c>
      <c r="BW21" s="12">
        <f>BV21*(1 + Tickets!AL$267/100)</f>
        <v>308318.92163514165</v>
      </c>
      <c r="BX21" s="12">
        <f>BW21*(1 + Tickets!AM$267/100)</f>
        <v>308318.92163514165</v>
      </c>
      <c r="BY21" s="12">
        <f>BX21*(1 + Tickets!AN$267/100)</f>
        <v>308318.92163514165</v>
      </c>
      <c r="BZ21" s="12">
        <f>BY21*(1 + Tickets!AO$267/100)</f>
        <v>308318.92163514165</v>
      </c>
      <c r="CA21" s="12">
        <f>BZ21*(1 + Tickets!AP$267/100)</f>
        <v>308318.92163514165</v>
      </c>
      <c r="CB21" s="12">
        <f>CA21*(1 + Tickets!AQ$267/100)</f>
        <v>308318.92163514165</v>
      </c>
      <c r="CC21" s="12">
        <f>CB21*(1 + Tickets!AR$267/100)</f>
        <v>308318.92163514165</v>
      </c>
      <c r="CD21" s="12">
        <f>CC21*(1 + Tickets!AS$267/100)</f>
        <v>308318.92163514165</v>
      </c>
      <c r="CE21" s="12">
        <f>CD21*(1 + Tickets!AT$267/100)</f>
        <v>308318.92163514165</v>
      </c>
      <c r="CF21" s="12">
        <f>CE21*(1 + Tickets!AU$267/100)</f>
        <v>308318.92163514165</v>
      </c>
      <c r="CG21" s="12">
        <f>CF21*(1 + Tickets!AV$267/100)</f>
        <v>308318.92163514165</v>
      </c>
      <c r="CH21" s="12">
        <f>CG21*(1 + Tickets!AW$267/100)</f>
        <v>308318.92163514165</v>
      </c>
      <c r="CI21" s="12">
        <f>CH21*(1 + Tickets!AX$267/100)</f>
        <v>308318.92163514165</v>
      </c>
      <c r="CJ21" s="12">
        <f>CI21*(1 + Tickets!AY$267/100)</f>
        <v>308318.92163514165</v>
      </c>
      <c r="CK21" s="12">
        <f>CJ21*(1 + Tickets!AZ$267/100)</f>
        <v>308318.92163514165</v>
      </c>
      <c r="CL21" s="12">
        <f>CK21*(1 + Tickets!BA$267/100)</f>
        <v>308318.92163514165</v>
      </c>
      <c r="CM21" s="12">
        <f>CL21*(1 + Tickets!BB$267/100)</f>
        <v>308318.92163514165</v>
      </c>
      <c r="CN21" s="12">
        <f>CM21*(1 + Tickets!BC$267/100)</f>
        <v>308318.92163514165</v>
      </c>
      <c r="CO21" s="12">
        <f>CN21*(1 + Tickets!BD$267/100)</f>
        <v>308318.92163514165</v>
      </c>
      <c r="CP21" s="12">
        <f>CO21*(1 + Tickets!BE$267/100)</f>
        <v>308318.92163514165</v>
      </c>
      <c r="CQ21" s="12">
        <f>CP21*(1 + Tickets!BF$267/100)</f>
        <v>308318.92163514165</v>
      </c>
      <c r="CR21" s="12">
        <f>CQ21*(1 + Tickets!BG$267/100)</f>
        <v>308318.92163514165</v>
      </c>
      <c r="CS21" s="12">
        <f>CR21*(1 + Tickets!BH$267/100)</f>
        <v>308318.92163514165</v>
      </c>
      <c r="CT21" s="12">
        <f>CS21*(1 + Tickets!BI$267/100)</f>
        <v>308318.92163514165</v>
      </c>
      <c r="CU21" s="12">
        <f>CT21*(1 + Tickets!BJ$267/100)</f>
        <v>308318.92163514165</v>
      </c>
      <c r="CV21" s="12">
        <f>CU21*(1 + Tickets!BK$267/100)</f>
        <v>308318.92163514165</v>
      </c>
    </row>
    <row r="22" spans="1:100" s="12" customFormat="1">
      <c r="G22" s="12" t="s">
        <v>265</v>
      </c>
      <c r="J22" s="12">
        <f>J8*$H$35</f>
        <v>746561.68</v>
      </c>
      <c r="K22" s="12">
        <f t="shared" ref="K22:T22" si="11">K8*$H$35</f>
        <v>1139961.24</v>
      </c>
      <c r="L22" s="12">
        <f t="shared" si="11"/>
        <v>1063159.44</v>
      </c>
      <c r="M22" s="12">
        <f t="shared" si="11"/>
        <v>2949682.36</v>
      </c>
      <c r="N22" s="12">
        <f t="shared" si="11"/>
        <v>746561.68</v>
      </c>
      <c r="O22" s="12">
        <f t="shared" si="11"/>
        <v>1139961.24</v>
      </c>
      <c r="P22" s="12">
        <f t="shared" si="11"/>
        <v>1063159.44</v>
      </c>
      <c r="Q22" s="12">
        <f t="shared" si="11"/>
        <v>2949682.36</v>
      </c>
      <c r="R22" s="12">
        <f t="shared" si="11"/>
        <v>5899364.7199999997</v>
      </c>
      <c r="S22" s="12">
        <f t="shared" si="11"/>
        <v>6119399.9199999999</v>
      </c>
      <c r="T22" s="12">
        <f t="shared" si="11"/>
        <v>716833.52</v>
      </c>
      <c r="W22" s="12" t="s">
        <v>265</v>
      </c>
      <c r="Z22" s="12">
        <f t="shared" si="5"/>
        <v>6616198.2400000002</v>
      </c>
      <c r="AA22" s="12">
        <f t="shared" si="6"/>
        <v>6592230.1200000001</v>
      </c>
      <c r="AE22" s="27"/>
      <c r="AJ22" s="12" t="s">
        <v>265</v>
      </c>
      <c r="AN22" s="12">
        <f>AA77*Variables!E25</f>
        <v>1779542.1669477948</v>
      </c>
      <c r="AO22" s="12">
        <f>AN22*(1 + Tickets!D$267/100)</f>
        <v>1819795.410764154</v>
      </c>
      <c r="AP22" s="12">
        <f>AO22*(1 + Tickets!E$267/100)</f>
        <v>1839431.0032462995</v>
      </c>
      <c r="AQ22" s="12">
        <f>AP22*(1 + Tickets!F$267/100)</f>
        <v>1871142.7937422656</v>
      </c>
      <c r="AR22" s="12">
        <f>AQ22*(1 + Tickets!G$267/100)</f>
        <v>1912307.9352045953</v>
      </c>
      <c r="AS22" s="12">
        <f>AR22*(1 + Tickets!H$267/100)</f>
        <v>1942904.862167869</v>
      </c>
      <c r="AT22" s="12">
        <f>AS22*(1 + Tickets!I$267/100)</f>
        <v>1979820.0545490584</v>
      </c>
      <c r="AU22" s="12">
        <f>AT22*(1 + Tickets!J$267/100)</f>
        <v>2017436.6355854904</v>
      </c>
      <c r="AV22" s="12">
        <f>AU22*(1 + Tickets!K$267/100)</f>
        <v>2057785.3682972002</v>
      </c>
      <c r="AW22" s="12">
        <f>AV22*(1 + Tickets!L$267/100)</f>
        <v>2099969.9683472929</v>
      </c>
      <c r="AX22" s="12">
        <f>AW22*(1 + Tickets!M$267/100)</f>
        <v>2144069.3376825857</v>
      </c>
      <c r="AY22" s="12">
        <f>AX22*(1 + Tickets!N$267/100)</f>
        <v>2190166.8284427617</v>
      </c>
      <c r="AZ22" s="12">
        <f>AY22*(1 + Tickets!O$267/100)</f>
        <v>2238350.4986685026</v>
      </c>
      <c r="BA22" s="12">
        <f>AZ22*(1 + Tickets!P$267/100)</f>
        <v>2287594.2096392098</v>
      </c>
      <c r="BB22" s="12">
        <f>BA22*(1 + Tickets!Q$267/100)</f>
        <v>2337921.2822512724</v>
      </c>
      <c r="BC22" s="12">
        <f>BB22*(1 + Tickets!R$267/100)</f>
        <v>2389355.5504608005</v>
      </c>
      <c r="BD22" s="12">
        <f>BC22*(1 + Tickets!S$267/100)</f>
        <v>2441921.372570938</v>
      </c>
      <c r="BE22" s="12">
        <f>BD22*(1 + Tickets!T$267/100)</f>
        <v>2495643.6427674987</v>
      </c>
      <c r="BF22" s="12">
        <f>BE22*(1 + Tickets!U$267/100)</f>
        <v>2550547.8029083838</v>
      </c>
      <c r="BG22" s="12">
        <f>BF22*(1 + Tickets!V$267/100)</f>
        <v>2606659.8545723683</v>
      </c>
      <c r="BH22" s="12">
        <f>BG22*(1 + Tickets!W$267/100)</f>
        <v>2606659.8545723683</v>
      </c>
      <c r="BI22" s="12">
        <f>BH22*(1 + Tickets!X$267/100)</f>
        <v>2606659.8545723683</v>
      </c>
      <c r="BJ22" s="12">
        <f>BI22*(1 + Tickets!Y$267/100)</f>
        <v>2606659.8545723683</v>
      </c>
      <c r="BK22" s="12">
        <f>BJ22*(1 + Tickets!Z$267/100)</f>
        <v>2606659.8545723683</v>
      </c>
      <c r="BL22" s="12">
        <f>BK22*(1 + Tickets!AA$267/100)</f>
        <v>2606659.8545723683</v>
      </c>
      <c r="BM22" s="12">
        <f>BL22*(1 + Tickets!AB$267/100)</f>
        <v>2606659.8545723683</v>
      </c>
      <c r="BN22" s="12">
        <f>BM22*(1 + Tickets!AC$267/100)</f>
        <v>2606659.8545723683</v>
      </c>
      <c r="BO22" s="12">
        <f>BN22*(1 + Tickets!AD$267/100)</f>
        <v>2606659.8545723683</v>
      </c>
      <c r="BP22" s="12">
        <f>BO22*(1 + Tickets!AE$267/100)</f>
        <v>2606659.8545723683</v>
      </c>
      <c r="BQ22" s="12">
        <f>BP22*(1 + Tickets!AF$267/100)</f>
        <v>2606659.8545723683</v>
      </c>
      <c r="BR22" s="12">
        <f>BQ22*(1 + Tickets!AG$267/100)</f>
        <v>2606659.8545723683</v>
      </c>
      <c r="BS22" s="12">
        <f>BR22*(1 + Tickets!AH$267/100)</f>
        <v>2606659.8545723683</v>
      </c>
      <c r="BT22" s="12">
        <f>BS22*(1 + Tickets!AI$267/100)</f>
        <v>2606659.8545723683</v>
      </c>
      <c r="BU22" s="12">
        <f>BT22*(1 + Tickets!AJ$267/100)</f>
        <v>2606659.8545723683</v>
      </c>
      <c r="BV22" s="12">
        <f>BU22*(1 + Tickets!AK$267/100)</f>
        <v>2606659.8545723683</v>
      </c>
      <c r="BW22" s="12">
        <f>BV22*(1 + Tickets!AL$267/100)</f>
        <v>2606659.8545723683</v>
      </c>
      <c r="BX22" s="12">
        <f>BW22*(1 + Tickets!AM$267/100)</f>
        <v>2606659.8545723683</v>
      </c>
      <c r="BY22" s="12">
        <f>BX22*(1 + Tickets!AN$267/100)</f>
        <v>2606659.8545723683</v>
      </c>
      <c r="BZ22" s="12">
        <f>BY22*(1 + Tickets!AO$267/100)</f>
        <v>2606659.8545723683</v>
      </c>
      <c r="CA22" s="12">
        <f>BZ22*(1 + Tickets!AP$267/100)</f>
        <v>2606659.8545723683</v>
      </c>
      <c r="CB22" s="12">
        <f>CA22*(1 + Tickets!AQ$267/100)</f>
        <v>2606659.8545723683</v>
      </c>
      <c r="CC22" s="12">
        <f>CB22*(1 + Tickets!AR$267/100)</f>
        <v>2606659.8545723683</v>
      </c>
      <c r="CD22" s="12">
        <f>CC22*(1 + Tickets!AS$267/100)</f>
        <v>2606659.8545723683</v>
      </c>
      <c r="CE22" s="12">
        <f>CD22*(1 + Tickets!AT$267/100)</f>
        <v>2606659.8545723683</v>
      </c>
      <c r="CF22" s="12">
        <f>CE22*(1 + Tickets!AU$267/100)</f>
        <v>2606659.8545723683</v>
      </c>
      <c r="CG22" s="12">
        <f>CF22*(1 + Tickets!AV$267/100)</f>
        <v>2606659.8545723683</v>
      </c>
      <c r="CH22" s="12">
        <f>CG22*(1 + Tickets!AW$267/100)</f>
        <v>2606659.8545723683</v>
      </c>
      <c r="CI22" s="12">
        <f>CH22*(1 + Tickets!AX$267/100)</f>
        <v>2606659.8545723683</v>
      </c>
      <c r="CJ22" s="12">
        <f>CI22*(1 + Tickets!AY$267/100)</f>
        <v>2606659.8545723683</v>
      </c>
      <c r="CK22" s="12">
        <f>CJ22*(1 + Tickets!AZ$267/100)</f>
        <v>2606659.8545723683</v>
      </c>
      <c r="CL22" s="12">
        <f>CK22*(1 + Tickets!BA$267/100)</f>
        <v>2606659.8545723683</v>
      </c>
      <c r="CM22" s="12">
        <f>CL22*(1 + Tickets!BB$267/100)</f>
        <v>2606659.8545723683</v>
      </c>
      <c r="CN22" s="12">
        <f>CM22*(1 + Tickets!BC$267/100)</f>
        <v>2606659.8545723683</v>
      </c>
      <c r="CO22" s="12">
        <f>CN22*(1 + Tickets!BD$267/100)</f>
        <v>2606659.8545723683</v>
      </c>
      <c r="CP22" s="12">
        <f>CO22*(1 + Tickets!BE$267/100)</f>
        <v>2606659.8545723683</v>
      </c>
      <c r="CQ22" s="12">
        <f>CP22*(1 + Tickets!BF$267/100)</f>
        <v>2606659.8545723683</v>
      </c>
      <c r="CR22" s="12">
        <f>CQ22*(1 + Tickets!BG$267/100)</f>
        <v>2606659.8545723683</v>
      </c>
      <c r="CS22" s="12">
        <f>CR22*(1 + Tickets!BH$267/100)</f>
        <v>2606659.8545723683</v>
      </c>
      <c r="CT22" s="12">
        <f>CS22*(1 + Tickets!BI$267/100)</f>
        <v>2606659.8545723683</v>
      </c>
      <c r="CU22" s="12">
        <f>CT22*(1 + Tickets!BJ$267/100)</f>
        <v>2606659.8545723683</v>
      </c>
      <c r="CV22" s="12">
        <f>CU22*(1 + Tickets!BK$267/100)</f>
        <v>2606659.8545723683</v>
      </c>
    </row>
    <row r="23" spans="1:100">
      <c r="G23" s="12" t="s">
        <v>92</v>
      </c>
      <c r="J23" s="12">
        <f>J9*$H$36</f>
        <v>691392.20000000007</v>
      </c>
      <c r="K23" s="12">
        <f t="shared" ref="K23:T23" si="12">K9*$H$36</f>
        <v>847787.71000000008</v>
      </c>
      <c r="L23" s="12">
        <f t="shared" si="12"/>
        <v>1282828.07</v>
      </c>
      <c r="M23" s="12">
        <f t="shared" si="12"/>
        <v>2822007.98</v>
      </c>
      <c r="N23" s="12">
        <f t="shared" si="12"/>
        <v>691392.20000000007</v>
      </c>
      <c r="O23" s="12">
        <f t="shared" si="12"/>
        <v>847787.71000000008</v>
      </c>
      <c r="P23" s="12">
        <f t="shared" si="12"/>
        <v>1282828.07</v>
      </c>
      <c r="Q23" s="12">
        <f t="shared" si="12"/>
        <v>2822007.98</v>
      </c>
      <c r="R23" s="12">
        <f t="shared" si="12"/>
        <v>5644015.96</v>
      </c>
      <c r="S23" s="12">
        <f t="shared" si="12"/>
        <v>5912047.1600000001</v>
      </c>
      <c r="T23" s="12">
        <f t="shared" si="12"/>
        <v>1111507.0900000001</v>
      </c>
      <c r="W23" s="12" t="s">
        <v>92</v>
      </c>
      <c r="Z23" s="12">
        <f t="shared" si="5"/>
        <v>6755523.0499999998</v>
      </c>
      <c r="AA23" s="12">
        <f t="shared" si="6"/>
        <v>6918830.2700000005</v>
      </c>
      <c r="AB23" s="12"/>
      <c r="AC23" s="12"/>
      <c r="AD23" s="12"/>
      <c r="AE23" s="27"/>
      <c r="AJ23" s="12" t="s">
        <v>92</v>
      </c>
      <c r="AN23" s="12">
        <f>AA78*Variables!E25</f>
        <v>1774545.8149576609</v>
      </c>
      <c r="AO23" s="12">
        <f>AN23*(1 + Tickets!D$267/100)</f>
        <v>1814686.0412920034</v>
      </c>
      <c r="AP23" s="12">
        <f>AO23*(1 + Tickets!E$267/100)</f>
        <v>1834266.5036775442</v>
      </c>
      <c r="AQ23" s="12">
        <f>AP23*(1 + Tickets!F$267/100)</f>
        <v>1865889.2582009449</v>
      </c>
      <c r="AR23" s="12">
        <f>AQ23*(1 + Tickets!G$267/100)</f>
        <v>1906938.8218813657</v>
      </c>
      <c r="AS23" s="12">
        <f>AR23*(1 + Tickets!H$267/100)</f>
        <v>1937449.8430314676</v>
      </c>
      <c r="AT23" s="12">
        <f>AS23*(1 + Tickets!I$267/100)</f>
        <v>1974261.3900490652</v>
      </c>
      <c r="AU23" s="12">
        <f>AT23*(1 + Tickets!J$267/100)</f>
        <v>2011772.3564599974</v>
      </c>
      <c r="AV23" s="12">
        <f>AU23*(1 + Tickets!K$267/100)</f>
        <v>2052007.8035891973</v>
      </c>
      <c r="AW23" s="12">
        <f>AV23*(1 + Tickets!L$267/100)</f>
        <v>2094073.9635627759</v>
      </c>
      <c r="AX23" s="12">
        <f>AW23*(1 + Tickets!M$267/100)</f>
        <v>2138049.5167975938</v>
      </c>
      <c r="AY23" s="12">
        <f>AX23*(1 + Tickets!N$267/100)</f>
        <v>2184017.5814087423</v>
      </c>
      <c r="AZ23" s="12">
        <f>AY23*(1 + Tickets!O$267/100)</f>
        <v>2232065.9681997346</v>
      </c>
      <c r="BA23" s="12">
        <f>AZ23*(1 + Tickets!P$267/100)</f>
        <v>2281171.4195001288</v>
      </c>
      <c r="BB23" s="12">
        <f>BA23*(1 + Tickets!Q$267/100)</f>
        <v>2331357.1907291319</v>
      </c>
      <c r="BC23" s="12">
        <f>BB23*(1 + Tickets!R$267/100)</f>
        <v>2382647.048925173</v>
      </c>
      <c r="BD23" s="12">
        <f>BC23*(1 + Tickets!S$267/100)</f>
        <v>2435065.2840015269</v>
      </c>
      <c r="BE23" s="12">
        <f>BD23*(1 + Tickets!T$267/100)</f>
        <v>2488636.7202495607</v>
      </c>
      <c r="BF23" s="12">
        <f>BE23*(1 + Tickets!U$267/100)</f>
        <v>2543386.7280950509</v>
      </c>
      <c r="BG23" s="12">
        <f>BF23*(1 + Tickets!V$267/100)</f>
        <v>2599341.2361131422</v>
      </c>
      <c r="BH23" s="12">
        <f>BG23*(1 + Tickets!W$267/100)</f>
        <v>2599341.2361131422</v>
      </c>
      <c r="BI23" s="12">
        <f>BH23*(1 + Tickets!X$267/100)</f>
        <v>2599341.2361131422</v>
      </c>
      <c r="BJ23" s="12">
        <f>BI23*(1 + Tickets!Y$267/100)</f>
        <v>2599341.2361131422</v>
      </c>
      <c r="BK23" s="12">
        <f>BJ23*(1 + Tickets!Z$267/100)</f>
        <v>2599341.2361131422</v>
      </c>
      <c r="BL23" s="12">
        <f>BK23*(1 + Tickets!AA$267/100)</f>
        <v>2599341.2361131422</v>
      </c>
      <c r="BM23" s="12">
        <f>BL23*(1 + Tickets!AB$267/100)</f>
        <v>2599341.2361131422</v>
      </c>
      <c r="BN23" s="12">
        <f>BM23*(1 + Tickets!AC$267/100)</f>
        <v>2599341.2361131422</v>
      </c>
      <c r="BO23" s="12">
        <f>BN23*(1 + Tickets!AD$267/100)</f>
        <v>2599341.2361131422</v>
      </c>
      <c r="BP23" s="12">
        <f>BO23*(1 + Tickets!AE$267/100)</f>
        <v>2599341.2361131422</v>
      </c>
      <c r="BQ23" s="12">
        <f>BP23*(1 + Tickets!AF$267/100)</f>
        <v>2599341.2361131422</v>
      </c>
      <c r="BR23" s="12">
        <f>BQ23*(1 + Tickets!AG$267/100)</f>
        <v>2599341.2361131422</v>
      </c>
      <c r="BS23" s="12">
        <f>BR23*(1 + Tickets!AH$267/100)</f>
        <v>2599341.2361131422</v>
      </c>
      <c r="BT23" s="12">
        <f>BS23*(1 + Tickets!AI$267/100)</f>
        <v>2599341.2361131422</v>
      </c>
      <c r="BU23" s="12">
        <f>BT23*(1 + Tickets!AJ$267/100)</f>
        <v>2599341.2361131422</v>
      </c>
      <c r="BV23" s="12">
        <f>BU23*(1 + Tickets!AK$267/100)</f>
        <v>2599341.2361131422</v>
      </c>
      <c r="BW23" s="12">
        <f>BV23*(1 + Tickets!AL$267/100)</f>
        <v>2599341.2361131422</v>
      </c>
      <c r="BX23" s="12">
        <f>BW23*(1 + Tickets!AM$267/100)</f>
        <v>2599341.2361131422</v>
      </c>
      <c r="BY23" s="12">
        <f>BX23*(1 + Tickets!AN$267/100)</f>
        <v>2599341.2361131422</v>
      </c>
      <c r="BZ23" s="12">
        <f>BY23*(1 + Tickets!AO$267/100)</f>
        <v>2599341.2361131422</v>
      </c>
      <c r="CA23" s="12">
        <f>BZ23*(1 + Tickets!AP$267/100)</f>
        <v>2599341.2361131422</v>
      </c>
      <c r="CB23" s="12">
        <f>CA23*(1 + Tickets!AQ$267/100)</f>
        <v>2599341.2361131422</v>
      </c>
      <c r="CC23" s="12">
        <f>CB23*(1 + Tickets!AR$267/100)</f>
        <v>2599341.2361131422</v>
      </c>
      <c r="CD23" s="12">
        <f>CC23*(1 + Tickets!AS$267/100)</f>
        <v>2599341.2361131422</v>
      </c>
      <c r="CE23" s="12">
        <f>CD23*(1 + Tickets!AT$267/100)</f>
        <v>2599341.2361131422</v>
      </c>
      <c r="CF23" s="12">
        <f>CE23*(1 + Tickets!AU$267/100)</f>
        <v>2599341.2361131422</v>
      </c>
      <c r="CG23" s="12">
        <f>CF23*(1 + Tickets!AV$267/100)</f>
        <v>2599341.2361131422</v>
      </c>
      <c r="CH23" s="12">
        <f>CG23*(1 + Tickets!AW$267/100)</f>
        <v>2599341.2361131422</v>
      </c>
      <c r="CI23" s="12">
        <f>CH23*(1 + Tickets!AX$267/100)</f>
        <v>2599341.2361131422</v>
      </c>
      <c r="CJ23" s="12">
        <f>CI23*(1 + Tickets!AY$267/100)</f>
        <v>2599341.2361131422</v>
      </c>
      <c r="CK23" s="12">
        <f>CJ23*(1 + Tickets!AZ$267/100)</f>
        <v>2599341.2361131422</v>
      </c>
      <c r="CL23" s="12">
        <f>CK23*(1 + Tickets!BA$267/100)</f>
        <v>2599341.2361131422</v>
      </c>
      <c r="CM23" s="12">
        <f>CL23*(1 + Tickets!BB$267/100)</f>
        <v>2599341.2361131422</v>
      </c>
      <c r="CN23" s="12">
        <f>CM23*(1 + Tickets!BC$267/100)</f>
        <v>2599341.2361131422</v>
      </c>
      <c r="CO23" s="12">
        <f>CN23*(1 + Tickets!BD$267/100)</f>
        <v>2599341.2361131422</v>
      </c>
      <c r="CP23" s="12">
        <f>CO23*(1 + Tickets!BE$267/100)</f>
        <v>2599341.2361131422</v>
      </c>
      <c r="CQ23" s="12">
        <f>CP23*(1 + Tickets!BF$267/100)</f>
        <v>2599341.2361131422</v>
      </c>
      <c r="CR23" s="12">
        <f>CQ23*(1 + Tickets!BG$267/100)</f>
        <v>2599341.2361131422</v>
      </c>
      <c r="CS23" s="12">
        <f>CR23*(1 + Tickets!BH$267/100)</f>
        <v>2599341.2361131422</v>
      </c>
      <c r="CT23" s="12">
        <f>CS23*(1 + Tickets!BI$267/100)</f>
        <v>2599341.2361131422</v>
      </c>
      <c r="CU23" s="12">
        <f>CT23*(1 + Tickets!BJ$267/100)</f>
        <v>2599341.2361131422</v>
      </c>
      <c r="CV23" s="12">
        <f>CU23*(1 + Tickets!BK$267/100)</f>
        <v>2599341.2361131422</v>
      </c>
    </row>
    <row r="24" spans="1:100">
      <c r="G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100">
      <c r="AG25" t="s">
        <v>240</v>
      </c>
      <c r="AN25" s="12"/>
      <c r="AO25" s="12"/>
    </row>
    <row r="26" spans="1:100">
      <c r="AG26" s="12" t="s">
        <v>240</v>
      </c>
      <c r="AN26" s="12"/>
      <c r="AO26" s="12"/>
    </row>
    <row r="27" spans="1:100">
      <c r="K27" s="1"/>
      <c r="W27" t="s">
        <v>110</v>
      </c>
      <c r="Z27" s="12">
        <v>2009</v>
      </c>
      <c r="AA27" s="12">
        <v>2010</v>
      </c>
      <c r="AB27" s="12"/>
      <c r="AC27" s="12"/>
      <c r="AD27" s="12"/>
      <c r="AE27" s="12"/>
      <c r="AJ27" t="s">
        <v>179</v>
      </c>
      <c r="AN27" s="12"/>
      <c r="AO27" s="12"/>
    </row>
    <row r="28" spans="1:100">
      <c r="A28" t="s">
        <v>89</v>
      </c>
      <c r="F28" t="s">
        <v>91</v>
      </c>
      <c r="G28" t="s">
        <v>131</v>
      </c>
      <c r="W28" s="12" t="s">
        <v>259</v>
      </c>
      <c r="Z28">
        <f>Z16*$F$29</f>
        <v>131473136.64000002</v>
      </c>
      <c r="AA28" s="12">
        <f t="shared" ref="AA28" si="13">AA16*$F$29</f>
        <v>136890854.40000001</v>
      </c>
      <c r="AB28" s="12"/>
      <c r="AC28" s="12"/>
      <c r="AD28" s="12"/>
      <c r="AE28" s="12"/>
      <c r="AJ28" s="12" t="s">
        <v>259</v>
      </c>
      <c r="AN28" s="12">
        <f>AA16-AN16-AN4</f>
        <v>735151.75698627299</v>
      </c>
      <c r="AO28" s="12">
        <f>AN28*(1 + Tickets!D$267/100)</f>
        <v>751780.88972930249</v>
      </c>
      <c r="AP28" s="12">
        <f>AO28*(1 + Tickets!E$267/100)</f>
        <v>759892.60552948178</v>
      </c>
      <c r="AQ28" s="12">
        <f>AP28*(1 + Tickets!F$267/100)</f>
        <v>772993.15404881001</v>
      </c>
      <c r="AR28" s="12">
        <f>AQ28*(1 + Tickets!G$267/100)</f>
        <v>789999.0034378838</v>
      </c>
      <c r="AS28" s="12">
        <f>AR28*(1 + Tickets!H$267/100)</f>
        <v>802638.98749288998</v>
      </c>
      <c r="AT28" s="12">
        <f>AS28*(1 + Tickets!I$267/100)</f>
        <v>817889.12825525482</v>
      </c>
      <c r="AU28" s="12">
        <f>AT28*(1 + Tickets!J$267/100)</f>
        <v>833429.02169210464</v>
      </c>
      <c r="AV28" s="12">
        <f>AU28*(1 + Tickets!K$267/100)</f>
        <v>850097.60212594678</v>
      </c>
      <c r="AW28" s="12">
        <f>AV28*(1 + Tickets!L$267/100)</f>
        <v>867524.60296952864</v>
      </c>
      <c r="AX28" s="12">
        <f>AW28*(1 + Tickets!M$267/100)</f>
        <v>885742.61963188869</v>
      </c>
      <c r="AY28" s="12">
        <f>AX28*(1 + Tickets!N$267/100)</f>
        <v>904786.0859539744</v>
      </c>
      <c r="AZ28" s="12">
        <f>AY28*(1 + Tickets!O$267/100)</f>
        <v>924691.3798449618</v>
      </c>
      <c r="BA28" s="12">
        <f>AZ28*(1 + Tickets!P$267/100)</f>
        <v>945034.59020155098</v>
      </c>
      <c r="BB28" s="12">
        <f>BA28*(1 + Tickets!Q$267/100)</f>
        <v>965825.35118598514</v>
      </c>
      <c r="BC28" s="12">
        <f>BB28*(1 + Tickets!R$267/100)</f>
        <v>987073.50891207682</v>
      </c>
      <c r="BD28" s="12">
        <f>BC28*(1 + Tickets!S$267/100)</f>
        <v>1008789.1261081425</v>
      </c>
      <c r="BE28" s="12">
        <f>BD28*(1 + Tickets!T$267/100)</f>
        <v>1030982.4868825217</v>
      </c>
      <c r="BF28" s="12">
        <f>BE28*(1 + Tickets!U$267/100)</f>
        <v>1053664.1015939373</v>
      </c>
      <c r="BG28" s="12">
        <f>BF28*(1 + Tickets!V$267/100)</f>
        <v>1076844.7118290039</v>
      </c>
      <c r="BH28" s="12">
        <f>BG28*(1 + Tickets!W$267/100)</f>
        <v>1076844.7118290039</v>
      </c>
      <c r="BI28" s="12">
        <f>BH28*(1 + Tickets!X$267/100)</f>
        <v>1076844.7118290039</v>
      </c>
      <c r="BJ28" s="12">
        <f>BI28*(1 + Tickets!Y$267/100)</f>
        <v>1076844.7118290039</v>
      </c>
      <c r="BK28" s="12">
        <f>BJ28*(1 + Tickets!Z$267/100)</f>
        <v>1076844.7118290039</v>
      </c>
      <c r="BL28" s="12">
        <f>BK28*(1 + Tickets!AA$267/100)</f>
        <v>1076844.7118290039</v>
      </c>
      <c r="BM28" s="12">
        <f>BL28*(1 + Tickets!AB$267/100)</f>
        <v>1076844.7118290039</v>
      </c>
      <c r="BN28" s="12">
        <f>BM28*(1 + Tickets!AC$267/100)</f>
        <v>1076844.7118290039</v>
      </c>
      <c r="BO28" s="12">
        <f>BN28*(1 + Tickets!AD$267/100)</f>
        <v>1076844.7118290039</v>
      </c>
      <c r="BP28" s="12">
        <f>BO28*(1 + Tickets!AE$267/100)</f>
        <v>1076844.7118290039</v>
      </c>
      <c r="BQ28" s="12">
        <f>BP28*(1 + Tickets!AF$267/100)</f>
        <v>1076844.7118290039</v>
      </c>
      <c r="BR28" s="12">
        <f>BQ28*(1 + Tickets!AG$267/100)</f>
        <v>1076844.7118290039</v>
      </c>
      <c r="BS28" s="12">
        <f>BR28*(1 + Tickets!AH$267/100)</f>
        <v>1076844.7118290039</v>
      </c>
      <c r="BT28" s="12">
        <f>BS28*(1 + Tickets!AI$267/100)</f>
        <v>1076844.7118290039</v>
      </c>
      <c r="BU28" s="12">
        <f>BT28*(1 + Tickets!AJ$267/100)</f>
        <v>1076844.7118290039</v>
      </c>
      <c r="BV28" s="12">
        <f>BU28*(1 + Tickets!AK$267/100)</f>
        <v>1076844.7118290039</v>
      </c>
      <c r="BW28" s="12">
        <f>BV28*(1 + Tickets!AL$267/100)</f>
        <v>1076844.7118290039</v>
      </c>
      <c r="BX28" s="12">
        <f>BW28*(1 + Tickets!AM$267/100)</f>
        <v>1076844.7118290039</v>
      </c>
      <c r="BY28" s="12">
        <f>BX28*(1 + Tickets!AN$267/100)</f>
        <v>1076844.7118290039</v>
      </c>
      <c r="BZ28" s="12">
        <f>BY28*(1 + Tickets!AO$267/100)</f>
        <v>1076844.7118290039</v>
      </c>
      <c r="CA28" s="12">
        <f>BZ28*(1 + Tickets!AP$267/100)</f>
        <v>1076844.7118290039</v>
      </c>
      <c r="CB28" s="12">
        <f>CA28*(1 + Tickets!AQ$267/100)</f>
        <v>1076844.7118290039</v>
      </c>
      <c r="CC28" s="12">
        <f>CB28*(1 + Tickets!AR$267/100)</f>
        <v>1076844.7118290039</v>
      </c>
      <c r="CD28" s="12">
        <f>CC28*(1 + Tickets!AS$267/100)</f>
        <v>1076844.7118290039</v>
      </c>
      <c r="CE28" s="12">
        <f>CD28*(1 + Tickets!AT$267/100)</f>
        <v>1076844.7118290039</v>
      </c>
      <c r="CF28" s="12">
        <f>CE28*(1 + Tickets!AU$267/100)</f>
        <v>1076844.7118290039</v>
      </c>
      <c r="CG28" s="12">
        <f>CF28*(1 + Tickets!AV$267/100)</f>
        <v>1076844.7118290039</v>
      </c>
      <c r="CH28" s="12">
        <f>CG28*(1 + Tickets!AW$267/100)</f>
        <v>1076844.7118290039</v>
      </c>
      <c r="CI28" s="12">
        <f>CH28*(1 + Tickets!AX$267/100)</f>
        <v>1076844.7118290039</v>
      </c>
      <c r="CJ28" s="12">
        <f>CI28*(1 + Tickets!AY$267/100)</f>
        <v>1076844.7118290039</v>
      </c>
      <c r="CK28" s="12">
        <f>CJ28*(1 + Tickets!AZ$267/100)</f>
        <v>1076844.7118290039</v>
      </c>
      <c r="CL28" s="12">
        <f>CK28*(1 + Tickets!BA$267/100)</f>
        <v>1076844.7118290039</v>
      </c>
      <c r="CM28" s="12">
        <f>CL28*(1 + Tickets!BB$267/100)</f>
        <v>1076844.7118290039</v>
      </c>
      <c r="CN28" s="12">
        <f>CM28*(1 + Tickets!BC$267/100)</f>
        <v>1076844.7118290039</v>
      </c>
      <c r="CO28" s="12">
        <f>CN28*(1 + Tickets!BD$267/100)</f>
        <v>1076844.7118290039</v>
      </c>
      <c r="CP28" s="12">
        <f>CO28*(1 + Tickets!BE$267/100)</f>
        <v>1076844.7118290039</v>
      </c>
      <c r="CQ28" s="12">
        <f>CP28*(1 + Tickets!BF$267/100)</f>
        <v>1076844.7118290039</v>
      </c>
      <c r="CR28" s="12">
        <f>CQ28*(1 + Tickets!BG$267/100)</f>
        <v>1076844.7118290039</v>
      </c>
      <c r="CS28" s="12">
        <f>CR28*(1 + Tickets!BH$267/100)</f>
        <v>1076844.7118290039</v>
      </c>
      <c r="CT28" s="12">
        <f>CS28*(1 + Tickets!BI$267/100)</f>
        <v>1076844.7118290039</v>
      </c>
      <c r="CU28" s="12">
        <f>CT28*(1 + Tickets!BJ$267/100)</f>
        <v>1076844.7118290039</v>
      </c>
      <c r="CV28" s="12">
        <f>CU28*(1 + Tickets!BK$267/100)</f>
        <v>1076844.7118290039</v>
      </c>
    </row>
    <row r="29" spans="1:100">
      <c r="A29" t="s">
        <v>259</v>
      </c>
      <c r="D29" t="s">
        <v>266</v>
      </c>
      <c r="F29">
        <v>96</v>
      </c>
      <c r="G29">
        <f>F29/60</f>
        <v>1.6</v>
      </c>
      <c r="H29" s="2">
        <v>0.68</v>
      </c>
      <c r="W29" s="12" t="s">
        <v>260</v>
      </c>
      <c r="Z29" s="12">
        <f>Z17*$F$30</f>
        <v>142646085.40000001</v>
      </c>
      <c r="AA29" s="12">
        <f t="shared" ref="AA29" si="14">AA17*$F$30</f>
        <v>148911126</v>
      </c>
      <c r="AB29" s="12"/>
      <c r="AC29" s="12"/>
      <c r="AD29" s="12"/>
      <c r="AE29" s="12"/>
      <c r="AJ29" s="12" t="s">
        <v>260</v>
      </c>
      <c r="AN29" s="12">
        <f>AA17-AN17-AN5</f>
        <v>830635.33203880501</v>
      </c>
      <c r="AO29" s="12">
        <f>AN29*(1 + Tickets!D$267/100)</f>
        <v>849424.30324952281</v>
      </c>
      <c r="AP29" s="12">
        <f>AO29*(1 + Tickets!E$267/100)</f>
        <v>858589.59148158517</v>
      </c>
      <c r="AQ29" s="12">
        <f>AP29*(1 + Tickets!F$267/100)</f>
        <v>873391.67603872763</v>
      </c>
      <c r="AR29" s="12">
        <f>AQ29*(1 + Tickets!G$267/100)</f>
        <v>892606.2929115796</v>
      </c>
      <c r="AS29" s="12">
        <f>AR29*(1 + Tickets!H$267/100)</f>
        <v>906887.99359816487</v>
      </c>
      <c r="AT29" s="12">
        <f>AS29*(1 + Tickets!I$267/100)</f>
        <v>924118.86547652993</v>
      </c>
      <c r="AU29" s="12">
        <f>AT29*(1 + Tickets!J$267/100)</f>
        <v>941677.12392058386</v>
      </c>
      <c r="AV29" s="12">
        <f>AU29*(1 + Tickets!K$267/100)</f>
        <v>960510.66639899556</v>
      </c>
      <c r="AW29" s="12">
        <f>AV29*(1 + Tickets!L$267/100)</f>
        <v>980201.13506017497</v>
      </c>
      <c r="AX29" s="12">
        <f>AW29*(1 + Tickets!M$267/100)</f>
        <v>1000785.3588964386</v>
      </c>
      <c r="AY29" s="12">
        <f>AX29*(1 + Tickets!N$267/100)</f>
        <v>1022302.2441127121</v>
      </c>
      <c r="AZ29" s="12">
        <f>AY29*(1 + Tickets!O$267/100)</f>
        <v>1044792.8934831917</v>
      </c>
      <c r="BA29" s="12">
        <f>AZ29*(1 + Tickets!P$267/100)</f>
        <v>1067778.3371398221</v>
      </c>
      <c r="BB29" s="12">
        <f>BA29*(1 + Tickets!Q$267/100)</f>
        <v>1091269.4605568983</v>
      </c>
      <c r="BC29" s="12">
        <f>BB29*(1 + Tickets!R$267/100)</f>
        <v>1115277.3886891501</v>
      </c>
      <c r="BD29" s="12">
        <f>BC29*(1 + Tickets!S$267/100)</f>
        <v>1139813.4912403114</v>
      </c>
      <c r="BE29" s="12">
        <f>BD29*(1 + Tickets!T$267/100)</f>
        <v>1164889.3880475983</v>
      </c>
      <c r="BF29" s="12">
        <f>BE29*(1 + Tickets!U$267/100)</f>
        <v>1190516.9545846456</v>
      </c>
      <c r="BG29" s="12">
        <f>BF29*(1 + Tickets!V$267/100)</f>
        <v>1216708.3275855079</v>
      </c>
      <c r="BH29" s="12">
        <f>BG29*(1 + Tickets!W$267/100)</f>
        <v>1216708.3275855079</v>
      </c>
      <c r="BI29" s="12">
        <f>BH29*(1 + Tickets!X$267/100)</f>
        <v>1216708.3275855079</v>
      </c>
      <c r="BJ29" s="12">
        <f>BI29*(1 + Tickets!Y$267/100)</f>
        <v>1216708.3275855079</v>
      </c>
      <c r="BK29" s="12">
        <f>BJ29*(1 + Tickets!Z$267/100)</f>
        <v>1216708.3275855079</v>
      </c>
      <c r="BL29" s="12">
        <f>BK29*(1 + Tickets!AA$267/100)</f>
        <v>1216708.3275855079</v>
      </c>
      <c r="BM29" s="12">
        <f>BL29*(1 + Tickets!AB$267/100)</f>
        <v>1216708.3275855079</v>
      </c>
      <c r="BN29" s="12">
        <f>BM29*(1 + Tickets!AC$267/100)</f>
        <v>1216708.3275855079</v>
      </c>
      <c r="BO29" s="12">
        <f>BN29*(1 + Tickets!AD$267/100)</f>
        <v>1216708.3275855079</v>
      </c>
      <c r="BP29" s="12">
        <f>BO29*(1 + Tickets!AE$267/100)</f>
        <v>1216708.3275855079</v>
      </c>
      <c r="BQ29" s="12">
        <f>BP29*(1 + Tickets!AF$267/100)</f>
        <v>1216708.3275855079</v>
      </c>
      <c r="BR29" s="12">
        <f>BQ29*(1 + Tickets!AG$267/100)</f>
        <v>1216708.3275855079</v>
      </c>
      <c r="BS29" s="12">
        <f>BR29*(1 + Tickets!AH$267/100)</f>
        <v>1216708.3275855079</v>
      </c>
      <c r="BT29" s="12">
        <f>BS29*(1 + Tickets!AI$267/100)</f>
        <v>1216708.3275855079</v>
      </c>
      <c r="BU29" s="12">
        <f>BT29*(1 + Tickets!AJ$267/100)</f>
        <v>1216708.3275855079</v>
      </c>
      <c r="BV29" s="12">
        <f>BU29*(1 + Tickets!AK$267/100)</f>
        <v>1216708.3275855079</v>
      </c>
      <c r="BW29" s="12">
        <f>BV29*(1 + Tickets!AL$267/100)</f>
        <v>1216708.3275855079</v>
      </c>
      <c r="BX29" s="12">
        <f>BW29*(1 + Tickets!AM$267/100)</f>
        <v>1216708.3275855079</v>
      </c>
      <c r="BY29" s="12">
        <f>BX29*(1 + Tickets!AN$267/100)</f>
        <v>1216708.3275855079</v>
      </c>
      <c r="BZ29" s="12">
        <f>BY29*(1 + Tickets!AO$267/100)</f>
        <v>1216708.3275855079</v>
      </c>
      <c r="CA29" s="12">
        <f>BZ29*(1 + Tickets!AP$267/100)</f>
        <v>1216708.3275855079</v>
      </c>
      <c r="CB29" s="12">
        <f>CA29*(1 + Tickets!AQ$267/100)</f>
        <v>1216708.3275855079</v>
      </c>
      <c r="CC29" s="12">
        <f>CB29*(1 + Tickets!AR$267/100)</f>
        <v>1216708.3275855079</v>
      </c>
      <c r="CD29" s="12">
        <f>CC29*(1 + Tickets!AS$267/100)</f>
        <v>1216708.3275855079</v>
      </c>
      <c r="CE29" s="12">
        <f>CD29*(1 + Tickets!AT$267/100)</f>
        <v>1216708.3275855079</v>
      </c>
      <c r="CF29" s="12">
        <f>CE29*(1 + Tickets!AU$267/100)</f>
        <v>1216708.3275855079</v>
      </c>
      <c r="CG29" s="12">
        <f>CF29*(1 + Tickets!AV$267/100)</f>
        <v>1216708.3275855079</v>
      </c>
      <c r="CH29" s="12">
        <f>CG29*(1 + Tickets!AW$267/100)</f>
        <v>1216708.3275855079</v>
      </c>
      <c r="CI29" s="12">
        <f>CH29*(1 + Tickets!AX$267/100)</f>
        <v>1216708.3275855079</v>
      </c>
      <c r="CJ29" s="12">
        <f>CI29*(1 + Tickets!AY$267/100)</f>
        <v>1216708.3275855079</v>
      </c>
      <c r="CK29" s="12">
        <f>CJ29*(1 + Tickets!AZ$267/100)</f>
        <v>1216708.3275855079</v>
      </c>
      <c r="CL29" s="12">
        <f>CK29*(1 + Tickets!BA$267/100)</f>
        <v>1216708.3275855079</v>
      </c>
      <c r="CM29" s="12">
        <f>CL29*(1 + Tickets!BB$267/100)</f>
        <v>1216708.3275855079</v>
      </c>
      <c r="CN29" s="12">
        <f>CM29*(1 + Tickets!BC$267/100)</f>
        <v>1216708.3275855079</v>
      </c>
      <c r="CO29" s="12">
        <f>CN29*(1 + Tickets!BD$267/100)</f>
        <v>1216708.3275855079</v>
      </c>
      <c r="CP29" s="12">
        <f>CO29*(1 + Tickets!BE$267/100)</f>
        <v>1216708.3275855079</v>
      </c>
      <c r="CQ29" s="12">
        <f>CP29*(1 + Tickets!BF$267/100)</f>
        <v>1216708.3275855079</v>
      </c>
      <c r="CR29" s="12">
        <f>CQ29*(1 + Tickets!BG$267/100)</f>
        <v>1216708.3275855079</v>
      </c>
      <c r="CS29" s="12">
        <f>CR29*(1 + Tickets!BH$267/100)</f>
        <v>1216708.3275855079</v>
      </c>
      <c r="CT29" s="12">
        <f>CS29*(1 + Tickets!BI$267/100)</f>
        <v>1216708.3275855079</v>
      </c>
      <c r="CU29" s="12">
        <f>CT29*(1 + Tickets!BJ$267/100)</f>
        <v>1216708.3275855079</v>
      </c>
      <c r="CV29" s="12">
        <f>CU29*(1 + Tickets!BK$267/100)</f>
        <v>1216708.3275855079</v>
      </c>
    </row>
    <row r="30" spans="1:100">
      <c r="A30" t="s">
        <v>260</v>
      </c>
      <c r="D30" t="s">
        <v>267</v>
      </c>
      <c r="F30">
        <v>91</v>
      </c>
      <c r="G30" s="12">
        <f t="shared" ref="G30:G31" si="15">F30/60</f>
        <v>1.5166666666666666</v>
      </c>
      <c r="H30" s="2">
        <v>0.68</v>
      </c>
      <c r="W30" s="12" t="s">
        <v>261</v>
      </c>
      <c r="Z30" s="12">
        <f>Z18*$F$31</f>
        <v>93745231.800000012</v>
      </c>
      <c r="AA30" s="12">
        <f t="shared" ref="AA30" si="16">AA18*$F$31</f>
        <v>93980392.800000012</v>
      </c>
      <c r="AB30" s="12"/>
      <c r="AC30" s="12"/>
      <c r="AD30" s="12"/>
      <c r="AE30" s="12"/>
      <c r="AJ30" s="12" t="s">
        <v>261</v>
      </c>
      <c r="AN30" s="12">
        <f>AA18-AN18-AN6</f>
        <v>519243.25194869016</v>
      </c>
      <c r="AO30" s="12">
        <f>AN30*(1 + Tickets!D$267/100)</f>
        <v>530988.53430776962</v>
      </c>
      <c r="AP30" s="12">
        <f>AO30*(1 + Tickets!E$267/100)</f>
        <v>536717.90059295052</v>
      </c>
      <c r="AQ30" s="12">
        <f>AP30*(1 + Tickets!F$267/100)</f>
        <v>545970.91719917289</v>
      </c>
      <c r="AR30" s="12">
        <f>AQ30*(1 + Tickets!G$267/100)</f>
        <v>557982.27737755468</v>
      </c>
      <c r="AS30" s="12">
        <f>AR30*(1 + Tickets!H$267/100)</f>
        <v>566909.99381559552</v>
      </c>
      <c r="AT30" s="12">
        <f>AS30*(1 + Tickets!I$267/100)</f>
        <v>577681.28369809175</v>
      </c>
      <c r="AU30" s="12">
        <f>AT30*(1 + Tickets!J$267/100)</f>
        <v>588657.22808835539</v>
      </c>
      <c r="AV30" s="12">
        <f>AU30*(1 + Tickets!K$267/100)</f>
        <v>600430.3726501225</v>
      </c>
      <c r="AW30" s="12">
        <f>AV30*(1 + Tickets!L$267/100)</f>
        <v>612739.19528945</v>
      </c>
      <c r="AX30" s="12">
        <f>AW30*(1 + Tickets!M$267/100)</f>
        <v>625606.71839052835</v>
      </c>
      <c r="AY30" s="12">
        <f>AX30*(1 + Tickets!N$267/100)</f>
        <v>639057.26283592475</v>
      </c>
      <c r="AZ30" s="12">
        <f>AY30*(1 + Tickets!O$267/100)</f>
        <v>653116.52261831507</v>
      </c>
      <c r="BA30" s="12">
        <f>AZ30*(1 + Tickets!P$267/100)</f>
        <v>667485.08611591801</v>
      </c>
      <c r="BB30" s="12">
        <f>BA30*(1 + Tickets!Q$267/100)</f>
        <v>682169.75801046821</v>
      </c>
      <c r="BC30" s="12">
        <f>BB30*(1 + Tickets!R$267/100)</f>
        <v>697177.49268669856</v>
      </c>
      <c r="BD30" s="12">
        <f>BC30*(1 + Tickets!S$267/100)</f>
        <v>712515.39752580598</v>
      </c>
      <c r="BE30" s="12">
        <f>BD30*(1 + Tickets!T$267/100)</f>
        <v>728190.73627137369</v>
      </c>
      <c r="BF30" s="12">
        <f>BE30*(1 + Tickets!U$267/100)</f>
        <v>744210.93246934388</v>
      </c>
      <c r="BG30" s="12">
        <f>BF30*(1 + Tickets!V$267/100)</f>
        <v>760583.57298366947</v>
      </c>
      <c r="BH30" s="12">
        <f>BG30*(1 + Tickets!W$267/100)</f>
        <v>760583.57298366947</v>
      </c>
      <c r="BI30" s="12">
        <f>BH30*(1 + Tickets!X$267/100)</f>
        <v>760583.57298366947</v>
      </c>
      <c r="BJ30" s="12">
        <f>BI30*(1 + Tickets!Y$267/100)</f>
        <v>760583.57298366947</v>
      </c>
      <c r="BK30" s="12">
        <f>BJ30*(1 + Tickets!Z$267/100)</f>
        <v>760583.57298366947</v>
      </c>
      <c r="BL30" s="12">
        <f>BK30*(1 + Tickets!AA$267/100)</f>
        <v>760583.57298366947</v>
      </c>
      <c r="BM30" s="12">
        <f>BL30*(1 + Tickets!AB$267/100)</f>
        <v>760583.57298366947</v>
      </c>
      <c r="BN30" s="12">
        <f>BM30*(1 + Tickets!AC$267/100)</f>
        <v>760583.57298366947</v>
      </c>
      <c r="BO30" s="12">
        <f>BN30*(1 + Tickets!AD$267/100)</f>
        <v>760583.57298366947</v>
      </c>
      <c r="BP30" s="12">
        <f>BO30*(1 + Tickets!AE$267/100)</f>
        <v>760583.57298366947</v>
      </c>
      <c r="BQ30" s="12">
        <f>BP30*(1 + Tickets!AF$267/100)</f>
        <v>760583.57298366947</v>
      </c>
      <c r="BR30" s="12">
        <f>BQ30*(1 + Tickets!AG$267/100)</f>
        <v>760583.57298366947</v>
      </c>
      <c r="BS30" s="12">
        <f>BR30*(1 + Tickets!AH$267/100)</f>
        <v>760583.57298366947</v>
      </c>
      <c r="BT30" s="12">
        <f>BS30*(1 + Tickets!AI$267/100)</f>
        <v>760583.57298366947</v>
      </c>
      <c r="BU30" s="12">
        <f>BT30*(1 + Tickets!AJ$267/100)</f>
        <v>760583.57298366947</v>
      </c>
      <c r="BV30" s="12">
        <f>BU30*(1 + Tickets!AK$267/100)</f>
        <v>760583.57298366947</v>
      </c>
      <c r="BW30" s="12">
        <f>BV30*(1 + Tickets!AL$267/100)</f>
        <v>760583.57298366947</v>
      </c>
      <c r="BX30" s="12">
        <f>BW30*(1 + Tickets!AM$267/100)</f>
        <v>760583.57298366947</v>
      </c>
      <c r="BY30" s="12">
        <f>BX30*(1 + Tickets!AN$267/100)</f>
        <v>760583.57298366947</v>
      </c>
      <c r="BZ30" s="12">
        <f>BY30*(1 + Tickets!AO$267/100)</f>
        <v>760583.57298366947</v>
      </c>
      <c r="CA30" s="12">
        <f>BZ30*(1 + Tickets!AP$267/100)</f>
        <v>760583.57298366947</v>
      </c>
      <c r="CB30" s="12">
        <f>CA30*(1 + Tickets!AQ$267/100)</f>
        <v>760583.57298366947</v>
      </c>
      <c r="CC30" s="12">
        <f>CB30*(1 + Tickets!AR$267/100)</f>
        <v>760583.57298366947</v>
      </c>
      <c r="CD30" s="12">
        <f>CC30*(1 + Tickets!AS$267/100)</f>
        <v>760583.57298366947</v>
      </c>
      <c r="CE30" s="12">
        <f>CD30*(1 + Tickets!AT$267/100)</f>
        <v>760583.57298366947</v>
      </c>
      <c r="CF30" s="12">
        <f>CE30*(1 + Tickets!AU$267/100)</f>
        <v>760583.57298366947</v>
      </c>
      <c r="CG30" s="12">
        <f>CF30*(1 + Tickets!AV$267/100)</f>
        <v>760583.57298366947</v>
      </c>
      <c r="CH30" s="12">
        <f>CG30*(1 + Tickets!AW$267/100)</f>
        <v>760583.57298366947</v>
      </c>
      <c r="CI30" s="12">
        <f>CH30*(1 + Tickets!AX$267/100)</f>
        <v>760583.57298366947</v>
      </c>
      <c r="CJ30" s="12">
        <f>CI30*(1 + Tickets!AY$267/100)</f>
        <v>760583.57298366947</v>
      </c>
      <c r="CK30" s="12">
        <f>CJ30*(1 + Tickets!AZ$267/100)</f>
        <v>760583.57298366947</v>
      </c>
      <c r="CL30" s="12">
        <f>CK30*(1 + Tickets!BA$267/100)</f>
        <v>760583.57298366947</v>
      </c>
      <c r="CM30" s="12">
        <f>CL30*(1 + Tickets!BB$267/100)</f>
        <v>760583.57298366947</v>
      </c>
      <c r="CN30" s="12">
        <f>CM30*(1 + Tickets!BC$267/100)</f>
        <v>760583.57298366947</v>
      </c>
      <c r="CO30" s="12">
        <f>CN30*(1 + Tickets!BD$267/100)</f>
        <v>760583.57298366947</v>
      </c>
      <c r="CP30" s="12">
        <f>CO30*(1 + Tickets!BE$267/100)</f>
        <v>760583.57298366947</v>
      </c>
      <c r="CQ30" s="12">
        <f>CP30*(1 + Tickets!BF$267/100)</f>
        <v>760583.57298366947</v>
      </c>
      <c r="CR30" s="12">
        <f>CQ30*(1 + Tickets!BG$267/100)</f>
        <v>760583.57298366947</v>
      </c>
      <c r="CS30" s="12">
        <f>CR30*(1 + Tickets!BH$267/100)</f>
        <v>760583.57298366947</v>
      </c>
      <c r="CT30" s="12">
        <f>CS30*(1 + Tickets!BI$267/100)</f>
        <v>760583.57298366947</v>
      </c>
      <c r="CU30" s="12">
        <f>CT30*(1 + Tickets!BJ$267/100)</f>
        <v>760583.57298366947</v>
      </c>
      <c r="CV30" s="12">
        <f>CU30*(1 + Tickets!BK$267/100)</f>
        <v>760583.57298366947</v>
      </c>
    </row>
    <row r="31" spans="1:100">
      <c r="A31" t="s">
        <v>261</v>
      </c>
      <c r="D31" t="s">
        <v>268</v>
      </c>
      <c r="F31">
        <v>87</v>
      </c>
      <c r="G31" s="12">
        <f t="shared" si="15"/>
        <v>1.45</v>
      </c>
      <c r="H31" s="2">
        <v>0.68</v>
      </c>
      <c r="W31" s="12" t="s">
        <v>262</v>
      </c>
      <c r="Z31" s="12">
        <f>Z19*$F$32</f>
        <v>125793486.28000002</v>
      </c>
      <c r="AA31" s="12">
        <f t="shared" ref="AA31" si="17">AA19*$F$32</f>
        <v>128379965.56</v>
      </c>
      <c r="AB31" s="12"/>
      <c r="AC31" s="12"/>
      <c r="AD31" s="12"/>
      <c r="AE31" s="12"/>
      <c r="AJ31" s="12" t="s">
        <v>262</v>
      </c>
      <c r="AN31" s="12">
        <f>AA19-AN19-AN7</f>
        <v>619336.72052603611</v>
      </c>
      <c r="AO31" s="12">
        <f>AN31*(1 + Tickets!D$267/100)</f>
        <v>633346.11714433506</v>
      </c>
      <c r="AP31" s="12">
        <f>AO31*(1 + Tickets!E$267/100)</f>
        <v>640179.92174832243</v>
      </c>
      <c r="AQ31" s="12">
        <f>AP31*(1 + Tickets!F$267/100)</f>
        <v>651216.62359926349</v>
      </c>
      <c r="AR31" s="12">
        <f>AQ31*(1 + Tickets!G$267/100)</f>
        <v>665543.38931844733</v>
      </c>
      <c r="AS31" s="12">
        <f>AR31*(1 + Tickets!H$267/100)</f>
        <v>676192.08354754245</v>
      </c>
      <c r="AT31" s="12">
        <f>AS31*(1 + Tickets!I$267/100)</f>
        <v>689039.73313494574</v>
      </c>
      <c r="AU31" s="12">
        <f>AT31*(1 + Tickets!J$267/100)</f>
        <v>702131.4880645097</v>
      </c>
      <c r="AV31" s="12">
        <f>AU31*(1 + Tickets!K$267/100)</f>
        <v>716174.11782579985</v>
      </c>
      <c r="AW31" s="12">
        <f>AV31*(1 + Tickets!L$267/100)</f>
        <v>730855.68724122876</v>
      </c>
      <c r="AX31" s="12">
        <f>AW31*(1 + Tickets!M$267/100)</f>
        <v>746203.65667329449</v>
      </c>
      <c r="AY31" s="12">
        <f>AX31*(1 + Tickets!N$267/100)</f>
        <v>762247.03529177036</v>
      </c>
      <c r="AZ31" s="12">
        <f>AY31*(1 + Tickets!O$267/100)</f>
        <v>779016.47006818932</v>
      </c>
      <c r="BA31" s="12">
        <f>AZ31*(1 + Tickets!P$267/100)</f>
        <v>796154.83240968955</v>
      </c>
      <c r="BB31" s="12">
        <f>BA31*(1 + Tickets!Q$267/100)</f>
        <v>813670.23872270272</v>
      </c>
      <c r="BC31" s="12">
        <f>BB31*(1 + Tickets!R$267/100)</f>
        <v>831570.98397460219</v>
      </c>
      <c r="BD31" s="12">
        <f>BC31*(1 + Tickets!S$267/100)</f>
        <v>849865.54562204343</v>
      </c>
      <c r="BE31" s="12">
        <f>BD31*(1 + Tickets!T$267/100)</f>
        <v>868562.58762572845</v>
      </c>
      <c r="BF31" s="12">
        <f>BE31*(1 + Tickets!U$267/100)</f>
        <v>887670.96455349447</v>
      </c>
      <c r="BG31" s="12">
        <f>BF31*(1 + Tickets!V$267/100)</f>
        <v>907199.72577367141</v>
      </c>
      <c r="BH31" s="12">
        <f>BG31*(1 + Tickets!W$267/100)</f>
        <v>907199.72577367141</v>
      </c>
      <c r="BI31" s="12">
        <f>BH31*(1 + Tickets!X$267/100)</f>
        <v>907199.72577367141</v>
      </c>
      <c r="BJ31" s="12">
        <f>BI31*(1 + Tickets!Y$267/100)</f>
        <v>907199.72577367141</v>
      </c>
      <c r="BK31" s="12">
        <f>BJ31*(1 + Tickets!Z$267/100)</f>
        <v>907199.72577367141</v>
      </c>
      <c r="BL31" s="12">
        <f>BK31*(1 + Tickets!AA$267/100)</f>
        <v>907199.72577367141</v>
      </c>
      <c r="BM31" s="12">
        <f>BL31*(1 + Tickets!AB$267/100)</f>
        <v>907199.72577367141</v>
      </c>
      <c r="BN31" s="12">
        <f>BM31*(1 + Tickets!AC$267/100)</f>
        <v>907199.72577367141</v>
      </c>
      <c r="BO31" s="12">
        <f>BN31*(1 + Tickets!AD$267/100)</f>
        <v>907199.72577367141</v>
      </c>
      <c r="BP31" s="12">
        <f>BO31*(1 + Tickets!AE$267/100)</f>
        <v>907199.72577367141</v>
      </c>
      <c r="BQ31" s="12">
        <f>BP31*(1 + Tickets!AF$267/100)</f>
        <v>907199.72577367141</v>
      </c>
      <c r="BR31" s="12">
        <f>BQ31*(1 + Tickets!AG$267/100)</f>
        <v>907199.72577367141</v>
      </c>
      <c r="BS31" s="12">
        <f>BR31*(1 + Tickets!AH$267/100)</f>
        <v>907199.72577367141</v>
      </c>
      <c r="BT31" s="12">
        <f>BS31*(1 + Tickets!AI$267/100)</f>
        <v>907199.72577367141</v>
      </c>
      <c r="BU31" s="12">
        <f>BT31*(1 + Tickets!AJ$267/100)</f>
        <v>907199.72577367141</v>
      </c>
      <c r="BV31" s="12">
        <f>BU31*(1 + Tickets!AK$267/100)</f>
        <v>907199.72577367141</v>
      </c>
      <c r="BW31" s="12">
        <f>BV31*(1 + Tickets!AL$267/100)</f>
        <v>907199.72577367141</v>
      </c>
      <c r="BX31" s="12">
        <f>BW31*(1 + Tickets!AM$267/100)</f>
        <v>907199.72577367141</v>
      </c>
      <c r="BY31" s="12">
        <f>BX31*(1 + Tickets!AN$267/100)</f>
        <v>907199.72577367141</v>
      </c>
      <c r="BZ31" s="12">
        <f>BY31*(1 + Tickets!AO$267/100)</f>
        <v>907199.72577367141</v>
      </c>
      <c r="CA31" s="12">
        <f>BZ31*(1 + Tickets!AP$267/100)</f>
        <v>907199.72577367141</v>
      </c>
      <c r="CB31" s="12">
        <f>CA31*(1 + Tickets!AQ$267/100)</f>
        <v>907199.72577367141</v>
      </c>
      <c r="CC31" s="12">
        <f>CB31*(1 + Tickets!AR$267/100)</f>
        <v>907199.72577367141</v>
      </c>
      <c r="CD31" s="12">
        <f>CC31*(1 + Tickets!AS$267/100)</f>
        <v>907199.72577367141</v>
      </c>
      <c r="CE31" s="12">
        <f>CD31*(1 + Tickets!AT$267/100)</f>
        <v>907199.72577367141</v>
      </c>
      <c r="CF31" s="12">
        <f>CE31*(1 + Tickets!AU$267/100)</f>
        <v>907199.72577367141</v>
      </c>
      <c r="CG31" s="12">
        <f>CF31*(1 + Tickets!AV$267/100)</f>
        <v>907199.72577367141</v>
      </c>
      <c r="CH31" s="12">
        <f>CG31*(1 + Tickets!AW$267/100)</f>
        <v>907199.72577367141</v>
      </c>
      <c r="CI31" s="12">
        <f>CH31*(1 + Tickets!AX$267/100)</f>
        <v>907199.72577367141</v>
      </c>
      <c r="CJ31" s="12">
        <f>CI31*(1 + Tickets!AY$267/100)</f>
        <v>907199.72577367141</v>
      </c>
      <c r="CK31" s="12">
        <f>CJ31*(1 + Tickets!AZ$267/100)</f>
        <v>907199.72577367141</v>
      </c>
      <c r="CL31" s="12">
        <f>CK31*(1 + Tickets!BA$267/100)</f>
        <v>907199.72577367141</v>
      </c>
      <c r="CM31" s="12">
        <f>CL31*(1 + Tickets!BB$267/100)</f>
        <v>907199.72577367141</v>
      </c>
      <c r="CN31" s="12">
        <f>CM31*(1 + Tickets!BC$267/100)</f>
        <v>907199.72577367141</v>
      </c>
      <c r="CO31" s="12">
        <f>CN31*(1 + Tickets!BD$267/100)</f>
        <v>907199.72577367141</v>
      </c>
      <c r="CP31" s="12">
        <f>CO31*(1 + Tickets!BE$267/100)</f>
        <v>907199.72577367141</v>
      </c>
      <c r="CQ31" s="12">
        <f>CP31*(1 + Tickets!BF$267/100)</f>
        <v>907199.72577367141</v>
      </c>
      <c r="CR31" s="12">
        <f>CQ31*(1 + Tickets!BG$267/100)</f>
        <v>907199.72577367141</v>
      </c>
      <c r="CS31" s="12">
        <f>CR31*(1 + Tickets!BH$267/100)</f>
        <v>907199.72577367141</v>
      </c>
      <c r="CT31" s="12">
        <f>CS31*(1 + Tickets!BI$267/100)</f>
        <v>907199.72577367141</v>
      </c>
      <c r="CU31" s="12">
        <f>CT31*(1 + Tickets!BJ$267/100)</f>
        <v>907199.72577367141</v>
      </c>
      <c r="CV31" s="12">
        <f>CU31*(1 + Tickets!BK$267/100)</f>
        <v>907199.72577367141</v>
      </c>
    </row>
    <row r="32" spans="1:100" s="12" customFormat="1">
      <c r="A32" t="s">
        <v>262</v>
      </c>
      <c r="B32"/>
      <c r="C32"/>
      <c r="D32" t="s">
        <v>90</v>
      </c>
      <c r="E32"/>
      <c r="F32">
        <v>77</v>
      </c>
      <c r="G32" s="12">
        <f>F32/60</f>
        <v>1.2833333333333334</v>
      </c>
      <c r="H32" s="2">
        <v>0.68</v>
      </c>
      <c r="W32" s="12" t="s">
        <v>263</v>
      </c>
      <c r="Z32" s="12">
        <f>Z20*$F$33</f>
        <v>52791003.720000006</v>
      </c>
      <c r="AA32" s="12">
        <f t="shared" ref="AA32" si="18">AA20*$F$33</f>
        <v>55953666.720000006</v>
      </c>
      <c r="AJ32" s="12" t="s">
        <v>263</v>
      </c>
      <c r="AN32" s="12">
        <f t="shared" ref="AN32:AN34" si="19">AA20-AN20-AN8</f>
        <v>318718.82488986466</v>
      </c>
      <c r="AO32" s="12">
        <f>AN32*(1 + Tickets!D$267/100)</f>
        <v>325928.24470887345</v>
      </c>
      <c r="AP32" s="12">
        <f>AO32*(1 + Tickets!E$267/100)</f>
        <v>329445.01046928222</v>
      </c>
      <c r="AQ32" s="12">
        <f>AP32*(1 + Tickets!F$267/100)</f>
        <v>335124.64244977263</v>
      </c>
      <c r="AR32" s="12">
        <f>AQ32*(1 + Tickets!G$267/100)</f>
        <v>342497.38458366762</v>
      </c>
      <c r="AS32" s="12">
        <f>AR32*(1 + Tickets!H$267/100)</f>
        <v>347977.34273700631</v>
      </c>
      <c r="AT32" s="12">
        <f>AS32*(1 + Tickets!I$267/100)</f>
        <v>354588.91224900942</v>
      </c>
      <c r="AU32" s="12">
        <f>AT32*(1 + Tickets!J$267/100)</f>
        <v>361326.10158174054</v>
      </c>
      <c r="AV32" s="12">
        <f>AU32*(1 + Tickets!K$267/100)</f>
        <v>368552.62361337536</v>
      </c>
      <c r="AW32" s="12">
        <f>AV32*(1 + Tickets!L$267/100)</f>
        <v>376107.95239744952</v>
      </c>
      <c r="AX32" s="12">
        <f>AW32*(1 + Tickets!M$267/100)</f>
        <v>384006.21939779591</v>
      </c>
      <c r="AY32" s="12">
        <f>AX32*(1 + Tickets!N$267/100)</f>
        <v>392262.35311484855</v>
      </c>
      <c r="AZ32" s="12">
        <f>AY32*(1 + Tickets!O$267/100)</f>
        <v>400892.12488337525</v>
      </c>
      <c r="BA32" s="12">
        <f>AZ32*(1 + Tickets!P$267/100)</f>
        <v>409711.75163080951</v>
      </c>
      <c r="BB32" s="12">
        <f>BA32*(1 + Tickets!Q$267/100)</f>
        <v>418725.41016668733</v>
      </c>
      <c r="BC32" s="12">
        <f>BB32*(1 + Tickets!R$267/100)</f>
        <v>427937.36919035448</v>
      </c>
      <c r="BD32" s="12">
        <f>BC32*(1 + Tickets!S$267/100)</f>
        <v>437351.99131254229</v>
      </c>
      <c r="BE32" s="12">
        <f>BD32*(1 + Tickets!T$267/100)</f>
        <v>446973.73512141826</v>
      </c>
      <c r="BF32" s="12">
        <f>BE32*(1 + Tickets!U$267/100)</f>
        <v>456807.15729408944</v>
      </c>
      <c r="BG32" s="12">
        <f>BF32*(1 + Tickets!V$267/100)</f>
        <v>466856.9147545594</v>
      </c>
      <c r="BH32" s="12">
        <f>BG32*(1 + Tickets!W$267/100)</f>
        <v>466856.9147545594</v>
      </c>
      <c r="BI32" s="12">
        <f>BH32*(1 + Tickets!X$267/100)</f>
        <v>466856.9147545594</v>
      </c>
      <c r="BJ32" s="12">
        <f>BI32*(1 + Tickets!Y$267/100)</f>
        <v>466856.9147545594</v>
      </c>
      <c r="BK32" s="12">
        <f>BJ32*(1 + Tickets!Z$267/100)</f>
        <v>466856.9147545594</v>
      </c>
      <c r="BL32" s="12">
        <f>BK32*(1 + Tickets!AA$267/100)</f>
        <v>466856.9147545594</v>
      </c>
      <c r="BM32" s="12">
        <f>BL32*(1 + Tickets!AB$267/100)</f>
        <v>466856.9147545594</v>
      </c>
      <c r="BN32" s="12">
        <f>BM32*(1 + Tickets!AC$267/100)</f>
        <v>466856.9147545594</v>
      </c>
      <c r="BO32" s="12">
        <f>BN32*(1 + Tickets!AD$267/100)</f>
        <v>466856.9147545594</v>
      </c>
      <c r="BP32" s="12">
        <f>BO32*(1 + Tickets!AE$267/100)</f>
        <v>466856.9147545594</v>
      </c>
      <c r="BQ32" s="12">
        <f>BP32*(1 + Tickets!AF$267/100)</f>
        <v>466856.9147545594</v>
      </c>
      <c r="BR32" s="12">
        <f>BQ32*(1 + Tickets!AG$267/100)</f>
        <v>466856.9147545594</v>
      </c>
      <c r="BS32" s="12">
        <f>BR32*(1 + Tickets!AH$267/100)</f>
        <v>466856.9147545594</v>
      </c>
      <c r="BT32" s="12">
        <f>BS32*(1 + Tickets!AI$267/100)</f>
        <v>466856.9147545594</v>
      </c>
      <c r="BU32" s="12">
        <f>BT32*(1 + Tickets!AJ$267/100)</f>
        <v>466856.9147545594</v>
      </c>
      <c r="BV32" s="12">
        <f>BU32*(1 + Tickets!AK$267/100)</f>
        <v>466856.9147545594</v>
      </c>
      <c r="BW32" s="12">
        <f>BV32*(1 + Tickets!AL$267/100)</f>
        <v>466856.9147545594</v>
      </c>
      <c r="BX32" s="12">
        <f>BW32*(1 + Tickets!AM$267/100)</f>
        <v>466856.9147545594</v>
      </c>
      <c r="BY32" s="12">
        <f>BX32*(1 + Tickets!AN$267/100)</f>
        <v>466856.9147545594</v>
      </c>
      <c r="BZ32" s="12">
        <f>BY32*(1 + Tickets!AO$267/100)</f>
        <v>466856.9147545594</v>
      </c>
      <c r="CA32" s="12">
        <f>BZ32*(1 + Tickets!AP$267/100)</f>
        <v>466856.9147545594</v>
      </c>
      <c r="CB32" s="12">
        <f>CA32*(1 + Tickets!AQ$267/100)</f>
        <v>466856.9147545594</v>
      </c>
      <c r="CC32" s="12">
        <f>CB32*(1 + Tickets!AR$267/100)</f>
        <v>466856.9147545594</v>
      </c>
      <c r="CD32" s="12">
        <f>CC32*(1 + Tickets!AS$267/100)</f>
        <v>466856.9147545594</v>
      </c>
      <c r="CE32" s="12">
        <f>CD32*(1 + Tickets!AT$267/100)</f>
        <v>466856.9147545594</v>
      </c>
      <c r="CF32" s="12">
        <f>CE32*(1 + Tickets!AU$267/100)</f>
        <v>466856.9147545594</v>
      </c>
      <c r="CG32" s="12">
        <f>CF32*(1 + Tickets!AV$267/100)</f>
        <v>466856.9147545594</v>
      </c>
      <c r="CH32" s="12">
        <f>CG32*(1 + Tickets!AW$267/100)</f>
        <v>466856.9147545594</v>
      </c>
      <c r="CI32" s="12">
        <f>CH32*(1 + Tickets!AX$267/100)</f>
        <v>466856.9147545594</v>
      </c>
      <c r="CJ32" s="12">
        <f>CI32*(1 + Tickets!AY$267/100)</f>
        <v>466856.9147545594</v>
      </c>
      <c r="CK32" s="12">
        <f>CJ32*(1 + Tickets!AZ$267/100)</f>
        <v>466856.9147545594</v>
      </c>
      <c r="CL32" s="12">
        <f>CK32*(1 + Tickets!BA$267/100)</f>
        <v>466856.9147545594</v>
      </c>
      <c r="CM32" s="12">
        <f>CL32*(1 + Tickets!BB$267/100)</f>
        <v>466856.9147545594</v>
      </c>
      <c r="CN32" s="12">
        <f>CM32*(1 + Tickets!BC$267/100)</f>
        <v>466856.9147545594</v>
      </c>
      <c r="CO32" s="12">
        <f>CN32*(1 + Tickets!BD$267/100)</f>
        <v>466856.9147545594</v>
      </c>
      <c r="CP32" s="12">
        <f>CO32*(1 + Tickets!BE$267/100)</f>
        <v>466856.9147545594</v>
      </c>
      <c r="CQ32" s="12">
        <f>CP32*(1 + Tickets!BF$267/100)</f>
        <v>466856.9147545594</v>
      </c>
      <c r="CR32" s="12">
        <f>CQ32*(1 + Tickets!BG$267/100)</f>
        <v>466856.9147545594</v>
      </c>
      <c r="CS32" s="12">
        <f>CR32*(1 + Tickets!BH$267/100)</f>
        <v>466856.9147545594</v>
      </c>
      <c r="CT32" s="12">
        <f>CS32*(1 + Tickets!BI$267/100)</f>
        <v>466856.9147545594</v>
      </c>
      <c r="CU32" s="12">
        <f>CT32*(1 + Tickets!BJ$267/100)</f>
        <v>466856.9147545594</v>
      </c>
      <c r="CV32" s="12">
        <f>CU32*(1 + Tickets!BK$267/100)</f>
        <v>466856.9147545594</v>
      </c>
    </row>
    <row r="33" spans="1:100" s="12" customFormat="1">
      <c r="A33" s="12" t="s">
        <v>263</v>
      </c>
      <c r="D33" s="12" t="s">
        <v>269</v>
      </c>
      <c r="F33" s="12">
        <v>63</v>
      </c>
      <c r="G33" s="12">
        <f>F33/60</f>
        <v>1.05</v>
      </c>
      <c r="H33" s="2">
        <v>0.68</v>
      </c>
      <c r="W33" s="12" t="s">
        <v>264</v>
      </c>
      <c r="Z33" s="12">
        <f>Z21*$F$34</f>
        <v>63153599.039999999</v>
      </c>
      <c r="AA33" s="12">
        <f t="shared" ref="AA33" si="20">AA21*$F$34</f>
        <v>63191877.839999996</v>
      </c>
      <c r="AJ33" s="12" t="s">
        <v>264</v>
      </c>
      <c r="AN33" s="12">
        <f t="shared" si="19"/>
        <v>407174.91629868688</v>
      </c>
      <c r="AO33" s="12">
        <f>AN33*(1 + Tickets!D$267/100)</f>
        <v>416385.21290536318</v>
      </c>
      <c r="AP33" s="12">
        <f>AO33*(1 + Tickets!E$267/100)</f>
        <v>420878.00935261208</v>
      </c>
      <c r="AQ33" s="12">
        <f>AP33*(1 + Tickets!F$267/100)</f>
        <v>428133.94623385108</v>
      </c>
      <c r="AR33" s="12">
        <f>AQ33*(1 + Tickets!G$267/100)</f>
        <v>437552.89305099583</v>
      </c>
      <c r="AS33" s="12">
        <f>AR33*(1 + Tickets!H$267/100)</f>
        <v>444553.73933981179</v>
      </c>
      <c r="AT33" s="12">
        <f>AS33*(1 + Tickets!I$267/100)</f>
        <v>453000.26038726815</v>
      </c>
      <c r="AU33" s="12">
        <f>AT33*(1 + Tickets!J$267/100)</f>
        <v>461607.26533462619</v>
      </c>
      <c r="AV33" s="12">
        <f>AU33*(1 + Tickets!K$267/100)</f>
        <v>470839.41064131871</v>
      </c>
      <c r="AW33" s="12">
        <f>AV33*(1 + Tickets!L$267/100)</f>
        <v>480491.61855946574</v>
      </c>
      <c r="AX33" s="12">
        <f>AW33*(1 + Tickets!M$267/100)</f>
        <v>490581.94254921447</v>
      </c>
      <c r="AY33" s="12">
        <f>AX33*(1 + Tickets!N$267/100)</f>
        <v>501129.45431402262</v>
      </c>
      <c r="AZ33" s="12">
        <f>AY33*(1 + Tickets!O$267/100)</f>
        <v>512154.30230893113</v>
      </c>
      <c r="BA33" s="12">
        <f>AZ33*(1 + Tickets!P$267/100)</f>
        <v>523421.69695972762</v>
      </c>
      <c r="BB33" s="12">
        <f>BA33*(1 + Tickets!Q$267/100)</f>
        <v>534936.97429284162</v>
      </c>
      <c r="BC33" s="12">
        <f>BB33*(1 + Tickets!R$267/100)</f>
        <v>546705.58772728418</v>
      </c>
      <c r="BD33" s="12">
        <f>BC33*(1 + Tickets!S$267/100)</f>
        <v>558733.11065728439</v>
      </c>
      <c r="BE33" s="12">
        <f>BD33*(1 + Tickets!T$267/100)</f>
        <v>571025.23909174465</v>
      </c>
      <c r="BF33" s="12">
        <f>BE33*(1 + Tickets!U$267/100)</f>
        <v>583587.79435176309</v>
      </c>
      <c r="BG33" s="12">
        <f>BF33*(1 + Tickets!V$267/100)</f>
        <v>596426.72582750185</v>
      </c>
      <c r="BH33" s="12">
        <f>BG33*(1 + Tickets!W$267/100)</f>
        <v>596426.72582750185</v>
      </c>
      <c r="BI33" s="12">
        <f>BH33*(1 + Tickets!X$267/100)</f>
        <v>596426.72582750185</v>
      </c>
      <c r="BJ33" s="12">
        <f>BI33*(1 + Tickets!Y$267/100)</f>
        <v>596426.72582750185</v>
      </c>
      <c r="BK33" s="12">
        <f>BJ33*(1 + Tickets!Z$267/100)</f>
        <v>596426.72582750185</v>
      </c>
      <c r="BL33" s="12">
        <f>BK33*(1 + Tickets!AA$267/100)</f>
        <v>596426.72582750185</v>
      </c>
      <c r="BM33" s="12">
        <f>BL33*(1 + Tickets!AB$267/100)</f>
        <v>596426.72582750185</v>
      </c>
      <c r="BN33" s="12">
        <f>BM33*(1 + Tickets!AC$267/100)</f>
        <v>596426.72582750185</v>
      </c>
      <c r="BO33" s="12">
        <f>BN33*(1 + Tickets!AD$267/100)</f>
        <v>596426.72582750185</v>
      </c>
      <c r="BP33" s="12">
        <f>BO33*(1 + Tickets!AE$267/100)</f>
        <v>596426.72582750185</v>
      </c>
      <c r="BQ33" s="12">
        <f>BP33*(1 + Tickets!AF$267/100)</f>
        <v>596426.72582750185</v>
      </c>
      <c r="BR33" s="12">
        <f>BQ33*(1 + Tickets!AG$267/100)</f>
        <v>596426.72582750185</v>
      </c>
      <c r="BS33" s="12">
        <f>BR33*(1 + Tickets!AH$267/100)</f>
        <v>596426.72582750185</v>
      </c>
      <c r="BT33" s="12">
        <f>BS33*(1 + Tickets!AI$267/100)</f>
        <v>596426.72582750185</v>
      </c>
      <c r="BU33" s="12">
        <f>BT33*(1 + Tickets!AJ$267/100)</f>
        <v>596426.72582750185</v>
      </c>
      <c r="BV33" s="12">
        <f>BU33*(1 + Tickets!AK$267/100)</f>
        <v>596426.72582750185</v>
      </c>
      <c r="BW33" s="12">
        <f>BV33*(1 + Tickets!AL$267/100)</f>
        <v>596426.72582750185</v>
      </c>
      <c r="BX33" s="12">
        <f>BW33*(1 + Tickets!AM$267/100)</f>
        <v>596426.72582750185</v>
      </c>
      <c r="BY33" s="12">
        <f>BX33*(1 + Tickets!AN$267/100)</f>
        <v>596426.72582750185</v>
      </c>
      <c r="BZ33" s="12">
        <f>BY33*(1 + Tickets!AO$267/100)</f>
        <v>596426.72582750185</v>
      </c>
      <c r="CA33" s="12">
        <f>BZ33*(1 + Tickets!AP$267/100)</f>
        <v>596426.72582750185</v>
      </c>
      <c r="CB33" s="12">
        <f>CA33*(1 + Tickets!AQ$267/100)</f>
        <v>596426.72582750185</v>
      </c>
      <c r="CC33" s="12">
        <f>CB33*(1 + Tickets!AR$267/100)</f>
        <v>596426.72582750185</v>
      </c>
      <c r="CD33" s="12">
        <f>CC33*(1 + Tickets!AS$267/100)</f>
        <v>596426.72582750185</v>
      </c>
      <c r="CE33" s="12">
        <f>CD33*(1 + Tickets!AT$267/100)</f>
        <v>596426.72582750185</v>
      </c>
      <c r="CF33" s="12">
        <f>CE33*(1 + Tickets!AU$267/100)</f>
        <v>596426.72582750185</v>
      </c>
      <c r="CG33" s="12">
        <f>CF33*(1 + Tickets!AV$267/100)</f>
        <v>596426.72582750185</v>
      </c>
      <c r="CH33" s="12">
        <f>CG33*(1 + Tickets!AW$267/100)</f>
        <v>596426.72582750185</v>
      </c>
      <c r="CI33" s="12">
        <f>CH33*(1 + Tickets!AX$267/100)</f>
        <v>596426.72582750185</v>
      </c>
      <c r="CJ33" s="12">
        <f>CI33*(1 + Tickets!AY$267/100)</f>
        <v>596426.72582750185</v>
      </c>
      <c r="CK33" s="12">
        <f>CJ33*(1 + Tickets!AZ$267/100)</f>
        <v>596426.72582750185</v>
      </c>
      <c r="CL33" s="12">
        <f>CK33*(1 + Tickets!BA$267/100)</f>
        <v>596426.72582750185</v>
      </c>
      <c r="CM33" s="12">
        <f>CL33*(1 + Tickets!BB$267/100)</f>
        <v>596426.72582750185</v>
      </c>
      <c r="CN33" s="12">
        <f>CM33*(1 + Tickets!BC$267/100)</f>
        <v>596426.72582750185</v>
      </c>
      <c r="CO33" s="12">
        <f>CN33*(1 + Tickets!BD$267/100)</f>
        <v>596426.72582750185</v>
      </c>
      <c r="CP33" s="12">
        <f>CO33*(1 + Tickets!BE$267/100)</f>
        <v>596426.72582750185</v>
      </c>
      <c r="CQ33" s="12">
        <f>CP33*(1 + Tickets!BF$267/100)</f>
        <v>596426.72582750185</v>
      </c>
      <c r="CR33" s="12">
        <f>CQ33*(1 + Tickets!BG$267/100)</f>
        <v>596426.72582750185</v>
      </c>
      <c r="CS33" s="12">
        <f>CR33*(1 + Tickets!BH$267/100)</f>
        <v>596426.72582750185</v>
      </c>
      <c r="CT33" s="12">
        <f>CS33*(1 + Tickets!BI$267/100)</f>
        <v>596426.72582750185</v>
      </c>
      <c r="CU33" s="12">
        <f>CT33*(1 + Tickets!BJ$267/100)</f>
        <v>596426.72582750185</v>
      </c>
      <c r="CV33" s="12">
        <f>CU33*(1 + Tickets!BK$267/100)</f>
        <v>596426.72582750185</v>
      </c>
    </row>
    <row r="34" spans="1:100" s="12" customFormat="1">
      <c r="A34" s="12" t="s">
        <v>264</v>
      </c>
      <c r="D34" s="12" t="s">
        <v>270</v>
      </c>
      <c r="F34" s="12">
        <v>49</v>
      </c>
      <c r="G34" s="12">
        <f>F34/60</f>
        <v>0.81666666666666665</v>
      </c>
      <c r="H34" s="2">
        <v>0.72</v>
      </c>
      <c r="W34" s="12" t="s">
        <v>265</v>
      </c>
      <c r="Z34" s="12">
        <f>Z22*$F$35</f>
        <v>238183136.64000002</v>
      </c>
      <c r="AA34" s="12">
        <f t="shared" ref="AA34" si="21">AA22*$F$35</f>
        <v>237320284.31999999</v>
      </c>
      <c r="AJ34" s="12" t="s">
        <v>265</v>
      </c>
      <c r="AN34" s="12">
        <f t="shared" si="19"/>
        <v>2576190.0646893182</v>
      </c>
      <c r="AO34" s="12">
        <f>AN34*(1 + Tickets!D$267/100)</f>
        <v>2634463.4839525907</v>
      </c>
      <c r="AP34" s="12">
        <f>AO34*(1 + Tickets!E$267/100)</f>
        <v>2662889.3449444394</v>
      </c>
      <c r="AQ34" s="12">
        <f>AP34*(1 + Tickets!F$267/100)</f>
        <v>2708797.5572512811</v>
      </c>
      <c r="AR34" s="12">
        <f>AQ34*(1 + Tickets!G$267/100)</f>
        <v>2768391.1035108091</v>
      </c>
      <c r="AS34" s="12">
        <f>AR34*(1 + Tickets!H$267/100)</f>
        <v>2812685.361166982</v>
      </c>
      <c r="AT34" s="12">
        <f>AS34*(1 + Tickets!I$267/100)</f>
        <v>2866126.3830291545</v>
      </c>
      <c r="AU34" s="12">
        <f>AT34*(1 + Tickets!J$267/100)</f>
        <v>2920582.7843067083</v>
      </c>
      <c r="AV34" s="12">
        <f>AU34*(1 + Tickets!K$267/100)</f>
        <v>2978994.4399928423</v>
      </c>
      <c r="AW34" s="12">
        <f>AV34*(1 + Tickets!L$267/100)</f>
        <v>3040063.8260126952</v>
      </c>
      <c r="AX34" s="12">
        <f>AW34*(1 + Tickets!M$267/100)</f>
        <v>3103905.1663589617</v>
      </c>
      <c r="AY34" s="12">
        <f>AX34*(1 + Tickets!N$267/100)</f>
        <v>3170639.1274356795</v>
      </c>
      <c r="AZ34" s="12">
        <f>AY34*(1 + Tickets!O$267/100)</f>
        <v>3240393.1882392648</v>
      </c>
      <c r="BA34" s="12">
        <f>AZ34*(1 + Tickets!P$267/100)</f>
        <v>3311681.8383805286</v>
      </c>
      <c r="BB34" s="12">
        <f>BA34*(1 + Tickets!Q$267/100)</f>
        <v>3384538.8388249003</v>
      </c>
      <c r="BC34" s="12">
        <f>BB34*(1 + Tickets!R$267/100)</f>
        <v>3458998.6932790484</v>
      </c>
      <c r="BD34" s="12">
        <f>BC34*(1 + Tickets!S$267/100)</f>
        <v>3535096.6645311876</v>
      </c>
      <c r="BE34" s="12">
        <f>BD34*(1 + Tickets!T$267/100)</f>
        <v>3612868.791150874</v>
      </c>
      <c r="BF34" s="12">
        <f>BE34*(1 + Tickets!U$267/100)</f>
        <v>3692351.9045561934</v>
      </c>
      <c r="BG34" s="12">
        <f>BF34*(1 + Tickets!V$267/100)</f>
        <v>3773583.6464564297</v>
      </c>
      <c r="BH34" s="12">
        <f>BG34*(1 + Tickets!W$267/100)</f>
        <v>3773583.6464564297</v>
      </c>
      <c r="BI34" s="12">
        <f>BH34*(1 + Tickets!X$267/100)</f>
        <v>3773583.6464564297</v>
      </c>
      <c r="BJ34" s="12">
        <f>BI34*(1 + Tickets!Y$267/100)</f>
        <v>3773583.6464564297</v>
      </c>
      <c r="BK34" s="12">
        <f>BJ34*(1 + Tickets!Z$267/100)</f>
        <v>3773583.6464564297</v>
      </c>
      <c r="BL34" s="12">
        <f>BK34*(1 + Tickets!AA$267/100)</f>
        <v>3773583.6464564297</v>
      </c>
      <c r="BM34" s="12">
        <f>BL34*(1 + Tickets!AB$267/100)</f>
        <v>3773583.6464564297</v>
      </c>
      <c r="BN34" s="12">
        <f>BM34*(1 + Tickets!AC$267/100)</f>
        <v>3773583.6464564297</v>
      </c>
      <c r="BO34" s="12">
        <f>BN34*(1 + Tickets!AD$267/100)</f>
        <v>3773583.6464564297</v>
      </c>
      <c r="BP34" s="12">
        <f>BO34*(1 + Tickets!AE$267/100)</f>
        <v>3773583.6464564297</v>
      </c>
      <c r="BQ34" s="12">
        <f>BP34*(1 + Tickets!AF$267/100)</f>
        <v>3773583.6464564297</v>
      </c>
      <c r="BR34" s="12">
        <f>BQ34*(1 + Tickets!AG$267/100)</f>
        <v>3773583.6464564297</v>
      </c>
      <c r="BS34" s="12">
        <f>BR34*(1 + Tickets!AH$267/100)</f>
        <v>3773583.6464564297</v>
      </c>
      <c r="BT34" s="12">
        <f>BS34*(1 + Tickets!AI$267/100)</f>
        <v>3773583.6464564297</v>
      </c>
      <c r="BU34" s="12">
        <f>BT34*(1 + Tickets!AJ$267/100)</f>
        <v>3773583.6464564297</v>
      </c>
      <c r="BV34" s="12">
        <f>BU34*(1 + Tickets!AK$267/100)</f>
        <v>3773583.6464564297</v>
      </c>
      <c r="BW34" s="12">
        <f>BV34*(1 + Tickets!AL$267/100)</f>
        <v>3773583.6464564297</v>
      </c>
      <c r="BX34" s="12">
        <f>BW34*(1 + Tickets!AM$267/100)</f>
        <v>3773583.6464564297</v>
      </c>
      <c r="BY34" s="12">
        <f>BX34*(1 + Tickets!AN$267/100)</f>
        <v>3773583.6464564297</v>
      </c>
      <c r="BZ34" s="12">
        <f>BY34*(1 + Tickets!AO$267/100)</f>
        <v>3773583.6464564297</v>
      </c>
      <c r="CA34" s="12">
        <f>BZ34*(1 + Tickets!AP$267/100)</f>
        <v>3773583.6464564297</v>
      </c>
      <c r="CB34" s="12">
        <f>CA34*(1 + Tickets!AQ$267/100)</f>
        <v>3773583.6464564297</v>
      </c>
      <c r="CC34" s="12">
        <f>CB34*(1 + Tickets!AR$267/100)</f>
        <v>3773583.6464564297</v>
      </c>
      <c r="CD34" s="12">
        <f>CC34*(1 + Tickets!AS$267/100)</f>
        <v>3773583.6464564297</v>
      </c>
      <c r="CE34" s="12">
        <f>CD34*(1 + Tickets!AT$267/100)</f>
        <v>3773583.6464564297</v>
      </c>
      <c r="CF34" s="12">
        <f>CE34*(1 + Tickets!AU$267/100)</f>
        <v>3773583.6464564297</v>
      </c>
      <c r="CG34" s="12">
        <f>CF34*(1 + Tickets!AV$267/100)</f>
        <v>3773583.6464564297</v>
      </c>
      <c r="CH34" s="12">
        <f>CG34*(1 + Tickets!AW$267/100)</f>
        <v>3773583.6464564297</v>
      </c>
      <c r="CI34" s="12">
        <f>CH34*(1 + Tickets!AX$267/100)</f>
        <v>3773583.6464564297</v>
      </c>
      <c r="CJ34" s="12">
        <f>CI34*(1 + Tickets!AY$267/100)</f>
        <v>3773583.6464564297</v>
      </c>
      <c r="CK34" s="12">
        <f>CJ34*(1 + Tickets!AZ$267/100)</f>
        <v>3773583.6464564297</v>
      </c>
      <c r="CL34" s="12">
        <f>CK34*(1 + Tickets!BA$267/100)</f>
        <v>3773583.6464564297</v>
      </c>
      <c r="CM34" s="12">
        <f>CL34*(1 + Tickets!BB$267/100)</f>
        <v>3773583.6464564297</v>
      </c>
      <c r="CN34" s="12">
        <f>CM34*(1 + Tickets!BC$267/100)</f>
        <v>3773583.6464564297</v>
      </c>
      <c r="CO34" s="12">
        <f>CN34*(1 + Tickets!BD$267/100)</f>
        <v>3773583.6464564297</v>
      </c>
      <c r="CP34" s="12">
        <f>CO34*(1 + Tickets!BE$267/100)</f>
        <v>3773583.6464564297</v>
      </c>
      <c r="CQ34" s="12">
        <f>CP34*(1 + Tickets!BF$267/100)</f>
        <v>3773583.6464564297</v>
      </c>
      <c r="CR34" s="12">
        <f>CQ34*(1 + Tickets!BG$267/100)</f>
        <v>3773583.6464564297</v>
      </c>
      <c r="CS34" s="12">
        <f>CR34*(1 + Tickets!BH$267/100)</f>
        <v>3773583.6464564297</v>
      </c>
      <c r="CT34" s="12">
        <f>CS34*(1 + Tickets!BI$267/100)</f>
        <v>3773583.6464564297</v>
      </c>
      <c r="CU34" s="12">
        <f>CT34*(1 + Tickets!BJ$267/100)</f>
        <v>3773583.6464564297</v>
      </c>
      <c r="CV34" s="12">
        <f>CU34*(1 + Tickets!BK$267/100)</f>
        <v>3773583.6464564297</v>
      </c>
    </row>
    <row r="35" spans="1:100">
      <c r="A35" s="12" t="s">
        <v>265</v>
      </c>
      <c r="B35" s="12"/>
      <c r="C35" s="12"/>
      <c r="D35" s="12" t="s">
        <v>271</v>
      </c>
      <c r="E35" s="12"/>
      <c r="F35" s="12">
        <v>36</v>
      </c>
      <c r="G35" s="12">
        <f>F35/60</f>
        <v>0.6</v>
      </c>
      <c r="H35" s="2">
        <v>0.76</v>
      </c>
      <c r="W35" s="12" t="s">
        <v>92</v>
      </c>
      <c r="Z35" s="12">
        <f>Z23*$F$36</f>
        <v>202665691.5</v>
      </c>
      <c r="AA35" s="12">
        <f t="shared" ref="AA35" si="22">AA23*$F$36</f>
        <v>207564908.10000002</v>
      </c>
      <c r="AB35" s="12"/>
      <c r="AC35" s="12"/>
      <c r="AD35" s="12"/>
      <c r="AE35" s="12"/>
      <c r="AJ35" s="12" t="s">
        <v>92</v>
      </c>
      <c r="AN35" s="12">
        <f>AA23-AN23-AN11</f>
        <v>2036419.8192365081</v>
      </c>
      <c r="AO35" s="12">
        <f>AN35*(1 + Tickets!D$267/100)</f>
        <v>2082483.6355476382</v>
      </c>
      <c r="AP35" s="12">
        <f>AO35*(1 + Tickets!E$267/100)</f>
        <v>2104953.6339751976</v>
      </c>
      <c r="AQ35" s="12">
        <f>AP35*(1 + Tickets!F$267/100)</f>
        <v>2141243.03462493</v>
      </c>
      <c r="AR35" s="12">
        <f>AQ35*(1 + Tickets!G$267/100)</f>
        <v>2188350.3813866787</v>
      </c>
      <c r="AS35" s="12">
        <f>AR35*(1 + Tickets!H$267/100)</f>
        <v>2223363.9874888654</v>
      </c>
      <c r="AT35" s="12">
        <f>AS35*(1 + Tickets!I$267/100)</f>
        <v>2265607.9032511534</v>
      </c>
      <c r="AU35" s="12">
        <f>AT35*(1 + Tickets!J$267/100)</f>
        <v>2308654.4534129249</v>
      </c>
      <c r="AV35" s="12">
        <f>AU35*(1 + Tickets!K$267/100)</f>
        <v>2354827.5424811835</v>
      </c>
      <c r="AW35" s="12">
        <f>AV35*(1 + Tickets!L$267/100)</f>
        <v>2403101.5071020476</v>
      </c>
      <c r="AX35" s="12">
        <f>AW35*(1 + Tickets!M$267/100)</f>
        <v>2453566.6387511902</v>
      </c>
      <c r="AY35" s="12">
        <f>AX35*(1 + Tickets!N$267/100)</f>
        <v>2506318.3214843408</v>
      </c>
      <c r="AZ35" s="12">
        <f>AY35*(1 + Tickets!O$267/100)</f>
        <v>2561457.3245569966</v>
      </c>
      <c r="BA35" s="12">
        <f>AZ35*(1 + Tickets!P$267/100)</f>
        <v>2617809.3856972507</v>
      </c>
      <c r="BB35" s="12">
        <f>BA35*(1 + Tickets!Q$267/100)</f>
        <v>2675401.1921825903</v>
      </c>
      <c r="BC35" s="12">
        <f>BB35*(1 + Tickets!R$267/100)</f>
        <v>2734260.0184106072</v>
      </c>
      <c r="BD35" s="12">
        <f>BC35*(1 + Tickets!S$267/100)</f>
        <v>2794413.7388156406</v>
      </c>
      <c r="BE35" s="12">
        <f>BD35*(1 + Tickets!T$267/100)</f>
        <v>2855890.8410695847</v>
      </c>
      <c r="BF35" s="12">
        <f>BE35*(1 + Tickets!U$267/100)</f>
        <v>2918720.4395731157</v>
      </c>
      <c r="BG35" s="12">
        <f>BF35*(1 + Tickets!V$267/100)</f>
        <v>2982932.2892437242</v>
      </c>
      <c r="BH35" s="12">
        <f>BG35*(1 + Tickets!W$267/100)</f>
        <v>2982932.2892437242</v>
      </c>
      <c r="BI35" s="12">
        <f>BH35*(1 + Tickets!X$267/100)</f>
        <v>2982932.2892437242</v>
      </c>
      <c r="BJ35" s="12">
        <f>BI35*(1 + Tickets!Y$267/100)</f>
        <v>2982932.2892437242</v>
      </c>
      <c r="BK35" s="12">
        <f>BJ35*(1 + Tickets!Z$267/100)</f>
        <v>2982932.2892437242</v>
      </c>
      <c r="BL35" s="12">
        <f>BK35*(1 + Tickets!AA$267/100)</f>
        <v>2982932.2892437242</v>
      </c>
      <c r="BM35" s="12">
        <f>BL35*(1 + Tickets!AB$267/100)</f>
        <v>2982932.2892437242</v>
      </c>
      <c r="BN35" s="12">
        <f>BM35*(1 + Tickets!AC$267/100)</f>
        <v>2982932.2892437242</v>
      </c>
      <c r="BO35" s="12">
        <f>BN35*(1 + Tickets!AD$267/100)</f>
        <v>2982932.2892437242</v>
      </c>
      <c r="BP35" s="12">
        <f>BO35*(1 + Tickets!AE$267/100)</f>
        <v>2982932.2892437242</v>
      </c>
      <c r="BQ35" s="12">
        <f>BP35*(1 + Tickets!AF$267/100)</f>
        <v>2982932.2892437242</v>
      </c>
      <c r="BR35" s="12">
        <f>BQ35*(1 + Tickets!AG$267/100)</f>
        <v>2982932.2892437242</v>
      </c>
      <c r="BS35" s="12">
        <f>BR35*(1 + Tickets!AH$267/100)</f>
        <v>2982932.2892437242</v>
      </c>
      <c r="BT35" s="12">
        <f>BS35*(1 + Tickets!AI$267/100)</f>
        <v>2982932.2892437242</v>
      </c>
      <c r="BU35" s="12">
        <f>BT35*(1 + Tickets!AJ$267/100)</f>
        <v>2982932.2892437242</v>
      </c>
      <c r="BV35" s="12">
        <f>BU35*(1 + Tickets!AK$267/100)</f>
        <v>2982932.2892437242</v>
      </c>
      <c r="BW35" s="12">
        <f>BV35*(1 + Tickets!AL$267/100)</f>
        <v>2982932.2892437242</v>
      </c>
      <c r="BX35" s="12">
        <f>BW35*(1 + Tickets!AM$267/100)</f>
        <v>2982932.2892437242</v>
      </c>
      <c r="BY35" s="12">
        <f>BX35*(1 + Tickets!AN$267/100)</f>
        <v>2982932.2892437242</v>
      </c>
      <c r="BZ35" s="12">
        <f>BY35*(1 + Tickets!AO$267/100)</f>
        <v>2982932.2892437242</v>
      </c>
      <c r="CA35" s="12">
        <f>BZ35*(1 + Tickets!AP$267/100)</f>
        <v>2982932.2892437242</v>
      </c>
      <c r="CB35" s="12">
        <f>CA35*(1 + Tickets!AQ$267/100)</f>
        <v>2982932.2892437242</v>
      </c>
      <c r="CC35" s="12">
        <f>CB35*(1 + Tickets!AR$267/100)</f>
        <v>2982932.2892437242</v>
      </c>
      <c r="CD35" s="12">
        <f>CC35*(1 + Tickets!AS$267/100)</f>
        <v>2982932.2892437242</v>
      </c>
      <c r="CE35" s="12">
        <f>CD35*(1 + Tickets!AT$267/100)</f>
        <v>2982932.2892437242</v>
      </c>
      <c r="CF35" s="12">
        <f>CE35*(1 + Tickets!AU$267/100)</f>
        <v>2982932.2892437242</v>
      </c>
      <c r="CG35" s="12">
        <f>CF35*(1 + Tickets!AV$267/100)</f>
        <v>2982932.2892437242</v>
      </c>
      <c r="CH35" s="12">
        <f>CG35*(1 + Tickets!AW$267/100)</f>
        <v>2982932.2892437242</v>
      </c>
      <c r="CI35" s="12">
        <f>CH35*(1 + Tickets!AX$267/100)</f>
        <v>2982932.2892437242</v>
      </c>
      <c r="CJ35" s="12">
        <f>CI35*(1 + Tickets!AY$267/100)</f>
        <v>2982932.2892437242</v>
      </c>
      <c r="CK35" s="12">
        <f>CJ35*(1 + Tickets!AZ$267/100)</f>
        <v>2982932.2892437242</v>
      </c>
      <c r="CL35" s="12">
        <f>CK35*(1 + Tickets!BA$267/100)</f>
        <v>2982932.2892437242</v>
      </c>
      <c r="CM35" s="12">
        <f>CL35*(1 + Tickets!BB$267/100)</f>
        <v>2982932.2892437242</v>
      </c>
      <c r="CN35" s="12">
        <f>CM35*(1 + Tickets!BC$267/100)</f>
        <v>2982932.2892437242</v>
      </c>
      <c r="CO35" s="12">
        <f>CN35*(1 + Tickets!BD$267/100)</f>
        <v>2982932.2892437242</v>
      </c>
      <c r="CP35" s="12">
        <f>CO35*(1 + Tickets!BE$267/100)</f>
        <v>2982932.2892437242</v>
      </c>
      <c r="CQ35" s="12">
        <f>CP35*(1 + Tickets!BF$267/100)</f>
        <v>2982932.2892437242</v>
      </c>
      <c r="CR35" s="12">
        <f>CQ35*(1 + Tickets!BG$267/100)</f>
        <v>2982932.2892437242</v>
      </c>
      <c r="CS35" s="12">
        <f>CR35*(1 + Tickets!BH$267/100)</f>
        <v>2982932.2892437242</v>
      </c>
      <c r="CT35" s="12">
        <f>CS35*(1 + Tickets!BI$267/100)</f>
        <v>2982932.2892437242</v>
      </c>
      <c r="CU35" s="12">
        <f>CT35*(1 + Tickets!BJ$267/100)</f>
        <v>2982932.2892437242</v>
      </c>
      <c r="CV35" s="12">
        <f>CU35*(1 + Tickets!BK$267/100)</f>
        <v>2982932.2892437242</v>
      </c>
    </row>
    <row r="36" spans="1:100" s="12" customFormat="1">
      <c r="A36" t="s">
        <v>92</v>
      </c>
      <c r="B36"/>
      <c r="C36"/>
      <c r="D36" t="s">
        <v>93</v>
      </c>
      <c r="E36"/>
      <c r="F36">
        <v>30</v>
      </c>
      <c r="G36" s="12">
        <f>F36/60</f>
        <v>0.5</v>
      </c>
      <c r="H36" s="2">
        <v>0.79</v>
      </c>
    </row>
    <row r="37" spans="1:100" s="12" customFormat="1">
      <c r="A37" t="s">
        <v>94</v>
      </c>
      <c r="B37"/>
      <c r="C37"/>
      <c r="D37" t="s">
        <v>95</v>
      </c>
      <c r="E37"/>
      <c r="F37"/>
      <c r="G37"/>
    </row>
    <row r="38" spans="1:100" s="12" customFormat="1"/>
    <row r="40" spans="1:100">
      <c r="W40" t="s">
        <v>111</v>
      </c>
      <c r="Z40">
        <f>SUM(Z28:Z35)/60</f>
        <v>17507522.850333333</v>
      </c>
      <c r="AA40" s="12">
        <f t="shared" ref="AA40" si="23">SUM(AA28:AA35)/60</f>
        <v>17869884.595666669</v>
      </c>
      <c r="AB40" s="12"/>
      <c r="AC40" s="12"/>
      <c r="AD40" s="12"/>
      <c r="AE40" s="12"/>
    </row>
    <row r="42" spans="1:100">
      <c r="A42" t="s">
        <v>109</v>
      </c>
      <c r="AJ42" s="19" t="s">
        <v>180</v>
      </c>
      <c r="AK42" s="19"/>
      <c r="AL42" s="19"/>
      <c r="AM42" s="19"/>
      <c r="AN42" s="19"/>
      <c r="AO42" s="19"/>
      <c r="AP42" s="19"/>
    </row>
    <row r="43" spans="1:100">
      <c r="A43" s="8">
        <v>0.91600000000000004</v>
      </c>
      <c r="B43" s="12"/>
    </row>
    <row r="44" spans="1:100" ht="39.4">
      <c r="A44" t="s">
        <v>80</v>
      </c>
      <c r="C44">
        <v>2010</v>
      </c>
      <c r="J44" s="9" t="s">
        <v>69</v>
      </c>
      <c r="K44" s="9" t="s">
        <v>70</v>
      </c>
      <c r="L44" s="10" t="s">
        <v>71</v>
      </c>
      <c r="M44" s="11" t="s">
        <v>72</v>
      </c>
      <c r="N44" s="11" t="s">
        <v>73</v>
      </c>
      <c r="O44" s="11" t="s">
        <v>74</v>
      </c>
      <c r="P44" s="11" t="s">
        <v>75</v>
      </c>
      <c r="Q44" s="11" t="s">
        <v>76</v>
      </c>
      <c r="R44" s="11" t="s">
        <v>96</v>
      </c>
      <c r="S44" s="11" t="s">
        <v>77</v>
      </c>
      <c r="T44" s="11" t="s">
        <v>97</v>
      </c>
      <c r="AJ44" t="s">
        <v>106</v>
      </c>
    </row>
    <row r="45" spans="1:100">
      <c r="A45" s="12" t="s">
        <v>259</v>
      </c>
      <c r="J45" s="13">
        <v>245433</v>
      </c>
      <c r="K45" s="13">
        <v>490969</v>
      </c>
      <c r="L45" s="13">
        <v>215947</v>
      </c>
      <c r="M45" s="13">
        <v>952349</v>
      </c>
      <c r="N45" s="14">
        <v>245422</v>
      </c>
      <c r="O45" s="14">
        <v>490943</v>
      </c>
      <c r="P45" s="14">
        <v>215857</v>
      </c>
      <c r="Q45" s="14">
        <v>952222</v>
      </c>
      <c r="R45" s="14">
        <v>1904571</v>
      </c>
      <c r="S45" s="14">
        <v>1835835</v>
      </c>
      <c r="T45" s="14">
        <v>192409</v>
      </c>
      <c r="W45" s="12" t="s">
        <v>113</v>
      </c>
      <c r="X45" s="12"/>
      <c r="Y45" s="12"/>
      <c r="Z45" s="12"/>
      <c r="AA45" s="12"/>
      <c r="AB45" s="12"/>
      <c r="AC45" s="12"/>
      <c r="AD45" s="12"/>
      <c r="AE45" s="12"/>
      <c r="AJ45" s="12" t="s">
        <v>259</v>
      </c>
      <c r="AN45">
        <f>AN4*$AE$3/100 + AN16*$AC$3/100 + AN28*$AD$3/100</f>
        <v>688472.66314468055</v>
      </c>
      <c r="AO45" s="12">
        <f t="shared" ref="AO45" si="24">AO4*$AE$3/100 + AO16*$AC$3/100 + AO28*$AD$3/100</f>
        <v>704045.9147850133</v>
      </c>
      <c r="AP45" s="12">
        <f t="shared" ref="AP45:CV45" si="25">AP4*$AE$3/100 + AP16*$AC$3/100 + AP28*$AD$3/100</f>
        <v>711642.57020554354</v>
      </c>
      <c r="AQ45" s="12">
        <f t="shared" si="25"/>
        <v>723911.2881158872</v>
      </c>
      <c r="AR45" s="12">
        <f t="shared" si="25"/>
        <v>739837.33645443665</v>
      </c>
      <c r="AS45" s="12">
        <f t="shared" si="25"/>
        <v>751674.73383770767</v>
      </c>
      <c r="AT45" s="12">
        <f t="shared" si="25"/>
        <v>765956.55378062394</v>
      </c>
      <c r="AU45" s="12">
        <f t="shared" si="25"/>
        <v>780509.72830245586</v>
      </c>
      <c r="AV45" s="12">
        <f t="shared" si="25"/>
        <v>796119.92286850489</v>
      </c>
      <c r="AW45" s="12">
        <f t="shared" si="25"/>
        <v>812440.38128730934</v>
      </c>
      <c r="AX45" s="12">
        <f t="shared" si="25"/>
        <v>829501.62929434271</v>
      </c>
      <c r="AY45" s="12">
        <f t="shared" si="25"/>
        <v>847335.91432417114</v>
      </c>
      <c r="AZ45" s="12">
        <f t="shared" si="25"/>
        <v>865977.30443930288</v>
      </c>
      <c r="BA45" s="12">
        <f t="shared" si="25"/>
        <v>885028.80513696757</v>
      </c>
      <c r="BB45" s="12">
        <f t="shared" si="25"/>
        <v>904499.43884998094</v>
      </c>
      <c r="BC45" s="12">
        <f t="shared" si="25"/>
        <v>924398.42650468042</v>
      </c>
      <c r="BD45" s="12">
        <f t="shared" si="25"/>
        <v>944735.19188778347</v>
      </c>
      <c r="BE45" s="12">
        <f t="shared" si="25"/>
        <v>965519.36610931461</v>
      </c>
      <c r="BF45" s="12">
        <f t="shared" si="25"/>
        <v>986760.79216371966</v>
      </c>
      <c r="BG45" s="12">
        <f t="shared" si="25"/>
        <v>1008469.5295913215</v>
      </c>
      <c r="BH45" s="12">
        <f t="shared" si="25"/>
        <v>1008469.5295913215</v>
      </c>
      <c r="BI45" s="12">
        <f t="shared" si="25"/>
        <v>1008469.5295913215</v>
      </c>
      <c r="BJ45" s="12">
        <f t="shared" si="25"/>
        <v>1008469.5295913215</v>
      </c>
      <c r="BK45" s="12">
        <f t="shared" si="25"/>
        <v>1008469.5295913215</v>
      </c>
      <c r="BL45" s="12">
        <f t="shared" si="25"/>
        <v>1008469.5295913215</v>
      </c>
      <c r="BM45" s="12">
        <f t="shared" si="25"/>
        <v>1008469.5295913215</v>
      </c>
      <c r="BN45" s="12">
        <f t="shared" si="25"/>
        <v>1008469.5295913215</v>
      </c>
      <c r="BO45" s="12">
        <f t="shared" si="25"/>
        <v>1008469.5295913215</v>
      </c>
      <c r="BP45" s="12">
        <f t="shared" si="25"/>
        <v>1008469.5295913215</v>
      </c>
      <c r="BQ45" s="12">
        <f t="shared" si="25"/>
        <v>1008469.5295913215</v>
      </c>
      <c r="BR45" s="12">
        <f t="shared" si="25"/>
        <v>1008469.5295913215</v>
      </c>
      <c r="BS45" s="12">
        <f t="shared" si="25"/>
        <v>1008469.5295913215</v>
      </c>
      <c r="BT45" s="12">
        <f t="shared" si="25"/>
        <v>1008469.5295913215</v>
      </c>
      <c r="BU45" s="12">
        <f t="shared" si="25"/>
        <v>1008469.5295913215</v>
      </c>
      <c r="BV45" s="12">
        <f t="shared" si="25"/>
        <v>1008469.5295913215</v>
      </c>
      <c r="BW45" s="12">
        <f t="shared" si="25"/>
        <v>1008469.5295913215</v>
      </c>
      <c r="BX45" s="12">
        <f t="shared" si="25"/>
        <v>1008469.5295913215</v>
      </c>
      <c r="BY45" s="12">
        <f t="shared" si="25"/>
        <v>1008469.5295913215</v>
      </c>
      <c r="BZ45" s="12">
        <f t="shared" si="25"/>
        <v>1008469.5295913215</v>
      </c>
      <c r="CA45" s="12">
        <f t="shared" si="25"/>
        <v>1008469.5295913215</v>
      </c>
      <c r="CB45" s="12">
        <f t="shared" si="25"/>
        <v>1008469.5295913215</v>
      </c>
      <c r="CC45" s="12">
        <f t="shared" si="25"/>
        <v>1008469.5295913215</v>
      </c>
      <c r="CD45" s="12">
        <f t="shared" si="25"/>
        <v>1008469.5295913215</v>
      </c>
      <c r="CE45" s="12">
        <f t="shared" si="25"/>
        <v>1008469.5295913215</v>
      </c>
      <c r="CF45" s="12">
        <f t="shared" si="25"/>
        <v>1008469.5295913215</v>
      </c>
      <c r="CG45" s="12">
        <f t="shared" si="25"/>
        <v>1008469.5295913215</v>
      </c>
      <c r="CH45" s="12">
        <f t="shared" si="25"/>
        <v>1008469.5295913215</v>
      </c>
      <c r="CI45" s="12">
        <f t="shared" si="25"/>
        <v>1008469.5295913215</v>
      </c>
      <c r="CJ45" s="12">
        <f t="shared" si="25"/>
        <v>1008469.5295913215</v>
      </c>
      <c r="CK45" s="12">
        <f t="shared" si="25"/>
        <v>1008469.5295913215</v>
      </c>
      <c r="CL45" s="12">
        <f t="shared" si="25"/>
        <v>1008469.5295913215</v>
      </c>
      <c r="CM45" s="12">
        <f t="shared" si="25"/>
        <v>1008469.5295913215</v>
      </c>
      <c r="CN45" s="12">
        <f t="shared" si="25"/>
        <v>1008469.5295913215</v>
      </c>
      <c r="CO45" s="12">
        <f t="shared" si="25"/>
        <v>1008469.5295913215</v>
      </c>
      <c r="CP45" s="12">
        <f t="shared" si="25"/>
        <v>1008469.5295913215</v>
      </c>
      <c r="CQ45" s="12">
        <f t="shared" si="25"/>
        <v>1008469.5295913215</v>
      </c>
      <c r="CR45" s="12">
        <f t="shared" si="25"/>
        <v>1008469.5295913215</v>
      </c>
      <c r="CS45" s="12">
        <f t="shared" si="25"/>
        <v>1008469.5295913215</v>
      </c>
      <c r="CT45" s="12">
        <f t="shared" si="25"/>
        <v>1008469.5295913215</v>
      </c>
      <c r="CU45" s="12">
        <f t="shared" si="25"/>
        <v>1008469.5295913215</v>
      </c>
      <c r="CV45" s="12">
        <f t="shared" si="25"/>
        <v>1008469.5295913215</v>
      </c>
    </row>
    <row r="46" spans="1:100">
      <c r="A46" s="12" t="s">
        <v>260</v>
      </c>
      <c r="J46" s="13">
        <v>278890</v>
      </c>
      <c r="K46" s="13">
        <v>604984</v>
      </c>
      <c r="L46" s="13">
        <v>307932</v>
      </c>
      <c r="M46" s="13">
        <v>1191806</v>
      </c>
      <c r="N46" s="14">
        <v>278901</v>
      </c>
      <c r="O46" s="14">
        <v>605010</v>
      </c>
      <c r="P46" s="14">
        <v>308022</v>
      </c>
      <c r="Q46" s="14">
        <v>1191933</v>
      </c>
      <c r="R46" s="14">
        <v>2383739</v>
      </c>
      <c r="S46" s="14">
        <v>2280908</v>
      </c>
      <c r="T46" s="14">
        <v>22711</v>
      </c>
      <c r="W46" s="12"/>
      <c r="X46" s="12"/>
      <c r="Y46" s="12"/>
      <c r="Z46" s="12">
        <v>2009</v>
      </c>
      <c r="AA46" s="12">
        <v>2010</v>
      </c>
      <c r="AB46" s="12"/>
      <c r="AC46" s="12"/>
      <c r="AD46" s="12"/>
      <c r="AE46" s="12"/>
      <c r="AJ46" s="12" t="s">
        <v>260</v>
      </c>
      <c r="AN46" s="12">
        <f>AN5*$AE$3/100 + AN17*$AC$3/100 + AN29*$AD$3/100</f>
        <v>816737.27477355197</v>
      </c>
      <c r="AO46" s="12">
        <f t="shared" ref="AO46:CV46" si="26">AO5*$AE$3/100 + AO17*$AC$3/100 + AO29*$AD$3/100</f>
        <v>835211.87192892982</v>
      </c>
      <c r="AP46" s="12">
        <f t="shared" si="26"/>
        <v>844223.80802704301</v>
      </c>
      <c r="AQ46" s="12">
        <f t="shared" si="26"/>
        <v>858778.22647742904</v>
      </c>
      <c r="AR46" s="12">
        <f t="shared" si="26"/>
        <v>877671.34745993256</v>
      </c>
      <c r="AS46" s="12">
        <f t="shared" si="26"/>
        <v>891714.08901929134</v>
      </c>
      <c r="AT46" s="12">
        <f t="shared" si="26"/>
        <v>908656.65671065787</v>
      </c>
      <c r="AU46" s="12">
        <f t="shared" si="26"/>
        <v>925921.13318816037</v>
      </c>
      <c r="AV46" s="12">
        <f t="shared" si="26"/>
        <v>944439.55585192353</v>
      </c>
      <c r="AW46" s="12">
        <f t="shared" si="26"/>
        <v>963800.56674688787</v>
      </c>
      <c r="AX46" s="12">
        <f t="shared" si="26"/>
        <v>984040.3786485726</v>
      </c>
      <c r="AY46" s="12">
        <f t="shared" si="26"/>
        <v>1005197.2467895169</v>
      </c>
      <c r="AZ46" s="12">
        <f t="shared" si="26"/>
        <v>1027311.5862188863</v>
      </c>
      <c r="BA46" s="12">
        <f t="shared" si="26"/>
        <v>1049912.4411157018</v>
      </c>
      <c r="BB46" s="12">
        <f t="shared" si="26"/>
        <v>1073010.5148202474</v>
      </c>
      <c r="BC46" s="12">
        <f t="shared" si="26"/>
        <v>1096616.7461462927</v>
      </c>
      <c r="BD46" s="12">
        <f t="shared" si="26"/>
        <v>1120742.3145615114</v>
      </c>
      <c r="BE46" s="12">
        <f t="shared" si="26"/>
        <v>1145398.6454818645</v>
      </c>
      <c r="BF46" s="12">
        <f t="shared" si="26"/>
        <v>1170597.4156824655</v>
      </c>
      <c r="BG46" s="12">
        <f t="shared" si="26"/>
        <v>1196350.5588274798</v>
      </c>
      <c r="BH46" s="12">
        <f t="shared" si="26"/>
        <v>1196350.5588274798</v>
      </c>
      <c r="BI46" s="12">
        <f t="shared" si="26"/>
        <v>1196350.5588274798</v>
      </c>
      <c r="BJ46" s="12">
        <f t="shared" si="26"/>
        <v>1196350.5588274798</v>
      </c>
      <c r="BK46" s="12">
        <f t="shared" si="26"/>
        <v>1196350.5588274798</v>
      </c>
      <c r="BL46" s="12">
        <f t="shared" si="26"/>
        <v>1196350.5588274798</v>
      </c>
      <c r="BM46" s="12">
        <f t="shared" si="26"/>
        <v>1196350.5588274798</v>
      </c>
      <c r="BN46" s="12">
        <f t="shared" si="26"/>
        <v>1196350.5588274798</v>
      </c>
      <c r="BO46" s="12">
        <f t="shared" si="26"/>
        <v>1196350.5588274798</v>
      </c>
      <c r="BP46" s="12">
        <f t="shared" si="26"/>
        <v>1196350.5588274798</v>
      </c>
      <c r="BQ46" s="12">
        <f t="shared" si="26"/>
        <v>1196350.5588274798</v>
      </c>
      <c r="BR46" s="12">
        <f t="shared" si="26"/>
        <v>1196350.5588274798</v>
      </c>
      <c r="BS46" s="12">
        <f t="shared" si="26"/>
        <v>1196350.5588274798</v>
      </c>
      <c r="BT46" s="12">
        <f t="shared" si="26"/>
        <v>1196350.5588274798</v>
      </c>
      <c r="BU46" s="12">
        <f t="shared" si="26"/>
        <v>1196350.5588274798</v>
      </c>
      <c r="BV46" s="12">
        <f t="shared" si="26"/>
        <v>1196350.5588274798</v>
      </c>
      <c r="BW46" s="12">
        <f t="shared" si="26"/>
        <v>1196350.5588274798</v>
      </c>
      <c r="BX46" s="12">
        <f t="shared" si="26"/>
        <v>1196350.5588274798</v>
      </c>
      <c r="BY46" s="12">
        <f t="shared" si="26"/>
        <v>1196350.5588274798</v>
      </c>
      <c r="BZ46" s="12">
        <f t="shared" si="26"/>
        <v>1196350.5588274798</v>
      </c>
      <c r="CA46" s="12">
        <f t="shared" si="26"/>
        <v>1196350.5588274798</v>
      </c>
      <c r="CB46" s="12">
        <f t="shared" si="26"/>
        <v>1196350.5588274798</v>
      </c>
      <c r="CC46" s="12">
        <f t="shared" si="26"/>
        <v>1196350.5588274798</v>
      </c>
      <c r="CD46" s="12">
        <f t="shared" si="26"/>
        <v>1196350.5588274798</v>
      </c>
      <c r="CE46" s="12">
        <f t="shared" si="26"/>
        <v>1196350.5588274798</v>
      </c>
      <c r="CF46" s="12">
        <f t="shared" si="26"/>
        <v>1196350.5588274798</v>
      </c>
      <c r="CG46" s="12">
        <f t="shared" si="26"/>
        <v>1196350.5588274798</v>
      </c>
      <c r="CH46" s="12">
        <f t="shared" si="26"/>
        <v>1196350.5588274798</v>
      </c>
      <c r="CI46" s="12">
        <f t="shared" si="26"/>
        <v>1196350.5588274798</v>
      </c>
      <c r="CJ46" s="12">
        <f t="shared" si="26"/>
        <v>1196350.5588274798</v>
      </c>
      <c r="CK46" s="12">
        <f t="shared" si="26"/>
        <v>1196350.5588274798</v>
      </c>
      <c r="CL46" s="12">
        <f t="shared" si="26"/>
        <v>1196350.5588274798</v>
      </c>
      <c r="CM46" s="12">
        <f t="shared" si="26"/>
        <v>1196350.5588274798</v>
      </c>
      <c r="CN46" s="12">
        <f t="shared" si="26"/>
        <v>1196350.5588274798</v>
      </c>
      <c r="CO46" s="12">
        <f t="shared" si="26"/>
        <v>1196350.5588274798</v>
      </c>
      <c r="CP46" s="12">
        <f t="shared" si="26"/>
        <v>1196350.5588274798</v>
      </c>
      <c r="CQ46" s="12">
        <f t="shared" si="26"/>
        <v>1196350.5588274798</v>
      </c>
      <c r="CR46" s="12">
        <f t="shared" si="26"/>
        <v>1196350.5588274798</v>
      </c>
      <c r="CS46" s="12">
        <f t="shared" si="26"/>
        <v>1196350.5588274798</v>
      </c>
      <c r="CT46" s="12">
        <f t="shared" si="26"/>
        <v>1196350.5588274798</v>
      </c>
      <c r="CU46" s="12">
        <f t="shared" si="26"/>
        <v>1196350.5588274798</v>
      </c>
      <c r="CV46" s="12">
        <f t="shared" si="26"/>
        <v>1196350.5588274798</v>
      </c>
    </row>
    <row r="47" spans="1:100">
      <c r="A47" s="12" t="s">
        <v>261</v>
      </c>
      <c r="J47" s="13">
        <v>285029</v>
      </c>
      <c r="K47" s="13">
        <v>367792</v>
      </c>
      <c r="L47" s="13">
        <v>112334</v>
      </c>
      <c r="M47" s="13">
        <v>765155</v>
      </c>
      <c r="N47" s="14">
        <v>285029</v>
      </c>
      <c r="O47" s="14">
        <v>367792</v>
      </c>
      <c r="P47" s="14">
        <v>112334</v>
      </c>
      <c r="Q47" s="14">
        <v>765155</v>
      </c>
      <c r="R47" s="14">
        <v>1530310</v>
      </c>
      <c r="S47" s="14">
        <v>1485842</v>
      </c>
      <c r="T47" s="14">
        <v>58270</v>
      </c>
      <c r="W47" s="12" t="s">
        <v>259</v>
      </c>
      <c r="X47" s="12"/>
      <c r="Y47" s="12"/>
      <c r="Z47" s="12">
        <f>L16+P16 + L16/M16*T16</f>
        <v>307504.29631857167</v>
      </c>
      <c r="AA47" s="12">
        <f>H29*(L45+P45) + L45/M45*T45*H29</f>
        <v>323294.51982930629</v>
      </c>
      <c r="AB47" s="12"/>
      <c r="AC47" s="12"/>
      <c r="AD47" s="12"/>
      <c r="AE47" s="27"/>
      <c r="AJ47" s="12" t="s">
        <v>261</v>
      </c>
      <c r="AN47" s="12">
        <f>AN6*$AE$3/100 + AN18*$AC$3/100 + AN30*$AD$3/100</f>
        <v>486042.18785850378</v>
      </c>
      <c r="AO47" s="12">
        <f>AO6*$AE$3/100 + AO18*$AC$3/100 + AO30*$AD$3/100</f>
        <v>497036.46214786317</v>
      </c>
      <c r="AP47" s="12">
        <f>AP6*$AE$3/100 + AP18*$AC$3/100 + AP30*$AD$3/100</f>
        <v>502399.48557443864</v>
      </c>
      <c r="AQ47" s="12">
        <f>AQ6*$AE$3/100 + AQ18*$AC$3/100 + AQ30*$AD$3/100</f>
        <v>511060.852705742</v>
      </c>
      <c r="AR47" s="12">
        <f t="shared" ref="AR47:CV47" si="27">AR6*$AE$3/100 + AR18*$AC$3/100 + AR30*$AD$3/100</f>
        <v>522304.19146526826</v>
      </c>
      <c r="AS47" s="12">
        <f t="shared" si="27"/>
        <v>530661.05852871248</v>
      </c>
      <c r="AT47" s="12">
        <f t="shared" si="27"/>
        <v>540743.61864075798</v>
      </c>
      <c r="AU47" s="12">
        <f t="shared" si="27"/>
        <v>551017.74739493243</v>
      </c>
      <c r="AV47" s="12">
        <f t="shared" si="27"/>
        <v>562038.10234283109</v>
      </c>
      <c r="AW47" s="12">
        <f t="shared" si="27"/>
        <v>573559.88344085915</v>
      </c>
      <c r="AX47" s="12">
        <f t="shared" si="27"/>
        <v>585604.64099311701</v>
      </c>
      <c r="AY47" s="12">
        <f t="shared" si="27"/>
        <v>598195.14077446912</v>
      </c>
      <c r="AZ47" s="12">
        <f t="shared" si="27"/>
        <v>611355.43387150741</v>
      </c>
      <c r="BA47" s="12">
        <f t="shared" si="27"/>
        <v>624805.2534166805</v>
      </c>
      <c r="BB47" s="12">
        <f t="shared" si="27"/>
        <v>638550.96899184759</v>
      </c>
      <c r="BC47" s="12">
        <f t="shared" si="27"/>
        <v>652599.09030966833</v>
      </c>
      <c r="BD47" s="12">
        <f t="shared" si="27"/>
        <v>666956.27029648097</v>
      </c>
      <c r="BE47" s="12">
        <f t="shared" si="27"/>
        <v>681629.30824300356</v>
      </c>
      <c r="BF47" s="12">
        <f t="shared" si="27"/>
        <v>696625.15302434959</v>
      </c>
      <c r="BG47" s="12">
        <f t="shared" si="27"/>
        <v>711950.90639088536</v>
      </c>
      <c r="BH47" s="12">
        <f t="shared" si="27"/>
        <v>711950.90639088536</v>
      </c>
      <c r="BI47" s="12">
        <f t="shared" si="27"/>
        <v>711950.90639088536</v>
      </c>
      <c r="BJ47" s="12">
        <f t="shared" si="27"/>
        <v>711950.90639088536</v>
      </c>
      <c r="BK47" s="12">
        <f t="shared" si="27"/>
        <v>711950.90639088536</v>
      </c>
      <c r="BL47" s="12">
        <f t="shared" si="27"/>
        <v>711950.90639088536</v>
      </c>
      <c r="BM47" s="12">
        <f t="shared" si="27"/>
        <v>711950.90639088536</v>
      </c>
      <c r="BN47" s="12">
        <f t="shared" si="27"/>
        <v>711950.90639088536</v>
      </c>
      <c r="BO47" s="12">
        <f t="shared" si="27"/>
        <v>711950.90639088536</v>
      </c>
      <c r="BP47" s="12">
        <f t="shared" si="27"/>
        <v>711950.90639088536</v>
      </c>
      <c r="BQ47" s="12">
        <f t="shared" si="27"/>
        <v>711950.90639088536</v>
      </c>
      <c r="BR47" s="12">
        <f t="shared" si="27"/>
        <v>711950.90639088536</v>
      </c>
      <c r="BS47" s="12">
        <f t="shared" si="27"/>
        <v>711950.90639088536</v>
      </c>
      <c r="BT47" s="12">
        <f t="shared" si="27"/>
        <v>711950.90639088536</v>
      </c>
      <c r="BU47" s="12">
        <f t="shared" si="27"/>
        <v>711950.90639088536</v>
      </c>
      <c r="BV47" s="12">
        <f t="shared" si="27"/>
        <v>711950.90639088536</v>
      </c>
      <c r="BW47" s="12">
        <f t="shared" si="27"/>
        <v>711950.90639088536</v>
      </c>
      <c r="BX47" s="12">
        <f t="shared" si="27"/>
        <v>711950.90639088536</v>
      </c>
      <c r="BY47" s="12">
        <f t="shared" si="27"/>
        <v>711950.90639088536</v>
      </c>
      <c r="BZ47" s="12">
        <f t="shared" si="27"/>
        <v>711950.90639088536</v>
      </c>
      <c r="CA47" s="12">
        <f t="shared" si="27"/>
        <v>711950.90639088536</v>
      </c>
      <c r="CB47" s="12">
        <f t="shared" si="27"/>
        <v>711950.90639088536</v>
      </c>
      <c r="CC47" s="12">
        <f t="shared" si="27"/>
        <v>711950.90639088536</v>
      </c>
      <c r="CD47" s="12">
        <f t="shared" si="27"/>
        <v>711950.90639088536</v>
      </c>
      <c r="CE47" s="12">
        <f t="shared" si="27"/>
        <v>711950.90639088536</v>
      </c>
      <c r="CF47" s="12">
        <f t="shared" si="27"/>
        <v>711950.90639088536</v>
      </c>
      <c r="CG47" s="12">
        <f t="shared" si="27"/>
        <v>711950.90639088536</v>
      </c>
      <c r="CH47" s="12">
        <f t="shared" si="27"/>
        <v>711950.90639088536</v>
      </c>
      <c r="CI47" s="12">
        <f t="shared" si="27"/>
        <v>711950.90639088536</v>
      </c>
      <c r="CJ47" s="12">
        <f t="shared" si="27"/>
        <v>711950.90639088536</v>
      </c>
      <c r="CK47" s="12">
        <f t="shared" si="27"/>
        <v>711950.90639088536</v>
      </c>
      <c r="CL47" s="12">
        <f t="shared" si="27"/>
        <v>711950.90639088536</v>
      </c>
      <c r="CM47" s="12">
        <f t="shared" si="27"/>
        <v>711950.90639088536</v>
      </c>
      <c r="CN47" s="12">
        <f t="shared" si="27"/>
        <v>711950.90639088536</v>
      </c>
      <c r="CO47" s="12">
        <f t="shared" si="27"/>
        <v>711950.90639088536</v>
      </c>
      <c r="CP47" s="12">
        <f t="shared" si="27"/>
        <v>711950.90639088536</v>
      </c>
      <c r="CQ47" s="12">
        <f t="shared" si="27"/>
        <v>711950.90639088536</v>
      </c>
      <c r="CR47" s="12">
        <f t="shared" si="27"/>
        <v>711950.90639088536</v>
      </c>
      <c r="CS47" s="12">
        <f t="shared" si="27"/>
        <v>711950.90639088536</v>
      </c>
      <c r="CT47" s="12">
        <f t="shared" si="27"/>
        <v>711950.90639088536</v>
      </c>
      <c r="CU47" s="12">
        <f t="shared" si="27"/>
        <v>711950.90639088536</v>
      </c>
      <c r="CV47" s="12">
        <f t="shared" si="27"/>
        <v>711950.90639088536</v>
      </c>
    </row>
    <row r="48" spans="1:100">
      <c r="A48" s="12" t="s">
        <v>262</v>
      </c>
      <c r="J48" s="13">
        <v>290985</v>
      </c>
      <c r="K48" s="13">
        <v>399914</v>
      </c>
      <c r="L48" s="13">
        <v>385681</v>
      </c>
      <c r="M48" s="13">
        <v>1076580</v>
      </c>
      <c r="N48" s="14">
        <v>290985</v>
      </c>
      <c r="O48" s="14">
        <v>399914</v>
      </c>
      <c r="P48" s="14">
        <v>385681</v>
      </c>
      <c r="Q48" s="14">
        <v>1076580</v>
      </c>
      <c r="R48" s="14">
        <v>2153160</v>
      </c>
      <c r="S48" s="14">
        <v>2124274</v>
      </c>
      <c r="T48" s="14">
        <v>298711</v>
      </c>
      <c r="W48" s="12" t="s">
        <v>260</v>
      </c>
      <c r="X48" s="12"/>
      <c r="Y48" s="12"/>
      <c r="Z48" s="12">
        <f t="shared" ref="Z48:Z54" si="28">L17+P17 + L17/M17*T17</f>
        <v>378826.43379263341</v>
      </c>
      <c r="AA48" s="12">
        <f t="shared" ref="AA48:AA54" si="29">H30*(L46+P46) + L46/M46*T46*H30</f>
        <v>422838.91780346807</v>
      </c>
      <c r="AB48" s="12"/>
      <c r="AC48" s="12"/>
      <c r="AD48" s="12"/>
      <c r="AE48" s="27"/>
      <c r="AJ48" s="12" t="s">
        <v>262</v>
      </c>
      <c r="AN48" s="12">
        <f>AN7*$AE$3/100 + AN19*$AC$3/100 + AN31*$AD$3/100</f>
        <v>945511.46193292271</v>
      </c>
      <c r="AO48" s="12">
        <f>AO7*$AE$3/100 + AO19*$AC$3/100 + AO31*$AD$3/100</f>
        <v>966898.93120184541</v>
      </c>
      <c r="AP48" s="12">
        <f t="shared" ref="AP48:CV49" si="30">AP7*$AE$3/100 + AP19*$AC$3/100 + AP31*$AD$3/100</f>
        <v>977331.77066951338</v>
      </c>
      <c r="AQ48" s="12">
        <f t="shared" si="30"/>
        <v>994180.97039585561</v>
      </c>
      <c r="AR48" s="12">
        <f t="shared" si="30"/>
        <v>1016052.9517445643</v>
      </c>
      <c r="AS48" s="12">
        <f t="shared" si="30"/>
        <v>1032309.7989724773</v>
      </c>
      <c r="AT48" s="12">
        <f t="shared" si="30"/>
        <v>1051923.6851529544</v>
      </c>
      <c r="AU48" s="12">
        <f t="shared" si="30"/>
        <v>1071910.2351708603</v>
      </c>
      <c r="AV48" s="12">
        <f t="shared" si="30"/>
        <v>1093348.4398742775</v>
      </c>
      <c r="AW48" s="12">
        <f t="shared" si="30"/>
        <v>1115762.0828917001</v>
      </c>
      <c r="AX48" s="12">
        <f t="shared" si="30"/>
        <v>1139193.0866324257</v>
      </c>
      <c r="AY48" s="12">
        <f t="shared" si="30"/>
        <v>1163685.7379950229</v>
      </c>
      <c r="AZ48" s="12">
        <f t="shared" si="30"/>
        <v>1189286.8242309135</v>
      </c>
      <c r="BA48" s="12">
        <f t="shared" si="30"/>
        <v>1215451.1343639935</v>
      </c>
      <c r="BB48" s="12">
        <f t="shared" si="30"/>
        <v>1242191.0593200016</v>
      </c>
      <c r="BC48" s="12">
        <f t="shared" si="30"/>
        <v>1269519.2626250417</v>
      </c>
      <c r="BD48" s="12">
        <f t="shared" si="30"/>
        <v>1297448.6864027926</v>
      </c>
      <c r="BE48" s="12">
        <f t="shared" si="30"/>
        <v>1325992.5575036542</v>
      </c>
      <c r="BF48" s="12">
        <f t="shared" si="30"/>
        <v>1355164.3937687343</v>
      </c>
      <c r="BG48" s="12">
        <f t="shared" si="30"/>
        <v>1384978.0104316466</v>
      </c>
      <c r="BH48" s="12">
        <f t="shared" si="30"/>
        <v>1384978.0104316466</v>
      </c>
      <c r="BI48" s="12">
        <f t="shared" si="30"/>
        <v>1384978.0104316466</v>
      </c>
      <c r="BJ48" s="12">
        <f t="shared" si="30"/>
        <v>1384978.0104316466</v>
      </c>
      <c r="BK48" s="12">
        <f t="shared" si="30"/>
        <v>1384978.0104316466</v>
      </c>
      <c r="BL48" s="12">
        <f t="shared" si="30"/>
        <v>1384978.0104316466</v>
      </c>
      <c r="BM48" s="12">
        <f t="shared" si="30"/>
        <v>1384978.0104316466</v>
      </c>
      <c r="BN48" s="12">
        <f t="shared" si="30"/>
        <v>1384978.0104316466</v>
      </c>
      <c r="BO48" s="12">
        <f t="shared" si="30"/>
        <v>1384978.0104316466</v>
      </c>
      <c r="BP48" s="12">
        <f t="shared" si="30"/>
        <v>1384978.0104316466</v>
      </c>
      <c r="BQ48" s="12">
        <f t="shared" si="30"/>
        <v>1384978.0104316466</v>
      </c>
      <c r="BR48" s="12">
        <f t="shared" si="30"/>
        <v>1384978.0104316466</v>
      </c>
      <c r="BS48" s="12">
        <f t="shared" si="30"/>
        <v>1384978.0104316466</v>
      </c>
      <c r="BT48" s="12">
        <f t="shared" si="30"/>
        <v>1384978.0104316466</v>
      </c>
      <c r="BU48" s="12">
        <f t="shared" si="30"/>
        <v>1384978.0104316466</v>
      </c>
      <c r="BV48" s="12">
        <f t="shared" si="30"/>
        <v>1384978.0104316466</v>
      </c>
      <c r="BW48" s="12">
        <f t="shared" si="30"/>
        <v>1384978.0104316466</v>
      </c>
      <c r="BX48" s="12">
        <f t="shared" si="30"/>
        <v>1384978.0104316466</v>
      </c>
      <c r="BY48" s="12">
        <f t="shared" si="30"/>
        <v>1384978.0104316466</v>
      </c>
      <c r="BZ48" s="12">
        <f t="shared" si="30"/>
        <v>1384978.0104316466</v>
      </c>
      <c r="CA48" s="12">
        <f t="shared" si="30"/>
        <v>1384978.0104316466</v>
      </c>
      <c r="CB48" s="12">
        <f t="shared" si="30"/>
        <v>1384978.0104316466</v>
      </c>
      <c r="CC48" s="12">
        <f t="shared" si="30"/>
        <v>1384978.0104316466</v>
      </c>
      <c r="CD48" s="12">
        <f t="shared" si="30"/>
        <v>1384978.0104316466</v>
      </c>
      <c r="CE48" s="12">
        <f t="shared" si="30"/>
        <v>1384978.0104316466</v>
      </c>
      <c r="CF48" s="12">
        <f t="shared" si="30"/>
        <v>1384978.0104316466</v>
      </c>
      <c r="CG48" s="12">
        <f t="shared" si="30"/>
        <v>1384978.0104316466</v>
      </c>
      <c r="CH48" s="12">
        <f t="shared" si="30"/>
        <v>1384978.0104316466</v>
      </c>
      <c r="CI48" s="12">
        <f t="shared" si="30"/>
        <v>1384978.0104316466</v>
      </c>
      <c r="CJ48" s="12">
        <f t="shared" si="30"/>
        <v>1384978.0104316466</v>
      </c>
      <c r="CK48" s="12">
        <f t="shared" si="30"/>
        <v>1384978.0104316466</v>
      </c>
      <c r="CL48" s="12">
        <f t="shared" si="30"/>
        <v>1384978.0104316466</v>
      </c>
      <c r="CM48" s="12">
        <f t="shared" si="30"/>
        <v>1384978.0104316466</v>
      </c>
      <c r="CN48" s="12">
        <f t="shared" si="30"/>
        <v>1384978.0104316466</v>
      </c>
      <c r="CO48" s="12">
        <f t="shared" si="30"/>
        <v>1384978.0104316466</v>
      </c>
      <c r="CP48" s="12">
        <f t="shared" si="30"/>
        <v>1384978.0104316466</v>
      </c>
      <c r="CQ48" s="12">
        <f t="shared" si="30"/>
        <v>1384978.0104316466</v>
      </c>
      <c r="CR48" s="12">
        <f t="shared" si="30"/>
        <v>1384978.0104316466</v>
      </c>
      <c r="CS48" s="12">
        <f t="shared" si="30"/>
        <v>1384978.0104316466</v>
      </c>
      <c r="CT48" s="12">
        <f t="shared" si="30"/>
        <v>1384978.0104316466</v>
      </c>
      <c r="CU48" s="12">
        <f t="shared" si="30"/>
        <v>1384978.0104316466</v>
      </c>
      <c r="CV48" s="12">
        <f t="shared" si="30"/>
        <v>1384978.0104316466</v>
      </c>
    </row>
    <row r="49" spans="1:100" s="12" customFormat="1">
      <c r="A49" s="12" t="s">
        <v>263</v>
      </c>
      <c r="J49" s="13">
        <v>133815</v>
      </c>
      <c r="K49" s="13">
        <v>232106</v>
      </c>
      <c r="L49" s="13">
        <v>280874</v>
      </c>
      <c r="M49" s="13">
        <v>646795</v>
      </c>
      <c r="N49" s="14">
        <v>133815</v>
      </c>
      <c r="O49" s="14">
        <v>232106</v>
      </c>
      <c r="P49" s="14">
        <v>280874</v>
      </c>
      <c r="Q49" s="14">
        <v>646795</v>
      </c>
      <c r="R49" s="14">
        <v>1293590</v>
      </c>
      <c r="S49" s="14">
        <v>1220808</v>
      </c>
      <c r="T49" s="14">
        <v>12518</v>
      </c>
      <c r="W49" s="12" t="s">
        <v>261</v>
      </c>
      <c r="Z49" s="12">
        <f t="shared" si="28"/>
        <v>158029.60371075795</v>
      </c>
      <c r="AA49" s="12">
        <f t="shared" si="29"/>
        <v>158591.46328469398</v>
      </c>
      <c r="AE49" s="27"/>
      <c r="AJ49" s="12" t="s">
        <v>263</v>
      </c>
      <c r="AN49" s="12">
        <f t="shared" ref="AN49:BC52" si="31">AN8*$AE$3/100 + AN20*$AC$3/100 + AN32*$AD$3/100</f>
        <v>537535.40576709213</v>
      </c>
      <c r="AO49" s="12">
        <f t="shared" si="31"/>
        <v>549694.45664554392</v>
      </c>
      <c r="AP49" s="12">
        <f t="shared" si="31"/>
        <v>555625.65983274928</v>
      </c>
      <c r="AQ49" s="12">
        <f t="shared" si="31"/>
        <v>565204.6462082658</v>
      </c>
      <c r="AR49" s="12">
        <f t="shared" si="31"/>
        <v>577639.14842484775</v>
      </c>
      <c r="AS49" s="12">
        <f t="shared" si="31"/>
        <v>586881.37479964527</v>
      </c>
      <c r="AT49" s="12">
        <f t="shared" si="31"/>
        <v>598032.12092083844</v>
      </c>
      <c r="AU49" s="12">
        <f t="shared" si="31"/>
        <v>609394.7312183344</v>
      </c>
      <c r="AV49" s="12">
        <f t="shared" si="31"/>
        <v>621582.62584270106</v>
      </c>
      <c r="AW49" s="12">
        <f t="shared" si="31"/>
        <v>634325.06967247638</v>
      </c>
      <c r="AX49" s="12">
        <f t="shared" si="31"/>
        <v>647645.89613559819</v>
      </c>
      <c r="AY49" s="12">
        <f t="shared" si="31"/>
        <v>661570.28290251375</v>
      </c>
      <c r="AZ49" s="12">
        <f t="shared" si="31"/>
        <v>676124.82912636921</v>
      </c>
      <c r="BA49" s="12">
        <f t="shared" si="31"/>
        <v>690999.5753671492</v>
      </c>
      <c r="BB49" s="12">
        <f t="shared" si="31"/>
        <v>706201.56602522638</v>
      </c>
      <c r="BC49" s="12">
        <f t="shared" si="31"/>
        <v>721738.00047778152</v>
      </c>
      <c r="BD49" s="12">
        <f t="shared" si="30"/>
        <v>737616.23648829281</v>
      </c>
      <c r="BE49" s="12">
        <f t="shared" si="30"/>
        <v>753843.79369103524</v>
      </c>
      <c r="BF49" s="12">
        <f t="shared" si="30"/>
        <v>770428.35715223779</v>
      </c>
      <c r="BG49" s="12">
        <f t="shared" si="30"/>
        <v>787377.78100958711</v>
      </c>
      <c r="BH49" s="12">
        <f t="shared" si="30"/>
        <v>787377.78100958711</v>
      </c>
      <c r="BI49" s="12">
        <f t="shared" si="30"/>
        <v>787377.78100958711</v>
      </c>
      <c r="BJ49" s="12">
        <f t="shared" si="30"/>
        <v>787377.78100958711</v>
      </c>
      <c r="BK49" s="12">
        <f t="shared" si="30"/>
        <v>787377.78100958711</v>
      </c>
      <c r="BL49" s="12">
        <f t="shared" si="30"/>
        <v>787377.78100958711</v>
      </c>
      <c r="BM49" s="12">
        <f t="shared" si="30"/>
        <v>787377.78100958711</v>
      </c>
      <c r="BN49" s="12">
        <f t="shared" si="30"/>
        <v>787377.78100958711</v>
      </c>
      <c r="BO49" s="12">
        <f t="shared" si="30"/>
        <v>787377.78100958711</v>
      </c>
      <c r="BP49" s="12">
        <f t="shared" si="30"/>
        <v>787377.78100958711</v>
      </c>
      <c r="BQ49" s="12">
        <f t="shared" si="30"/>
        <v>787377.78100958711</v>
      </c>
      <c r="BR49" s="12">
        <f t="shared" si="30"/>
        <v>787377.78100958711</v>
      </c>
      <c r="BS49" s="12">
        <f t="shared" si="30"/>
        <v>787377.78100958711</v>
      </c>
      <c r="BT49" s="12">
        <f t="shared" si="30"/>
        <v>787377.78100958711</v>
      </c>
      <c r="BU49" s="12">
        <f t="shared" si="30"/>
        <v>787377.78100958711</v>
      </c>
      <c r="BV49" s="12">
        <f t="shared" si="30"/>
        <v>787377.78100958711</v>
      </c>
      <c r="BW49" s="12">
        <f t="shared" si="30"/>
        <v>787377.78100958711</v>
      </c>
      <c r="BX49" s="12">
        <f t="shared" si="30"/>
        <v>787377.78100958711</v>
      </c>
      <c r="BY49" s="12">
        <f t="shared" si="30"/>
        <v>787377.78100958711</v>
      </c>
      <c r="BZ49" s="12">
        <f t="shared" si="30"/>
        <v>787377.78100958711</v>
      </c>
      <c r="CA49" s="12">
        <f t="shared" si="30"/>
        <v>787377.78100958711</v>
      </c>
      <c r="CB49" s="12">
        <f t="shared" si="30"/>
        <v>787377.78100958711</v>
      </c>
      <c r="CC49" s="12">
        <f t="shared" si="30"/>
        <v>787377.78100958711</v>
      </c>
      <c r="CD49" s="12">
        <f t="shared" si="30"/>
        <v>787377.78100958711</v>
      </c>
      <c r="CE49" s="12">
        <f t="shared" si="30"/>
        <v>787377.78100958711</v>
      </c>
      <c r="CF49" s="12">
        <f t="shared" si="30"/>
        <v>787377.78100958711</v>
      </c>
      <c r="CG49" s="12">
        <f t="shared" si="30"/>
        <v>787377.78100958711</v>
      </c>
      <c r="CH49" s="12">
        <f t="shared" si="30"/>
        <v>787377.78100958711</v>
      </c>
      <c r="CI49" s="12">
        <f t="shared" si="30"/>
        <v>787377.78100958711</v>
      </c>
      <c r="CJ49" s="12">
        <f t="shared" si="30"/>
        <v>787377.78100958711</v>
      </c>
      <c r="CK49" s="12">
        <f t="shared" si="30"/>
        <v>787377.78100958711</v>
      </c>
      <c r="CL49" s="12">
        <f t="shared" si="30"/>
        <v>787377.78100958711</v>
      </c>
      <c r="CM49" s="12">
        <f t="shared" si="30"/>
        <v>787377.78100958711</v>
      </c>
      <c r="CN49" s="12">
        <f t="shared" si="30"/>
        <v>787377.78100958711</v>
      </c>
      <c r="CO49" s="12">
        <f t="shared" si="30"/>
        <v>787377.78100958711</v>
      </c>
      <c r="CP49" s="12">
        <f t="shared" si="30"/>
        <v>787377.78100958711</v>
      </c>
      <c r="CQ49" s="12">
        <f t="shared" si="30"/>
        <v>787377.78100958711</v>
      </c>
      <c r="CR49" s="12">
        <f t="shared" si="30"/>
        <v>787377.78100958711</v>
      </c>
      <c r="CS49" s="12">
        <f t="shared" si="30"/>
        <v>787377.78100958711</v>
      </c>
      <c r="CT49" s="12">
        <f t="shared" si="30"/>
        <v>787377.78100958711</v>
      </c>
      <c r="CU49" s="12">
        <f t="shared" si="30"/>
        <v>787377.78100958711</v>
      </c>
      <c r="CV49" s="12">
        <f t="shared" si="30"/>
        <v>787377.78100958711</v>
      </c>
    </row>
    <row r="50" spans="1:100" s="12" customFormat="1">
      <c r="A50" s="12" t="s">
        <v>264</v>
      </c>
      <c r="J50" s="13">
        <v>138057</v>
      </c>
      <c r="K50" s="13">
        <v>267064</v>
      </c>
      <c r="L50" s="13">
        <v>440741</v>
      </c>
      <c r="M50" s="13">
        <v>845862</v>
      </c>
      <c r="N50" s="14">
        <v>138057</v>
      </c>
      <c r="O50" s="14">
        <v>267064</v>
      </c>
      <c r="P50" s="14">
        <v>440741</v>
      </c>
      <c r="Q50" s="14">
        <v>845862</v>
      </c>
      <c r="R50" s="14">
        <v>1691724</v>
      </c>
      <c r="S50" s="14">
        <v>1691466</v>
      </c>
      <c r="T50" s="14">
        <v>99429</v>
      </c>
      <c r="W50" s="12" t="s">
        <v>262</v>
      </c>
      <c r="Z50" s="12">
        <f t="shared" si="28"/>
        <v>571125.72626683756</v>
      </c>
      <c r="AA50" s="12">
        <f t="shared" si="29"/>
        <v>597294.43257600931</v>
      </c>
      <c r="AE50" s="27"/>
      <c r="AJ50" s="12" t="s">
        <v>264</v>
      </c>
      <c r="AN50" s="12">
        <f t="shared" si="31"/>
        <v>842218.58697687543</v>
      </c>
      <c r="AO50" s="12">
        <f t="shared" ref="AO50:CV51" si="32">AO9*$AE$3/100 + AO21*$AC$3/100 + AO33*$AD$3/100</f>
        <v>861269.57141429244</v>
      </c>
      <c r="AP50" s="12">
        <f t="shared" si="32"/>
        <v>870562.67008985265</v>
      </c>
      <c r="AQ50" s="12">
        <f t="shared" si="32"/>
        <v>885571.17052220157</v>
      </c>
      <c r="AR50" s="12">
        <f t="shared" si="32"/>
        <v>905053.73627369013</v>
      </c>
      <c r="AS50" s="12">
        <f t="shared" si="32"/>
        <v>919534.59605406923</v>
      </c>
      <c r="AT50" s="12">
        <f t="shared" si="32"/>
        <v>937005.75337909628</v>
      </c>
      <c r="AU50" s="12">
        <f t="shared" si="32"/>
        <v>954808.86269329907</v>
      </c>
      <c r="AV50" s="12">
        <f t="shared" si="32"/>
        <v>973905.03994716494</v>
      </c>
      <c r="AW50" s="12">
        <f t="shared" si="32"/>
        <v>993870.09326608188</v>
      </c>
      <c r="AX50" s="12">
        <f t="shared" si="32"/>
        <v>1014741.3652246695</v>
      </c>
      <c r="AY50" s="12">
        <f t="shared" si="32"/>
        <v>1036558.304577</v>
      </c>
      <c r="AZ50" s="12">
        <f t="shared" si="32"/>
        <v>1059362.5872776941</v>
      </c>
      <c r="BA50" s="12">
        <f t="shared" si="32"/>
        <v>1082668.5641978034</v>
      </c>
      <c r="BB50" s="12">
        <f t="shared" si="32"/>
        <v>1106487.2726101549</v>
      </c>
      <c r="BC50" s="12">
        <f t="shared" si="32"/>
        <v>1130829.9926075784</v>
      </c>
      <c r="BD50" s="12">
        <f t="shared" si="32"/>
        <v>1155708.2524449453</v>
      </c>
      <c r="BE50" s="12">
        <f t="shared" si="32"/>
        <v>1181133.8339987341</v>
      </c>
      <c r="BF50" s="12">
        <f t="shared" si="32"/>
        <v>1207118.7783467062</v>
      </c>
      <c r="BG50" s="12">
        <f t="shared" si="32"/>
        <v>1233675.391470334</v>
      </c>
      <c r="BH50" s="12">
        <f t="shared" si="32"/>
        <v>1233675.391470334</v>
      </c>
      <c r="BI50" s="12">
        <f t="shared" si="32"/>
        <v>1233675.391470334</v>
      </c>
      <c r="BJ50" s="12">
        <f t="shared" si="32"/>
        <v>1233675.391470334</v>
      </c>
      <c r="BK50" s="12">
        <f t="shared" si="32"/>
        <v>1233675.391470334</v>
      </c>
      <c r="BL50" s="12">
        <f t="shared" si="32"/>
        <v>1233675.391470334</v>
      </c>
      <c r="BM50" s="12">
        <f t="shared" si="32"/>
        <v>1233675.391470334</v>
      </c>
      <c r="BN50" s="12">
        <f t="shared" si="32"/>
        <v>1233675.391470334</v>
      </c>
      <c r="BO50" s="12">
        <f t="shared" si="32"/>
        <v>1233675.391470334</v>
      </c>
      <c r="BP50" s="12">
        <f t="shared" si="32"/>
        <v>1233675.391470334</v>
      </c>
      <c r="BQ50" s="12">
        <f t="shared" si="32"/>
        <v>1233675.391470334</v>
      </c>
      <c r="BR50" s="12">
        <f t="shared" si="32"/>
        <v>1233675.391470334</v>
      </c>
      <c r="BS50" s="12">
        <f t="shared" si="32"/>
        <v>1233675.391470334</v>
      </c>
      <c r="BT50" s="12">
        <f t="shared" si="32"/>
        <v>1233675.391470334</v>
      </c>
      <c r="BU50" s="12">
        <f t="shared" si="32"/>
        <v>1233675.391470334</v>
      </c>
      <c r="BV50" s="12">
        <f t="shared" si="32"/>
        <v>1233675.391470334</v>
      </c>
      <c r="BW50" s="12">
        <f t="shared" si="32"/>
        <v>1233675.391470334</v>
      </c>
      <c r="BX50" s="12">
        <f t="shared" si="32"/>
        <v>1233675.391470334</v>
      </c>
      <c r="BY50" s="12">
        <f t="shared" si="32"/>
        <v>1233675.391470334</v>
      </c>
      <c r="BZ50" s="12">
        <f t="shared" si="32"/>
        <v>1233675.391470334</v>
      </c>
      <c r="CA50" s="12">
        <f t="shared" si="32"/>
        <v>1233675.391470334</v>
      </c>
      <c r="CB50" s="12">
        <f t="shared" si="32"/>
        <v>1233675.391470334</v>
      </c>
      <c r="CC50" s="12">
        <f t="shared" si="32"/>
        <v>1233675.391470334</v>
      </c>
      <c r="CD50" s="12">
        <f t="shared" si="32"/>
        <v>1233675.391470334</v>
      </c>
      <c r="CE50" s="12">
        <f t="shared" si="32"/>
        <v>1233675.391470334</v>
      </c>
      <c r="CF50" s="12">
        <f t="shared" si="32"/>
        <v>1233675.391470334</v>
      </c>
      <c r="CG50" s="12">
        <f t="shared" si="32"/>
        <v>1233675.391470334</v>
      </c>
      <c r="CH50" s="12">
        <f t="shared" si="32"/>
        <v>1233675.391470334</v>
      </c>
      <c r="CI50" s="12">
        <f t="shared" si="32"/>
        <v>1233675.391470334</v>
      </c>
      <c r="CJ50" s="12">
        <f t="shared" si="32"/>
        <v>1233675.391470334</v>
      </c>
      <c r="CK50" s="12">
        <f t="shared" si="32"/>
        <v>1233675.391470334</v>
      </c>
      <c r="CL50" s="12">
        <f t="shared" si="32"/>
        <v>1233675.391470334</v>
      </c>
      <c r="CM50" s="12">
        <f t="shared" si="32"/>
        <v>1233675.391470334</v>
      </c>
      <c r="CN50" s="12">
        <f t="shared" si="32"/>
        <v>1233675.391470334</v>
      </c>
      <c r="CO50" s="12">
        <f t="shared" si="32"/>
        <v>1233675.391470334</v>
      </c>
      <c r="CP50" s="12">
        <f t="shared" si="32"/>
        <v>1233675.391470334</v>
      </c>
      <c r="CQ50" s="12">
        <f t="shared" si="32"/>
        <v>1233675.391470334</v>
      </c>
      <c r="CR50" s="12">
        <f t="shared" si="32"/>
        <v>1233675.391470334</v>
      </c>
      <c r="CS50" s="12">
        <f t="shared" si="32"/>
        <v>1233675.391470334</v>
      </c>
      <c r="CT50" s="12">
        <f t="shared" si="32"/>
        <v>1233675.391470334</v>
      </c>
      <c r="CU50" s="12">
        <f t="shared" si="32"/>
        <v>1233675.391470334</v>
      </c>
      <c r="CV50" s="12">
        <f t="shared" si="32"/>
        <v>1233675.391470334</v>
      </c>
    </row>
    <row r="51" spans="1:100" s="12" customFormat="1">
      <c r="A51" s="12" t="s">
        <v>265</v>
      </c>
      <c r="J51" s="13">
        <v>1054035</v>
      </c>
      <c r="K51" s="13">
        <v>1525895</v>
      </c>
      <c r="L51" s="13">
        <v>1324693</v>
      </c>
      <c r="M51" s="13">
        <v>3904623</v>
      </c>
      <c r="N51" s="14">
        <v>1054035</v>
      </c>
      <c r="O51" s="14">
        <v>1525895</v>
      </c>
      <c r="P51" s="14">
        <v>1324693</v>
      </c>
      <c r="Q51" s="14">
        <v>3904623</v>
      </c>
      <c r="R51" s="14">
        <v>7809246</v>
      </c>
      <c r="S51" s="14">
        <v>7762322</v>
      </c>
      <c r="T51" s="14">
        <v>864741</v>
      </c>
      <c r="W51" s="12" t="s">
        <v>263</v>
      </c>
      <c r="Z51" s="12">
        <f t="shared" si="28"/>
        <v>351621.97835649835</v>
      </c>
      <c r="AA51" s="12">
        <f t="shared" si="29"/>
        <v>385685.12327176309</v>
      </c>
      <c r="AE51" s="27"/>
      <c r="AJ51" s="12" t="s">
        <v>265</v>
      </c>
      <c r="AN51" s="12">
        <f t="shared" si="31"/>
        <v>3659716.9159811041</v>
      </c>
      <c r="AO51" s="12">
        <f t="shared" si="32"/>
        <v>3742499.7126205973</v>
      </c>
      <c r="AP51" s="12">
        <f t="shared" si="32"/>
        <v>3782881.2845197734</v>
      </c>
      <c r="AQ51" s="12">
        <f t="shared" si="32"/>
        <v>3848098.1578648943</v>
      </c>
      <c r="AR51" s="12">
        <f t="shared" si="32"/>
        <v>3932756.3173379218</v>
      </c>
      <c r="AS51" s="12">
        <f t="shared" si="32"/>
        <v>3995680.418415329</v>
      </c>
      <c r="AT51" s="12">
        <f t="shared" si="32"/>
        <v>4071598.3463652199</v>
      </c>
      <c r="AU51" s="12">
        <f t="shared" si="32"/>
        <v>4148958.7149461582</v>
      </c>
      <c r="AV51" s="12">
        <f t="shared" si="32"/>
        <v>4231937.8892450817</v>
      </c>
      <c r="AW51" s="12">
        <f t="shared" si="32"/>
        <v>4318692.615974606</v>
      </c>
      <c r="AX51" s="12">
        <f t="shared" si="32"/>
        <v>4409385.1609100727</v>
      </c>
      <c r="AY51" s="12">
        <f t="shared" si="32"/>
        <v>4504186.9418696389</v>
      </c>
      <c r="AZ51" s="12">
        <f t="shared" si="32"/>
        <v>4603279.0545907719</v>
      </c>
      <c r="BA51" s="12">
        <f t="shared" si="32"/>
        <v>4704551.1937917676</v>
      </c>
      <c r="BB51" s="12">
        <f t="shared" si="32"/>
        <v>4808051.3200551867</v>
      </c>
      <c r="BC51" s="12">
        <f t="shared" si="32"/>
        <v>4913828.4490964012</v>
      </c>
      <c r="BD51" s="12">
        <f t="shared" si="32"/>
        <v>5021932.6749765221</v>
      </c>
      <c r="BE51" s="12">
        <f t="shared" si="32"/>
        <v>5132415.1938260058</v>
      </c>
      <c r="BF51" s="12">
        <f t="shared" si="32"/>
        <v>5245328.3280901778</v>
      </c>
      <c r="BG51" s="12">
        <f t="shared" si="32"/>
        <v>5360725.5513081616</v>
      </c>
      <c r="BH51" s="12">
        <f t="shared" si="32"/>
        <v>5360725.5513081616</v>
      </c>
      <c r="BI51" s="12">
        <f t="shared" si="32"/>
        <v>5360725.5513081616</v>
      </c>
      <c r="BJ51" s="12">
        <f t="shared" si="32"/>
        <v>5360725.5513081616</v>
      </c>
      <c r="BK51" s="12">
        <f t="shared" si="32"/>
        <v>5360725.5513081616</v>
      </c>
      <c r="BL51" s="12">
        <f t="shared" si="32"/>
        <v>5360725.5513081616</v>
      </c>
      <c r="BM51" s="12">
        <f t="shared" si="32"/>
        <v>5360725.5513081616</v>
      </c>
      <c r="BN51" s="12">
        <f t="shared" si="32"/>
        <v>5360725.5513081616</v>
      </c>
      <c r="BO51" s="12">
        <f t="shared" si="32"/>
        <v>5360725.5513081616</v>
      </c>
      <c r="BP51" s="12">
        <f t="shared" si="32"/>
        <v>5360725.5513081616</v>
      </c>
      <c r="BQ51" s="12">
        <f t="shared" si="32"/>
        <v>5360725.5513081616</v>
      </c>
      <c r="BR51" s="12">
        <f t="shared" si="32"/>
        <v>5360725.5513081616</v>
      </c>
      <c r="BS51" s="12">
        <f t="shared" si="32"/>
        <v>5360725.5513081616</v>
      </c>
      <c r="BT51" s="12">
        <f t="shared" si="32"/>
        <v>5360725.5513081616</v>
      </c>
      <c r="BU51" s="12">
        <f t="shared" si="32"/>
        <v>5360725.5513081616</v>
      </c>
      <c r="BV51" s="12">
        <f t="shared" si="32"/>
        <v>5360725.5513081616</v>
      </c>
      <c r="BW51" s="12">
        <f t="shared" si="32"/>
        <v>5360725.5513081616</v>
      </c>
      <c r="BX51" s="12">
        <f t="shared" si="32"/>
        <v>5360725.5513081616</v>
      </c>
      <c r="BY51" s="12">
        <f t="shared" si="32"/>
        <v>5360725.5513081616</v>
      </c>
      <c r="BZ51" s="12">
        <f t="shared" si="32"/>
        <v>5360725.5513081616</v>
      </c>
      <c r="CA51" s="12">
        <f t="shared" si="32"/>
        <v>5360725.5513081616</v>
      </c>
      <c r="CB51" s="12">
        <f t="shared" si="32"/>
        <v>5360725.5513081616</v>
      </c>
      <c r="CC51" s="12">
        <f t="shared" si="32"/>
        <v>5360725.5513081616</v>
      </c>
      <c r="CD51" s="12">
        <f t="shared" si="32"/>
        <v>5360725.5513081616</v>
      </c>
      <c r="CE51" s="12">
        <f t="shared" si="32"/>
        <v>5360725.5513081616</v>
      </c>
      <c r="CF51" s="12">
        <f t="shared" si="32"/>
        <v>5360725.5513081616</v>
      </c>
      <c r="CG51" s="12">
        <f t="shared" si="32"/>
        <v>5360725.5513081616</v>
      </c>
      <c r="CH51" s="12">
        <f t="shared" si="32"/>
        <v>5360725.5513081616</v>
      </c>
      <c r="CI51" s="12">
        <f t="shared" si="32"/>
        <v>5360725.5513081616</v>
      </c>
      <c r="CJ51" s="12">
        <f t="shared" si="32"/>
        <v>5360725.5513081616</v>
      </c>
      <c r="CK51" s="12">
        <f t="shared" si="32"/>
        <v>5360725.5513081616</v>
      </c>
      <c r="CL51" s="12">
        <f t="shared" si="32"/>
        <v>5360725.5513081616</v>
      </c>
      <c r="CM51" s="12">
        <f t="shared" si="32"/>
        <v>5360725.5513081616</v>
      </c>
      <c r="CN51" s="12">
        <f t="shared" si="32"/>
        <v>5360725.5513081616</v>
      </c>
      <c r="CO51" s="12">
        <f t="shared" si="32"/>
        <v>5360725.5513081616</v>
      </c>
      <c r="CP51" s="12">
        <f t="shared" si="32"/>
        <v>5360725.5513081616</v>
      </c>
      <c r="CQ51" s="12">
        <f t="shared" si="32"/>
        <v>5360725.5513081616</v>
      </c>
      <c r="CR51" s="12">
        <f t="shared" si="32"/>
        <v>5360725.5513081616</v>
      </c>
      <c r="CS51" s="12">
        <f t="shared" si="32"/>
        <v>5360725.5513081616</v>
      </c>
      <c r="CT51" s="12">
        <f t="shared" si="32"/>
        <v>5360725.5513081616</v>
      </c>
      <c r="CU51" s="12">
        <f t="shared" si="32"/>
        <v>5360725.5513081616</v>
      </c>
      <c r="CV51" s="12">
        <f t="shared" si="32"/>
        <v>5360725.5513081616</v>
      </c>
    </row>
    <row r="52" spans="1:100">
      <c r="A52" s="12" t="s">
        <v>92</v>
      </c>
      <c r="J52" s="13">
        <v>931109</v>
      </c>
      <c r="K52" s="13">
        <v>1068515</v>
      </c>
      <c r="L52" s="13">
        <v>1630705</v>
      </c>
      <c r="M52" s="13">
        <v>3630329</v>
      </c>
      <c r="N52" s="14">
        <v>931109</v>
      </c>
      <c r="O52" s="14">
        <v>1068515</v>
      </c>
      <c r="P52" s="14">
        <v>1630705</v>
      </c>
      <c r="Q52" s="14">
        <v>3630329</v>
      </c>
      <c r="R52" s="14">
        <v>7260658</v>
      </c>
      <c r="S52" s="14">
        <v>7144324</v>
      </c>
      <c r="T52" s="14">
        <v>1497355</v>
      </c>
      <c r="W52" s="12" t="s">
        <v>264</v>
      </c>
      <c r="X52" s="12"/>
      <c r="Y52" s="12"/>
      <c r="Z52" s="12">
        <f t="shared" si="28"/>
        <v>689346.51238894544</v>
      </c>
      <c r="AA52" s="12">
        <f t="shared" si="29"/>
        <v>671968.81565617083</v>
      </c>
      <c r="AB52" s="12"/>
      <c r="AC52" s="12"/>
      <c r="AD52" s="12"/>
      <c r="AE52" s="27"/>
      <c r="AJ52" s="12" t="s">
        <v>92</v>
      </c>
      <c r="AN52" s="12">
        <f t="shared" si="31"/>
        <v>4303585.3163085952</v>
      </c>
      <c r="AO52" s="12">
        <f>AO11*$AE$3/100 + AO23*$AC$3/100 + AO35*$AD$3/100</f>
        <v>4400932.4161634967</v>
      </c>
      <c r="AP52" s="12">
        <f t="shared" ref="AP52:CV52" si="33">AP11*$AE$3/100 + AP23*$AC$3/100 + AP35*$AD$3/100</f>
        <v>4448418.4769339012</v>
      </c>
      <c r="AQ52" s="12">
        <f t="shared" si="33"/>
        <v>4525109.2114762412</v>
      </c>
      <c r="AR52" s="12">
        <f t="shared" si="33"/>
        <v>4624661.6141287182</v>
      </c>
      <c r="AS52" s="12">
        <f t="shared" si="33"/>
        <v>4698656.199954778</v>
      </c>
      <c r="AT52" s="12">
        <f t="shared" si="33"/>
        <v>4787930.6677539172</v>
      </c>
      <c r="AU52" s="12">
        <f t="shared" si="33"/>
        <v>4878901.3504412407</v>
      </c>
      <c r="AV52" s="12">
        <f t="shared" si="33"/>
        <v>4976479.3774500675</v>
      </c>
      <c r="AW52" s="12">
        <f t="shared" si="33"/>
        <v>5078497.2046877928</v>
      </c>
      <c r="AX52" s="12">
        <f t="shared" si="33"/>
        <v>5185145.6459862348</v>
      </c>
      <c r="AY52" s="12">
        <f t="shared" si="33"/>
        <v>5296626.27737494</v>
      </c>
      <c r="AZ52" s="12">
        <f t="shared" si="33"/>
        <v>5413152.0554771889</v>
      </c>
      <c r="BA52" s="12">
        <f t="shared" si="33"/>
        <v>5532241.4006976876</v>
      </c>
      <c r="BB52" s="12">
        <f t="shared" si="33"/>
        <v>5653950.7115130378</v>
      </c>
      <c r="BC52" s="12">
        <f t="shared" si="33"/>
        <v>5778337.6271663243</v>
      </c>
      <c r="BD52" s="12">
        <f t="shared" si="33"/>
        <v>5905461.0549639827</v>
      </c>
      <c r="BE52" s="12">
        <f t="shared" si="33"/>
        <v>6035381.1981731895</v>
      </c>
      <c r="BF52" s="12">
        <f t="shared" si="33"/>
        <v>6168159.5845330004</v>
      </c>
      <c r="BG52" s="12">
        <f t="shared" si="33"/>
        <v>6303859.0953927264</v>
      </c>
      <c r="BH52" s="12">
        <f t="shared" si="33"/>
        <v>6303859.0953927264</v>
      </c>
      <c r="BI52" s="12">
        <f t="shared" si="33"/>
        <v>6303859.0953927264</v>
      </c>
      <c r="BJ52" s="12">
        <f t="shared" si="33"/>
        <v>6303859.0953927264</v>
      </c>
      <c r="BK52" s="12">
        <f t="shared" si="33"/>
        <v>6303859.0953927264</v>
      </c>
      <c r="BL52" s="12">
        <f t="shared" si="33"/>
        <v>6303859.0953927264</v>
      </c>
      <c r="BM52" s="12">
        <f t="shared" si="33"/>
        <v>6303859.0953927264</v>
      </c>
      <c r="BN52" s="12">
        <f t="shared" si="33"/>
        <v>6303859.0953927264</v>
      </c>
      <c r="BO52" s="12">
        <f t="shared" si="33"/>
        <v>6303859.0953927264</v>
      </c>
      <c r="BP52" s="12">
        <f t="shared" si="33"/>
        <v>6303859.0953927264</v>
      </c>
      <c r="BQ52" s="12">
        <f t="shared" si="33"/>
        <v>6303859.0953927264</v>
      </c>
      <c r="BR52" s="12">
        <f t="shared" si="33"/>
        <v>6303859.0953927264</v>
      </c>
      <c r="BS52" s="12">
        <f t="shared" si="33"/>
        <v>6303859.0953927264</v>
      </c>
      <c r="BT52" s="12">
        <f t="shared" si="33"/>
        <v>6303859.0953927264</v>
      </c>
      <c r="BU52" s="12">
        <f t="shared" si="33"/>
        <v>6303859.0953927264</v>
      </c>
      <c r="BV52" s="12">
        <f t="shared" si="33"/>
        <v>6303859.0953927264</v>
      </c>
      <c r="BW52" s="12">
        <f t="shared" si="33"/>
        <v>6303859.0953927264</v>
      </c>
      <c r="BX52" s="12">
        <f t="shared" si="33"/>
        <v>6303859.0953927264</v>
      </c>
      <c r="BY52" s="12">
        <f t="shared" si="33"/>
        <v>6303859.0953927264</v>
      </c>
      <c r="BZ52" s="12">
        <f t="shared" si="33"/>
        <v>6303859.0953927264</v>
      </c>
      <c r="CA52" s="12">
        <f t="shared" si="33"/>
        <v>6303859.0953927264</v>
      </c>
      <c r="CB52" s="12">
        <f t="shared" si="33"/>
        <v>6303859.0953927264</v>
      </c>
      <c r="CC52" s="12">
        <f t="shared" si="33"/>
        <v>6303859.0953927264</v>
      </c>
      <c r="CD52" s="12">
        <f t="shared" si="33"/>
        <v>6303859.0953927264</v>
      </c>
      <c r="CE52" s="12">
        <f t="shared" si="33"/>
        <v>6303859.0953927264</v>
      </c>
      <c r="CF52" s="12">
        <f t="shared" si="33"/>
        <v>6303859.0953927264</v>
      </c>
      <c r="CG52" s="12">
        <f t="shared" si="33"/>
        <v>6303859.0953927264</v>
      </c>
      <c r="CH52" s="12">
        <f t="shared" si="33"/>
        <v>6303859.0953927264</v>
      </c>
      <c r="CI52" s="12">
        <f t="shared" si="33"/>
        <v>6303859.0953927264</v>
      </c>
      <c r="CJ52" s="12">
        <f t="shared" si="33"/>
        <v>6303859.0953927264</v>
      </c>
      <c r="CK52" s="12">
        <f t="shared" si="33"/>
        <v>6303859.0953927264</v>
      </c>
      <c r="CL52" s="12">
        <f t="shared" si="33"/>
        <v>6303859.0953927264</v>
      </c>
      <c r="CM52" s="12">
        <f t="shared" si="33"/>
        <v>6303859.0953927264</v>
      </c>
      <c r="CN52" s="12">
        <f t="shared" si="33"/>
        <v>6303859.0953927264</v>
      </c>
      <c r="CO52" s="12">
        <f t="shared" si="33"/>
        <v>6303859.0953927264</v>
      </c>
      <c r="CP52" s="12">
        <f t="shared" si="33"/>
        <v>6303859.0953927264</v>
      </c>
      <c r="CQ52" s="12">
        <f t="shared" si="33"/>
        <v>6303859.0953927264</v>
      </c>
      <c r="CR52" s="12">
        <f t="shared" si="33"/>
        <v>6303859.0953927264</v>
      </c>
      <c r="CS52" s="12">
        <f t="shared" si="33"/>
        <v>6303859.0953927264</v>
      </c>
      <c r="CT52" s="12">
        <f t="shared" si="33"/>
        <v>6303859.0953927264</v>
      </c>
      <c r="CU52" s="12">
        <f t="shared" si="33"/>
        <v>6303859.0953927264</v>
      </c>
      <c r="CV52" s="12">
        <f t="shared" si="33"/>
        <v>6303859.0953927264</v>
      </c>
    </row>
    <row r="53" spans="1:100">
      <c r="W53" s="12" t="s">
        <v>265</v>
      </c>
      <c r="X53" s="12"/>
      <c r="Y53" s="12"/>
      <c r="Z53" s="12">
        <f t="shared" si="28"/>
        <v>2384688.5044826944</v>
      </c>
      <c r="AA53" s="12">
        <f t="shared" si="29"/>
        <v>2236497.8883628868</v>
      </c>
      <c r="AB53" s="12"/>
      <c r="AC53" s="12"/>
      <c r="AD53" s="12"/>
      <c r="AE53" s="27"/>
    </row>
    <row r="54" spans="1:100">
      <c r="A54" s="8"/>
      <c r="B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W54" s="12" t="s">
        <v>92</v>
      </c>
      <c r="X54" s="12"/>
      <c r="Y54" s="12"/>
      <c r="Z54" s="12">
        <f t="shared" si="28"/>
        <v>3070924.9078990961</v>
      </c>
      <c r="AA54" s="12">
        <f t="shared" si="29"/>
        <v>3107864.6358058318</v>
      </c>
      <c r="AB54" s="12"/>
      <c r="AC54" s="12"/>
      <c r="AD54" s="12"/>
      <c r="AE54" s="27"/>
    </row>
    <row r="55" spans="1:100"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100">
      <c r="A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AJ56" s="12" t="s">
        <v>173</v>
      </c>
    </row>
    <row r="57" spans="1:100">
      <c r="A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W57" s="12" t="s">
        <v>114</v>
      </c>
      <c r="X57" s="12"/>
      <c r="Y57" s="12"/>
      <c r="Z57" s="12"/>
      <c r="AA57" s="12"/>
      <c r="AB57" s="12"/>
      <c r="AC57" s="12"/>
      <c r="AD57" s="12"/>
      <c r="AE57" s="12"/>
      <c r="AJ57" s="12" t="s">
        <v>259</v>
      </c>
      <c r="AN57">
        <f t="shared" ref="AN57:BS57" si="34">AN4*$AE$4/100 + AN16*$AC$4/100 + AN28*$AD$4/100</f>
        <v>258811.95301558863</v>
      </c>
      <c r="AO57" s="12">
        <f t="shared" si="34"/>
        <v>264666.27939280123</v>
      </c>
      <c r="AP57" s="12">
        <f t="shared" si="34"/>
        <v>267522.02854744956</v>
      </c>
      <c r="AQ57" s="12">
        <f t="shared" si="34"/>
        <v>272134.10831960762</v>
      </c>
      <c r="AR57" s="12">
        <f t="shared" si="34"/>
        <v>278121.05870263895</v>
      </c>
      <c r="AS57" s="12">
        <f t="shared" si="34"/>
        <v>282570.99564188125</v>
      </c>
      <c r="AT57" s="12">
        <f t="shared" si="34"/>
        <v>287939.84455907694</v>
      </c>
      <c r="AU57" s="12">
        <f t="shared" si="34"/>
        <v>293410.70160569937</v>
      </c>
      <c r="AV57" s="12">
        <f t="shared" si="34"/>
        <v>299278.91563781333</v>
      </c>
      <c r="AW57" s="12">
        <f t="shared" si="34"/>
        <v>305414.13340838853</v>
      </c>
      <c r="AX57" s="12">
        <f t="shared" si="34"/>
        <v>311827.83020996465</v>
      </c>
      <c r="AY57" s="12">
        <f t="shared" si="34"/>
        <v>318532.12855947897</v>
      </c>
      <c r="AZ57" s="12">
        <f t="shared" si="34"/>
        <v>325539.83538778755</v>
      </c>
      <c r="BA57" s="12">
        <f t="shared" si="34"/>
        <v>332701.71176631883</v>
      </c>
      <c r="BB57" s="12">
        <f t="shared" si="34"/>
        <v>340021.14942517783</v>
      </c>
      <c r="BC57" s="12">
        <f t="shared" si="34"/>
        <v>347501.61471253174</v>
      </c>
      <c r="BD57" s="12">
        <f t="shared" si="34"/>
        <v>355146.65023620747</v>
      </c>
      <c r="BE57" s="12">
        <f t="shared" si="34"/>
        <v>362959.87654140405</v>
      </c>
      <c r="BF57" s="12">
        <f t="shared" si="34"/>
        <v>370944.99382531492</v>
      </c>
      <c r="BG57" s="12">
        <f t="shared" si="34"/>
        <v>379105.78368947189</v>
      </c>
      <c r="BH57" s="12">
        <f t="shared" si="34"/>
        <v>379105.78368947189</v>
      </c>
      <c r="BI57" s="12">
        <f t="shared" si="34"/>
        <v>379105.78368947189</v>
      </c>
      <c r="BJ57" s="12">
        <f t="shared" si="34"/>
        <v>379105.78368947189</v>
      </c>
      <c r="BK57" s="12">
        <f t="shared" si="34"/>
        <v>379105.78368947189</v>
      </c>
      <c r="BL57" s="12">
        <f t="shared" si="34"/>
        <v>379105.78368947189</v>
      </c>
      <c r="BM57" s="12">
        <f t="shared" si="34"/>
        <v>379105.78368947189</v>
      </c>
      <c r="BN57" s="12">
        <f t="shared" si="34"/>
        <v>379105.78368947189</v>
      </c>
      <c r="BO57" s="12">
        <f t="shared" si="34"/>
        <v>379105.78368947189</v>
      </c>
      <c r="BP57" s="12">
        <f t="shared" si="34"/>
        <v>379105.78368947189</v>
      </c>
      <c r="BQ57" s="12">
        <f t="shared" si="34"/>
        <v>379105.78368947189</v>
      </c>
      <c r="BR57" s="12">
        <f t="shared" si="34"/>
        <v>379105.78368947189</v>
      </c>
      <c r="BS57" s="12">
        <f t="shared" si="34"/>
        <v>379105.78368947189</v>
      </c>
      <c r="BT57" s="12">
        <f t="shared" ref="BT57:CV57" si="35">BT4*$AE$4/100 + BT16*$AC$4/100 + BT28*$AD$4/100</f>
        <v>379105.78368947189</v>
      </c>
      <c r="BU57" s="12">
        <f t="shared" si="35"/>
        <v>379105.78368947189</v>
      </c>
      <c r="BV57" s="12">
        <f t="shared" si="35"/>
        <v>379105.78368947189</v>
      </c>
      <c r="BW57" s="12">
        <f t="shared" si="35"/>
        <v>379105.78368947189</v>
      </c>
      <c r="BX57" s="12">
        <f t="shared" si="35"/>
        <v>379105.78368947189</v>
      </c>
      <c r="BY57" s="12">
        <f t="shared" si="35"/>
        <v>379105.78368947189</v>
      </c>
      <c r="BZ57" s="12">
        <f t="shared" si="35"/>
        <v>379105.78368947189</v>
      </c>
      <c r="CA57" s="12">
        <f t="shared" si="35"/>
        <v>379105.78368947189</v>
      </c>
      <c r="CB57" s="12">
        <f t="shared" si="35"/>
        <v>379105.78368947189</v>
      </c>
      <c r="CC57" s="12">
        <f t="shared" si="35"/>
        <v>379105.78368947189</v>
      </c>
      <c r="CD57" s="12">
        <f t="shared" si="35"/>
        <v>379105.78368947189</v>
      </c>
      <c r="CE57" s="12">
        <f t="shared" si="35"/>
        <v>379105.78368947189</v>
      </c>
      <c r="CF57" s="12">
        <f t="shared" si="35"/>
        <v>379105.78368947189</v>
      </c>
      <c r="CG57" s="12">
        <f t="shared" si="35"/>
        <v>379105.78368947189</v>
      </c>
      <c r="CH57" s="12">
        <f t="shared" si="35"/>
        <v>379105.78368947189</v>
      </c>
      <c r="CI57" s="12">
        <f t="shared" si="35"/>
        <v>379105.78368947189</v>
      </c>
      <c r="CJ57" s="12">
        <f t="shared" si="35"/>
        <v>379105.78368947189</v>
      </c>
      <c r="CK57" s="12">
        <f t="shared" si="35"/>
        <v>379105.78368947189</v>
      </c>
      <c r="CL57" s="12">
        <f t="shared" si="35"/>
        <v>379105.78368947189</v>
      </c>
      <c r="CM57" s="12">
        <f t="shared" si="35"/>
        <v>379105.78368947189</v>
      </c>
      <c r="CN57" s="12">
        <f t="shared" si="35"/>
        <v>379105.78368947189</v>
      </c>
      <c r="CO57" s="12">
        <f t="shared" si="35"/>
        <v>379105.78368947189</v>
      </c>
      <c r="CP57" s="12">
        <f t="shared" si="35"/>
        <v>379105.78368947189</v>
      </c>
      <c r="CQ57" s="12">
        <f t="shared" si="35"/>
        <v>379105.78368947189</v>
      </c>
      <c r="CR57" s="12">
        <f t="shared" si="35"/>
        <v>379105.78368947189</v>
      </c>
      <c r="CS57" s="12">
        <f t="shared" si="35"/>
        <v>379105.78368947189</v>
      </c>
      <c r="CT57" s="12">
        <f t="shared" si="35"/>
        <v>379105.78368947189</v>
      </c>
      <c r="CU57" s="12">
        <f t="shared" si="35"/>
        <v>379105.78368947189</v>
      </c>
      <c r="CV57" s="12">
        <f t="shared" si="35"/>
        <v>379105.78368947189</v>
      </c>
    </row>
    <row r="58" spans="1:100">
      <c r="A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W58" s="12"/>
      <c r="X58" s="12"/>
      <c r="Y58" s="12"/>
      <c r="Z58" s="12">
        <v>2009</v>
      </c>
      <c r="AA58" s="12">
        <v>2010</v>
      </c>
      <c r="AB58" s="12"/>
      <c r="AC58" s="12"/>
      <c r="AD58" s="12"/>
      <c r="AE58" s="12"/>
      <c r="AJ58" s="12" t="s">
        <v>260</v>
      </c>
      <c r="AN58" s="12">
        <f t="shared" ref="AN58" si="36">AN5*$AE$4/100 + AN17*$AC$4/100 + AN29*$AD$4/100</f>
        <v>286749.3499168008</v>
      </c>
      <c r="AO58" s="12">
        <f t="shared" ref="AO58:BS58" si="37">AO5*$AE$4/100 + AO17*$AC$4/100 + AO29*$AD$4/100</f>
        <v>293235.62021191884</v>
      </c>
      <c r="AP58" s="12">
        <f t="shared" si="37"/>
        <v>296399.63255400548</v>
      </c>
      <c r="AQ58" s="12">
        <f t="shared" si="37"/>
        <v>301509.56221923651</v>
      </c>
      <c r="AR58" s="12">
        <f t="shared" si="37"/>
        <v>308142.77258805966</v>
      </c>
      <c r="AS58" s="12">
        <f t="shared" si="37"/>
        <v>313073.05694946862</v>
      </c>
      <c r="AT58" s="12">
        <f t="shared" si="37"/>
        <v>319021.44503150845</v>
      </c>
      <c r="AU58" s="12">
        <f t="shared" si="37"/>
        <v>325082.8524871071</v>
      </c>
      <c r="AV58" s="12">
        <f t="shared" si="37"/>
        <v>331584.50953684922</v>
      </c>
      <c r="AW58" s="12">
        <f t="shared" si="37"/>
        <v>338381.99198235467</v>
      </c>
      <c r="AX58" s="12">
        <f t="shared" si="37"/>
        <v>345488.01381398406</v>
      </c>
      <c r="AY58" s="12">
        <f t="shared" si="37"/>
        <v>352916.00611098477</v>
      </c>
      <c r="AZ58" s="12">
        <f t="shared" si="37"/>
        <v>360680.15824542643</v>
      </c>
      <c r="BA58" s="12">
        <f t="shared" si="37"/>
        <v>368615.12172682583</v>
      </c>
      <c r="BB58" s="12">
        <f t="shared" si="37"/>
        <v>376724.65440481604</v>
      </c>
      <c r="BC58" s="12">
        <f t="shared" si="37"/>
        <v>385012.59680172201</v>
      </c>
      <c r="BD58" s="12">
        <f t="shared" si="37"/>
        <v>393482.87393135985</v>
      </c>
      <c r="BE58" s="12">
        <f t="shared" si="37"/>
        <v>402139.49715784984</v>
      </c>
      <c r="BF58" s="12">
        <f t="shared" si="37"/>
        <v>410986.56609532249</v>
      </c>
      <c r="BG58" s="12">
        <f t="shared" si="37"/>
        <v>420028.27054941969</v>
      </c>
      <c r="BH58" s="12">
        <f t="shared" si="37"/>
        <v>420028.27054941969</v>
      </c>
      <c r="BI58" s="12">
        <f t="shared" si="37"/>
        <v>420028.27054941969</v>
      </c>
      <c r="BJ58" s="12">
        <f t="shared" si="37"/>
        <v>420028.27054941969</v>
      </c>
      <c r="BK58" s="12">
        <f t="shared" si="37"/>
        <v>420028.27054941969</v>
      </c>
      <c r="BL58" s="12">
        <f t="shared" si="37"/>
        <v>420028.27054941969</v>
      </c>
      <c r="BM58" s="12">
        <f t="shared" si="37"/>
        <v>420028.27054941969</v>
      </c>
      <c r="BN58" s="12">
        <f t="shared" si="37"/>
        <v>420028.27054941969</v>
      </c>
      <c r="BO58" s="12">
        <f t="shared" si="37"/>
        <v>420028.27054941969</v>
      </c>
      <c r="BP58" s="12">
        <f t="shared" si="37"/>
        <v>420028.27054941969</v>
      </c>
      <c r="BQ58" s="12">
        <f t="shared" si="37"/>
        <v>420028.27054941969</v>
      </c>
      <c r="BR58" s="12">
        <f t="shared" si="37"/>
        <v>420028.27054941969</v>
      </c>
      <c r="BS58" s="12">
        <f t="shared" si="37"/>
        <v>420028.27054941969</v>
      </c>
      <c r="BT58" s="12">
        <f t="shared" ref="BT58:CV58" si="38">BT5*$AE$4/100 + BT17*$AC$4/100 + BT29*$AD$4/100</f>
        <v>420028.27054941969</v>
      </c>
      <c r="BU58" s="12">
        <f t="shared" si="38"/>
        <v>420028.27054941969</v>
      </c>
      <c r="BV58" s="12">
        <f t="shared" si="38"/>
        <v>420028.27054941969</v>
      </c>
      <c r="BW58" s="12">
        <f t="shared" si="38"/>
        <v>420028.27054941969</v>
      </c>
      <c r="BX58" s="12">
        <f t="shared" si="38"/>
        <v>420028.27054941969</v>
      </c>
      <c r="BY58" s="12">
        <f t="shared" si="38"/>
        <v>420028.27054941969</v>
      </c>
      <c r="BZ58" s="12">
        <f t="shared" si="38"/>
        <v>420028.27054941969</v>
      </c>
      <c r="CA58" s="12">
        <f t="shared" si="38"/>
        <v>420028.27054941969</v>
      </c>
      <c r="CB58" s="12">
        <f t="shared" si="38"/>
        <v>420028.27054941969</v>
      </c>
      <c r="CC58" s="12">
        <f t="shared" si="38"/>
        <v>420028.27054941969</v>
      </c>
      <c r="CD58" s="12">
        <f t="shared" si="38"/>
        <v>420028.27054941969</v>
      </c>
      <c r="CE58" s="12">
        <f t="shared" si="38"/>
        <v>420028.27054941969</v>
      </c>
      <c r="CF58" s="12">
        <f t="shared" si="38"/>
        <v>420028.27054941969</v>
      </c>
      <c r="CG58" s="12">
        <f t="shared" si="38"/>
        <v>420028.27054941969</v>
      </c>
      <c r="CH58" s="12">
        <f t="shared" si="38"/>
        <v>420028.27054941969</v>
      </c>
      <c r="CI58" s="12">
        <f t="shared" si="38"/>
        <v>420028.27054941969</v>
      </c>
      <c r="CJ58" s="12">
        <f t="shared" si="38"/>
        <v>420028.27054941969</v>
      </c>
      <c r="CK58" s="12">
        <f t="shared" si="38"/>
        <v>420028.27054941969</v>
      </c>
      <c r="CL58" s="12">
        <f t="shared" si="38"/>
        <v>420028.27054941969</v>
      </c>
      <c r="CM58" s="12">
        <f t="shared" si="38"/>
        <v>420028.27054941969</v>
      </c>
      <c r="CN58" s="12">
        <f t="shared" si="38"/>
        <v>420028.27054941969</v>
      </c>
      <c r="CO58" s="12">
        <f t="shared" si="38"/>
        <v>420028.27054941969</v>
      </c>
      <c r="CP58" s="12">
        <f t="shared" si="38"/>
        <v>420028.27054941969</v>
      </c>
      <c r="CQ58" s="12">
        <f t="shared" si="38"/>
        <v>420028.27054941969</v>
      </c>
      <c r="CR58" s="12">
        <f t="shared" si="38"/>
        <v>420028.27054941969</v>
      </c>
      <c r="CS58" s="12">
        <f t="shared" si="38"/>
        <v>420028.27054941969</v>
      </c>
      <c r="CT58" s="12">
        <f t="shared" si="38"/>
        <v>420028.27054941969</v>
      </c>
      <c r="CU58" s="12">
        <f t="shared" si="38"/>
        <v>420028.27054941969</v>
      </c>
      <c r="CV58" s="12">
        <f t="shared" si="38"/>
        <v>420028.27054941969</v>
      </c>
    </row>
    <row r="59" spans="1:100">
      <c r="A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W59" s="12" t="s">
        <v>259</v>
      </c>
      <c r="X59" s="12"/>
      <c r="Y59" s="12"/>
      <c r="Z59" s="12">
        <f t="shared" ref="Z59:AA59" si="39">Z16-Z47</f>
        <v>1062007.5436814283</v>
      </c>
      <c r="AA59" s="12">
        <f t="shared" si="39"/>
        <v>1102651.8801706939</v>
      </c>
      <c r="AB59" s="12"/>
      <c r="AC59" s="12"/>
      <c r="AD59" s="12"/>
      <c r="AE59" s="12"/>
      <c r="AJ59" s="12" t="s">
        <v>261</v>
      </c>
      <c r="AN59" s="12">
        <f t="shared" ref="AN59" si="40">AN6*$AE$4/100 + AN18*$AC$4/100 + AN30*$AD$4/100</f>
        <v>215597.26598086473</v>
      </c>
      <c r="AO59" s="12">
        <f t="shared" ref="AO59:BS59" si="41">AO6*$AE$4/100 + AO18*$AC$4/100 + AO30*$AD$4/100</f>
        <v>220474.07613735192</v>
      </c>
      <c r="AP59" s="12">
        <f t="shared" si="41"/>
        <v>222852.99141887395</v>
      </c>
      <c r="AQ59" s="12">
        <f t="shared" si="41"/>
        <v>226694.97699093533</v>
      </c>
      <c r="AR59" s="12">
        <f t="shared" si="41"/>
        <v>231682.26648473591</v>
      </c>
      <c r="AS59" s="12">
        <f t="shared" si="41"/>
        <v>235389.1827484917</v>
      </c>
      <c r="AT59" s="12">
        <f t="shared" si="41"/>
        <v>239861.57722071296</v>
      </c>
      <c r="AU59" s="12">
        <f t="shared" si="41"/>
        <v>244418.94718790648</v>
      </c>
      <c r="AV59" s="12">
        <f t="shared" si="41"/>
        <v>249307.32613166462</v>
      </c>
      <c r="AW59" s="12">
        <f t="shared" si="41"/>
        <v>254418.12631736376</v>
      </c>
      <c r="AX59" s="12">
        <f t="shared" si="41"/>
        <v>259760.90697002836</v>
      </c>
      <c r="AY59" s="12">
        <f t="shared" si="41"/>
        <v>265345.76646988397</v>
      </c>
      <c r="AZ59" s="12">
        <f t="shared" si="41"/>
        <v>271183.37333222141</v>
      </c>
      <c r="BA59" s="12">
        <f t="shared" si="41"/>
        <v>277149.40754553035</v>
      </c>
      <c r="BB59" s="12">
        <f t="shared" si="41"/>
        <v>283246.69451153197</v>
      </c>
      <c r="BC59" s="12">
        <f t="shared" si="41"/>
        <v>289478.12179078569</v>
      </c>
      <c r="BD59" s="12">
        <f t="shared" si="41"/>
        <v>295846.64047018299</v>
      </c>
      <c r="BE59" s="12">
        <f t="shared" si="41"/>
        <v>302355.26656052703</v>
      </c>
      <c r="BF59" s="12">
        <f t="shared" si="41"/>
        <v>309007.08242485859</v>
      </c>
      <c r="BG59" s="12">
        <f t="shared" si="41"/>
        <v>315805.23823820549</v>
      </c>
      <c r="BH59" s="12">
        <f t="shared" si="41"/>
        <v>315805.23823820549</v>
      </c>
      <c r="BI59" s="12">
        <f t="shared" si="41"/>
        <v>315805.23823820549</v>
      </c>
      <c r="BJ59" s="12">
        <f t="shared" si="41"/>
        <v>315805.23823820549</v>
      </c>
      <c r="BK59" s="12">
        <f t="shared" si="41"/>
        <v>315805.23823820549</v>
      </c>
      <c r="BL59" s="12">
        <f t="shared" si="41"/>
        <v>315805.23823820549</v>
      </c>
      <c r="BM59" s="12">
        <f t="shared" si="41"/>
        <v>315805.23823820549</v>
      </c>
      <c r="BN59" s="12">
        <f t="shared" si="41"/>
        <v>315805.23823820549</v>
      </c>
      <c r="BO59" s="12">
        <f t="shared" si="41"/>
        <v>315805.23823820549</v>
      </c>
      <c r="BP59" s="12">
        <f t="shared" si="41"/>
        <v>315805.23823820549</v>
      </c>
      <c r="BQ59" s="12">
        <f t="shared" si="41"/>
        <v>315805.23823820549</v>
      </c>
      <c r="BR59" s="12">
        <f t="shared" si="41"/>
        <v>315805.23823820549</v>
      </c>
      <c r="BS59" s="12">
        <f t="shared" si="41"/>
        <v>315805.23823820549</v>
      </c>
      <c r="BT59" s="12">
        <f t="shared" ref="BT59:CV59" si="42">BT6*$AE$4/100 + BT18*$AC$4/100 + BT30*$AD$4/100</f>
        <v>315805.23823820549</v>
      </c>
      <c r="BU59" s="12">
        <f t="shared" si="42"/>
        <v>315805.23823820549</v>
      </c>
      <c r="BV59" s="12">
        <f t="shared" si="42"/>
        <v>315805.23823820549</v>
      </c>
      <c r="BW59" s="12">
        <f t="shared" si="42"/>
        <v>315805.23823820549</v>
      </c>
      <c r="BX59" s="12">
        <f t="shared" si="42"/>
        <v>315805.23823820549</v>
      </c>
      <c r="BY59" s="12">
        <f t="shared" si="42"/>
        <v>315805.23823820549</v>
      </c>
      <c r="BZ59" s="12">
        <f t="shared" si="42"/>
        <v>315805.23823820549</v>
      </c>
      <c r="CA59" s="12">
        <f t="shared" si="42"/>
        <v>315805.23823820549</v>
      </c>
      <c r="CB59" s="12">
        <f t="shared" si="42"/>
        <v>315805.23823820549</v>
      </c>
      <c r="CC59" s="12">
        <f t="shared" si="42"/>
        <v>315805.23823820549</v>
      </c>
      <c r="CD59" s="12">
        <f t="shared" si="42"/>
        <v>315805.23823820549</v>
      </c>
      <c r="CE59" s="12">
        <f t="shared" si="42"/>
        <v>315805.23823820549</v>
      </c>
      <c r="CF59" s="12">
        <f t="shared" si="42"/>
        <v>315805.23823820549</v>
      </c>
      <c r="CG59" s="12">
        <f t="shared" si="42"/>
        <v>315805.23823820549</v>
      </c>
      <c r="CH59" s="12">
        <f t="shared" si="42"/>
        <v>315805.23823820549</v>
      </c>
      <c r="CI59" s="12">
        <f t="shared" si="42"/>
        <v>315805.23823820549</v>
      </c>
      <c r="CJ59" s="12">
        <f t="shared" si="42"/>
        <v>315805.23823820549</v>
      </c>
      <c r="CK59" s="12">
        <f t="shared" si="42"/>
        <v>315805.23823820549</v>
      </c>
      <c r="CL59" s="12">
        <f t="shared" si="42"/>
        <v>315805.23823820549</v>
      </c>
      <c r="CM59" s="12">
        <f t="shared" si="42"/>
        <v>315805.23823820549</v>
      </c>
      <c r="CN59" s="12">
        <f t="shared" si="42"/>
        <v>315805.23823820549</v>
      </c>
      <c r="CO59" s="12">
        <f t="shared" si="42"/>
        <v>315805.23823820549</v>
      </c>
      <c r="CP59" s="12">
        <f t="shared" si="42"/>
        <v>315805.23823820549</v>
      </c>
      <c r="CQ59" s="12">
        <f t="shared" si="42"/>
        <v>315805.23823820549</v>
      </c>
      <c r="CR59" s="12">
        <f t="shared" si="42"/>
        <v>315805.23823820549</v>
      </c>
      <c r="CS59" s="12">
        <f t="shared" si="42"/>
        <v>315805.23823820549</v>
      </c>
      <c r="CT59" s="12">
        <f t="shared" si="42"/>
        <v>315805.23823820549</v>
      </c>
      <c r="CU59" s="12">
        <f t="shared" si="42"/>
        <v>315805.23823820549</v>
      </c>
      <c r="CV59" s="12">
        <f t="shared" si="42"/>
        <v>315805.23823820549</v>
      </c>
    </row>
    <row r="60" spans="1:100">
      <c r="A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W60" s="12" t="s">
        <v>260</v>
      </c>
      <c r="X60" s="12"/>
      <c r="Y60" s="12"/>
      <c r="Z60" s="12">
        <f t="shared" ref="Z60:AA66" si="43">Z17-Z48</f>
        <v>1188712.9662073667</v>
      </c>
      <c r="AA60" s="12">
        <f t="shared" si="43"/>
        <v>1213547.0821965318</v>
      </c>
      <c r="AB60" s="12"/>
      <c r="AC60" s="12"/>
      <c r="AD60" s="12"/>
      <c r="AE60" s="12"/>
      <c r="AJ60" s="12" t="s">
        <v>262</v>
      </c>
      <c r="AN60" s="12">
        <f t="shared" ref="AN60" si="44">AN7*$AE$4/100 + AN19*$AC$4/100 + AN31*$AD$4/100</f>
        <v>266860.49013207975</v>
      </c>
      <c r="AO60" s="12">
        <f t="shared" ref="AO60:BS60" si="45">AO7*$AE$4/100 + AO19*$AC$4/100 + AO31*$AD$4/100</f>
        <v>272896.8744188674</v>
      </c>
      <c r="AP60" s="12">
        <f t="shared" si="45"/>
        <v>275841.43169384694</v>
      </c>
      <c r="AQ60" s="12">
        <f t="shared" si="45"/>
        <v>280596.93797624891</v>
      </c>
      <c r="AR60" s="12">
        <f t="shared" si="45"/>
        <v>286770.07061172638</v>
      </c>
      <c r="AS60" s="12">
        <f t="shared" si="45"/>
        <v>291358.39174151397</v>
      </c>
      <c r="AT60" s="12">
        <f t="shared" si="45"/>
        <v>296894.20118460275</v>
      </c>
      <c r="AU60" s="12">
        <f t="shared" si="45"/>
        <v>302535.19100711017</v>
      </c>
      <c r="AV60" s="12">
        <f t="shared" si="45"/>
        <v>308585.89482725237</v>
      </c>
      <c r="AW60" s="12">
        <f t="shared" si="45"/>
        <v>314911.90567121108</v>
      </c>
      <c r="AX60" s="12">
        <f t="shared" si="45"/>
        <v>321525.05569030647</v>
      </c>
      <c r="AY60" s="12">
        <f t="shared" si="45"/>
        <v>328437.84438764805</v>
      </c>
      <c r="AZ60" s="12">
        <f t="shared" si="45"/>
        <v>335663.47696417634</v>
      </c>
      <c r="BA60" s="12">
        <f t="shared" si="45"/>
        <v>343048.07345738821</v>
      </c>
      <c r="BB60" s="12">
        <f t="shared" si="45"/>
        <v>350595.13107345079</v>
      </c>
      <c r="BC60" s="12">
        <f t="shared" si="45"/>
        <v>358308.22395706672</v>
      </c>
      <c r="BD60" s="12">
        <f t="shared" si="45"/>
        <v>366191.00488412217</v>
      </c>
      <c r="BE60" s="12">
        <f t="shared" si="45"/>
        <v>374247.20699157286</v>
      </c>
      <c r="BF60" s="12">
        <f t="shared" si="45"/>
        <v>382480.64554538747</v>
      </c>
      <c r="BG60" s="12">
        <f t="shared" si="45"/>
        <v>390895.21974738594</v>
      </c>
      <c r="BH60" s="12">
        <f t="shared" si="45"/>
        <v>390895.21974738594</v>
      </c>
      <c r="BI60" s="12">
        <f t="shared" si="45"/>
        <v>390895.21974738594</v>
      </c>
      <c r="BJ60" s="12">
        <f t="shared" si="45"/>
        <v>390895.21974738594</v>
      </c>
      <c r="BK60" s="12">
        <f t="shared" si="45"/>
        <v>390895.21974738594</v>
      </c>
      <c r="BL60" s="12">
        <f t="shared" si="45"/>
        <v>390895.21974738594</v>
      </c>
      <c r="BM60" s="12">
        <f t="shared" si="45"/>
        <v>390895.21974738594</v>
      </c>
      <c r="BN60" s="12">
        <f t="shared" si="45"/>
        <v>390895.21974738594</v>
      </c>
      <c r="BO60" s="12">
        <f t="shared" si="45"/>
        <v>390895.21974738594</v>
      </c>
      <c r="BP60" s="12">
        <f t="shared" si="45"/>
        <v>390895.21974738594</v>
      </c>
      <c r="BQ60" s="12">
        <f t="shared" si="45"/>
        <v>390895.21974738594</v>
      </c>
      <c r="BR60" s="12">
        <f t="shared" si="45"/>
        <v>390895.21974738594</v>
      </c>
      <c r="BS60" s="12">
        <f t="shared" si="45"/>
        <v>390895.21974738594</v>
      </c>
      <c r="BT60" s="12">
        <f t="shared" ref="BT60:CV60" si="46">BT7*$AE$4/100 + BT19*$AC$4/100 + BT31*$AD$4/100</f>
        <v>390895.21974738594</v>
      </c>
      <c r="BU60" s="12">
        <f t="shared" si="46"/>
        <v>390895.21974738594</v>
      </c>
      <c r="BV60" s="12">
        <f t="shared" si="46"/>
        <v>390895.21974738594</v>
      </c>
      <c r="BW60" s="12">
        <f t="shared" si="46"/>
        <v>390895.21974738594</v>
      </c>
      <c r="BX60" s="12">
        <f t="shared" si="46"/>
        <v>390895.21974738594</v>
      </c>
      <c r="BY60" s="12">
        <f t="shared" si="46"/>
        <v>390895.21974738594</v>
      </c>
      <c r="BZ60" s="12">
        <f t="shared" si="46"/>
        <v>390895.21974738594</v>
      </c>
      <c r="CA60" s="12">
        <f t="shared" si="46"/>
        <v>390895.21974738594</v>
      </c>
      <c r="CB60" s="12">
        <f t="shared" si="46"/>
        <v>390895.21974738594</v>
      </c>
      <c r="CC60" s="12">
        <f t="shared" si="46"/>
        <v>390895.21974738594</v>
      </c>
      <c r="CD60" s="12">
        <f t="shared" si="46"/>
        <v>390895.21974738594</v>
      </c>
      <c r="CE60" s="12">
        <f t="shared" si="46"/>
        <v>390895.21974738594</v>
      </c>
      <c r="CF60" s="12">
        <f t="shared" si="46"/>
        <v>390895.21974738594</v>
      </c>
      <c r="CG60" s="12">
        <f t="shared" si="46"/>
        <v>390895.21974738594</v>
      </c>
      <c r="CH60" s="12">
        <f t="shared" si="46"/>
        <v>390895.21974738594</v>
      </c>
      <c r="CI60" s="12">
        <f t="shared" si="46"/>
        <v>390895.21974738594</v>
      </c>
      <c r="CJ60" s="12">
        <f t="shared" si="46"/>
        <v>390895.21974738594</v>
      </c>
      <c r="CK60" s="12">
        <f t="shared" si="46"/>
        <v>390895.21974738594</v>
      </c>
      <c r="CL60" s="12">
        <f t="shared" si="46"/>
        <v>390895.21974738594</v>
      </c>
      <c r="CM60" s="12">
        <f t="shared" si="46"/>
        <v>390895.21974738594</v>
      </c>
      <c r="CN60" s="12">
        <f t="shared" si="46"/>
        <v>390895.21974738594</v>
      </c>
      <c r="CO60" s="12">
        <f t="shared" si="46"/>
        <v>390895.21974738594</v>
      </c>
      <c r="CP60" s="12">
        <f t="shared" si="46"/>
        <v>390895.21974738594</v>
      </c>
      <c r="CQ60" s="12">
        <f t="shared" si="46"/>
        <v>390895.21974738594</v>
      </c>
      <c r="CR60" s="12">
        <f t="shared" si="46"/>
        <v>390895.21974738594</v>
      </c>
      <c r="CS60" s="12">
        <f t="shared" si="46"/>
        <v>390895.21974738594</v>
      </c>
      <c r="CT60" s="12">
        <f t="shared" si="46"/>
        <v>390895.21974738594</v>
      </c>
      <c r="CU60" s="12">
        <f t="shared" si="46"/>
        <v>390895.21974738594</v>
      </c>
      <c r="CV60" s="12">
        <f t="shared" si="46"/>
        <v>390895.21974738594</v>
      </c>
    </row>
    <row r="61" spans="1:100" s="12" customFormat="1">
      <c r="W61" s="12" t="s">
        <v>261</v>
      </c>
      <c r="Z61" s="12">
        <f t="shared" si="43"/>
        <v>919501.79628924222</v>
      </c>
      <c r="AA61" s="12">
        <f t="shared" si="43"/>
        <v>921642.93671530613</v>
      </c>
      <c r="AJ61" s="12" t="s">
        <v>263</v>
      </c>
      <c r="AN61" s="12">
        <f t="shared" ref="AN61:CV61" si="47">AN8*$AE$4/100 + AN20*$AC$4/100 + AN32*$AD$4/100</f>
        <v>128559.4015039122</v>
      </c>
      <c r="AO61" s="12">
        <f t="shared" si="47"/>
        <v>131467.4151659307</v>
      </c>
      <c r="AP61" s="12">
        <f t="shared" si="47"/>
        <v>132885.94857557109</v>
      </c>
      <c r="AQ61" s="12">
        <f t="shared" si="47"/>
        <v>135176.90232901397</v>
      </c>
      <c r="AR61" s="12">
        <f t="shared" si="47"/>
        <v>138150.79418025224</v>
      </c>
      <c r="AS61" s="12">
        <f t="shared" si="47"/>
        <v>140361.20688713627</v>
      </c>
      <c r="AT61" s="12">
        <f t="shared" si="47"/>
        <v>143028.06981799187</v>
      </c>
      <c r="AU61" s="12">
        <f t="shared" si="47"/>
        <v>145745.6031445337</v>
      </c>
      <c r="AV61" s="12">
        <f t="shared" si="47"/>
        <v>148660.51520742435</v>
      </c>
      <c r="AW61" s="12">
        <f t="shared" si="47"/>
        <v>151708.05576917657</v>
      </c>
      <c r="AX61" s="12">
        <f t="shared" si="47"/>
        <v>154893.92494032925</v>
      </c>
      <c r="AY61" s="12">
        <f t="shared" si="47"/>
        <v>158224.14432654635</v>
      </c>
      <c r="AZ61" s="12">
        <f t="shared" si="47"/>
        <v>161705.07550173037</v>
      </c>
      <c r="BA61" s="12">
        <f t="shared" si="47"/>
        <v>165262.58716276841</v>
      </c>
      <c r="BB61" s="12">
        <f t="shared" si="47"/>
        <v>168898.36408034933</v>
      </c>
      <c r="BC61" s="12">
        <f t="shared" si="47"/>
        <v>172614.12809011701</v>
      </c>
      <c r="BD61" s="12">
        <f t="shared" si="47"/>
        <v>176411.63890809962</v>
      </c>
      <c r="BE61" s="12">
        <f t="shared" si="47"/>
        <v>180292.69496407785</v>
      </c>
      <c r="BF61" s="12">
        <f t="shared" si="47"/>
        <v>184259.13425328751</v>
      </c>
      <c r="BG61" s="12">
        <f t="shared" si="47"/>
        <v>188312.83520685986</v>
      </c>
      <c r="BH61" s="12">
        <f t="shared" si="47"/>
        <v>188312.83520685986</v>
      </c>
      <c r="BI61" s="12">
        <f t="shared" si="47"/>
        <v>188312.83520685986</v>
      </c>
      <c r="BJ61" s="12">
        <f t="shared" si="47"/>
        <v>188312.83520685986</v>
      </c>
      <c r="BK61" s="12">
        <f t="shared" si="47"/>
        <v>188312.83520685986</v>
      </c>
      <c r="BL61" s="12">
        <f t="shared" si="47"/>
        <v>188312.83520685986</v>
      </c>
      <c r="BM61" s="12">
        <f t="shared" si="47"/>
        <v>188312.83520685986</v>
      </c>
      <c r="BN61" s="12">
        <f t="shared" si="47"/>
        <v>188312.83520685986</v>
      </c>
      <c r="BO61" s="12">
        <f t="shared" si="47"/>
        <v>188312.83520685986</v>
      </c>
      <c r="BP61" s="12">
        <f t="shared" si="47"/>
        <v>188312.83520685986</v>
      </c>
      <c r="BQ61" s="12">
        <f t="shared" si="47"/>
        <v>188312.83520685986</v>
      </c>
      <c r="BR61" s="12">
        <f t="shared" si="47"/>
        <v>188312.83520685986</v>
      </c>
      <c r="BS61" s="12">
        <f t="shared" si="47"/>
        <v>188312.83520685986</v>
      </c>
      <c r="BT61" s="12">
        <f t="shared" si="47"/>
        <v>188312.83520685986</v>
      </c>
      <c r="BU61" s="12">
        <f t="shared" si="47"/>
        <v>188312.83520685986</v>
      </c>
      <c r="BV61" s="12">
        <f t="shared" si="47"/>
        <v>188312.83520685986</v>
      </c>
      <c r="BW61" s="12">
        <f t="shared" si="47"/>
        <v>188312.83520685986</v>
      </c>
      <c r="BX61" s="12">
        <f t="shared" si="47"/>
        <v>188312.83520685986</v>
      </c>
      <c r="BY61" s="12">
        <f t="shared" si="47"/>
        <v>188312.83520685986</v>
      </c>
      <c r="BZ61" s="12">
        <f t="shared" si="47"/>
        <v>188312.83520685986</v>
      </c>
      <c r="CA61" s="12">
        <f t="shared" si="47"/>
        <v>188312.83520685986</v>
      </c>
      <c r="CB61" s="12">
        <f t="shared" si="47"/>
        <v>188312.83520685986</v>
      </c>
      <c r="CC61" s="12">
        <f t="shared" si="47"/>
        <v>188312.83520685986</v>
      </c>
      <c r="CD61" s="12">
        <f t="shared" si="47"/>
        <v>188312.83520685986</v>
      </c>
      <c r="CE61" s="12">
        <f t="shared" si="47"/>
        <v>188312.83520685986</v>
      </c>
      <c r="CF61" s="12">
        <f t="shared" si="47"/>
        <v>188312.83520685986</v>
      </c>
      <c r="CG61" s="12">
        <f t="shared" si="47"/>
        <v>188312.83520685986</v>
      </c>
      <c r="CH61" s="12">
        <f t="shared" si="47"/>
        <v>188312.83520685986</v>
      </c>
      <c r="CI61" s="12">
        <f t="shared" si="47"/>
        <v>188312.83520685986</v>
      </c>
      <c r="CJ61" s="12">
        <f t="shared" si="47"/>
        <v>188312.83520685986</v>
      </c>
      <c r="CK61" s="12">
        <f t="shared" si="47"/>
        <v>188312.83520685986</v>
      </c>
      <c r="CL61" s="12">
        <f t="shared" si="47"/>
        <v>188312.83520685986</v>
      </c>
      <c r="CM61" s="12">
        <f t="shared" si="47"/>
        <v>188312.83520685986</v>
      </c>
      <c r="CN61" s="12">
        <f t="shared" si="47"/>
        <v>188312.83520685986</v>
      </c>
      <c r="CO61" s="12">
        <f t="shared" si="47"/>
        <v>188312.83520685986</v>
      </c>
      <c r="CP61" s="12">
        <f t="shared" si="47"/>
        <v>188312.83520685986</v>
      </c>
      <c r="CQ61" s="12">
        <f t="shared" si="47"/>
        <v>188312.83520685986</v>
      </c>
      <c r="CR61" s="12">
        <f t="shared" si="47"/>
        <v>188312.83520685986</v>
      </c>
      <c r="CS61" s="12">
        <f t="shared" si="47"/>
        <v>188312.83520685986</v>
      </c>
      <c r="CT61" s="12">
        <f t="shared" si="47"/>
        <v>188312.83520685986</v>
      </c>
      <c r="CU61" s="12">
        <f t="shared" si="47"/>
        <v>188312.83520685986</v>
      </c>
      <c r="CV61" s="12">
        <f t="shared" si="47"/>
        <v>188312.83520685986</v>
      </c>
    </row>
    <row r="62" spans="1:100" s="12" customFormat="1">
      <c r="W62" s="12" t="s">
        <v>262</v>
      </c>
      <c r="Z62" s="12">
        <f t="shared" si="43"/>
        <v>1062555.9137331625</v>
      </c>
      <c r="AA62" s="12">
        <f t="shared" si="43"/>
        <v>1069977.8474239907</v>
      </c>
      <c r="AJ62" s="12" t="s">
        <v>264</v>
      </c>
      <c r="AN62" s="12">
        <f t="shared" ref="AN62:CV62" si="48">AN9*$AE$4/100 + AN21*$AC$4/100 + AN33*$AD$4/100</f>
        <v>165655.66582868795</v>
      </c>
      <c r="AO62" s="12">
        <f t="shared" si="48"/>
        <v>169402.79698973289</v>
      </c>
      <c r="AP62" s="12">
        <f t="shared" si="48"/>
        <v>171230.65316925215</v>
      </c>
      <c r="AQ62" s="12">
        <f t="shared" si="48"/>
        <v>174182.66962989004</v>
      </c>
      <c r="AR62" s="12">
        <f t="shared" si="48"/>
        <v>178014.6883617476</v>
      </c>
      <c r="AS62" s="12">
        <f t="shared" si="48"/>
        <v>180862.92337553558</v>
      </c>
      <c r="AT62" s="12">
        <f t="shared" si="48"/>
        <v>184299.31891967074</v>
      </c>
      <c r="AU62" s="12">
        <f t="shared" si="48"/>
        <v>187801.00597914442</v>
      </c>
      <c r="AV62" s="12">
        <f t="shared" si="48"/>
        <v>191557.02609872734</v>
      </c>
      <c r="AW62" s="12">
        <f t="shared" si="48"/>
        <v>195483.94513375126</v>
      </c>
      <c r="AX62" s="12">
        <f t="shared" si="48"/>
        <v>199589.10798156</v>
      </c>
      <c r="AY62" s="12">
        <f t="shared" si="48"/>
        <v>203880.27380316358</v>
      </c>
      <c r="AZ62" s="12">
        <f t="shared" si="48"/>
        <v>208365.63982683315</v>
      </c>
      <c r="BA62" s="12">
        <f t="shared" si="48"/>
        <v>212949.68390302348</v>
      </c>
      <c r="BB62" s="12">
        <f t="shared" si="48"/>
        <v>217634.57694889006</v>
      </c>
      <c r="BC62" s="12">
        <f t="shared" si="48"/>
        <v>222422.53764176561</v>
      </c>
      <c r="BD62" s="12">
        <f t="shared" si="48"/>
        <v>227315.83346988444</v>
      </c>
      <c r="BE62" s="12">
        <f t="shared" si="48"/>
        <v>232316.7818062219</v>
      </c>
      <c r="BF62" s="12">
        <f t="shared" si="48"/>
        <v>237427.75100595882</v>
      </c>
      <c r="BG62" s="12">
        <f t="shared" si="48"/>
        <v>242651.1615280899</v>
      </c>
      <c r="BH62" s="12">
        <f t="shared" si="48"/>
        <v>242651.1615280899</v>
      </c>
      <c r="BI62" s="12">
        <f t="shared" si="48"/>
        <v>242651.1615280899</v>
      </c>
      <c r="BJ62" s="12">
        <f t="shared" si="48"/>
        <v>242651.1615280899</v>
      </c>
      <c r="BK62" s="12">
        <f t="shared" si="48"/>
        <v>242651.1615280899</v>
      </c>
      <c r="BL62" s="12">
        <f t="shared" si="48"/>
        <v>242651.1615280899</v>
      </c>
      <c r="BM62" s="12">
        <f t="shared" si="48"/>
        <v>242651.1615280899</v>
      </c>
      <c r="BN62" s="12">
        <f t="shared" si="48"/>
        <v>242651.1615280899</v>
      </c>
      <c r="BO62" s="12">
        <f t="shared" si="48"/>
        <v>242651.1615280899</v>
      </c>
      <c r="BP62" s="12">
        <f t="shared" si="48"/>
        <v>242651.1615280899</v>
      </c>
      <c r="BQ62" s="12">
        <f t="shared" si="48"/>
        <v>242651.1615280899</v>
      </c>
      <c r="BR62" s="12">
        <f t="shared" si="48"/>
        <v>242651.1615280899</v>
      </c>
      <c r="BS62" s="12">
        <f t="shared" si="48"/>
        <v>242651.1615280899</v>
      </c>
      <c r="BT62" s="12">
        <f t="shared" si="48"/>
        <v>242651.1615280899</v>
      </c>
      <c r="BU62" s="12">
        <f t="shared" si="48"/>
        <v>242651.1615280899</v>
      </c>
      <c r="BV62" s="12">
        <f t="shared" si="48"/>
        <v>242651.1615280899</v>
      </c>
      <c r="BW62" s="12">
        <f t="shared" si="48"/>
        <v>242651.1615280899</v>
      </c>
      <c r="BX62" s="12">
        <f t="shared" si="48"/>
        <v>242651.1615280899</v>
      </c>
      <c r="BY62" s="12">
        <f t="shared" si="48"/>
        <v>242651.1615280899</v>
      </c>
      <c r="BZ62" s="12">
        <f t="shared" si="48"/>
        <v>242651.1615280899</v>
      </c>
      <c r="CA62" s="12">
        <f t="shared" si="48"/>
        <v>242651.1615280899</v>
      </c>
      <c r="CB62" s="12">
        <f t="shared" si="48"/>
        <v>242651.1615280899</v>
      </c>
      <c r="CC62" s="12">
        <f t="shared" si="48"/>
        <v>242651.1615280899</v>
      </c>
      <c r="CD62" s="12">
        <f t="shared" si="48"/>
        <v>242651.1615280899</v>
      </c>
      <c r="CE62" s="12">
        <f t="shared" si="48"/>
        <v>242651.1615280899</v>
      </c>
      <c r="CF62" s="12">
        <f t="shared" si="48"/>
        <v>242651.1615280899</v>
      </c>
      <c r="CG62" s="12">
        <f t="shared" si="48"/>
        <v>242651.1615280899</v>
      </c>
      <c r="CH62" s="12">
        <f t="shared" si="48"/>
        <v>242651.1615280899</v>
      </c>
      <c r="CI62" s="12">
        <f t="shared" si="48"/>
        <v>242651.1615280899</v>
      </c>
      <c r="CJ62" s="12">
        <f t="shared" si="48"/>
        <v>242651.1615280899</v>
      </c>
      <c r="CK62" s="12">
        <f t="shared" si="48"/>
        <v>242651.1615280899</v>
      </c>
      <c r="CL62" s="12">
        <f t="shared" si="48"/>
        <v>242651.1615280899</v>
      </c>
      <c r="CM62" s="12">
        <f t="shared" si="48"/>
        <v>242651.1615280899</v>
      </c>
      <c r="CN62" s="12">
        <f t="shared" si="48"/>
        <v>242651.1615280899</v>
      </c>
      <c r="CO62" s="12">
        <f t="shared" si="48"/>
        <v>242651.1615280899</v>
      </c>
      <c r="CP62" s="12">
        <f t="shared" si="48"/>
        <v>242651.1615280899</v>
      </c>
      <c r="CQ62" s="12">
        <f t="shared" si="48"/>
        <v>242651.1615280899</v>
      </c>
      <c r="CR62" s="12">
        <f t="shared" si="48"/>
        <v>242651.1615280899</v>
      </c>
      <c r="CS62" s="12">
        <f t="shared" si="48"/>
        <v>242651.1615280899</v>
      </c>
      <c r="CT62" s="12">
        <f t="shared" si="48"/>
        <v>242651.1615280899</v>
      </c>
      <c r="CU62" s="12">
        <f t="shared" si="48"/>
        <v>242651.1615280899</v>
      </c>
      <c r="CV62" s="12">
        <f t="shared" si="48"/>
        <v>242651.1615280899</v>
      </c>
    </row>
    <row r="63" spans="1:100" s="12" customFormat="1">
      <c r="W63" s="12" t="s">
        <v>263</v>
      </c>
      <c r="Z63" s="12">
        <f t="shared" si="43"/>
        <v>486330.46164350171</v>
      </c>
      <c r="AA63" s="12">
        <f t="shared" si="43"/>
        <v>502468.31672823697</v>
      </c>
      <c r="AJ63" s="12" t="s">
        <v>265</v>
      </c>
      <c r="AN63" s="12">
        <f t="shared" ref="AN63:CV63" si="49">AN10*$AE$4/100 + AN22*$AC$4/100 + AN34*$AD$4/100</f>
        <v>1075944.4715709116</v>
      </c>
      <c r="AO63" s="12">
        <f t="shared" si="49"/>
        <v>1100282.3355178456</v>
      </c>
      <c r="AP63" s="12">
        <f t="shared" si="49"/>
        <v>1112154.3819180832</v>
      </c>
      <c r="AQ63" s="12">
        <f t="shared" si="49"/>
        <v>1131327.9234623509</v>
      </c>
      <c r="AR63" s="12">
        <f t="shared" si="49"/>
        <v>1156217.1377785224</v>
      </c>
      <c r="AS63" s="12">
        <f t="shared" si="49"/>
        <v>1174716.6119829789</v>
      </c>
      <c r="AT63" s="12">
        <f t="shared" si="49"/>
        <v>1197036.2276106556</v>
      </c>
      <c r="AU63" s="12">
        <f t="shared" si="49"/>
        <v>1219779.9159352579</v>
      </c>
      <c r="AV63" s="12">
        <f t="shared" si="49"/>
        <v>1244175.514253963</v>
      </c>
      <c r="AW63" s="12">
        <f t="shared" si="49"/>
        <v>1269681.1122961692</v>
      </c>
      <c r="AX63" s="12">
        <f t="shared" si="49"/>
        <v>1296344.4156543887</v>
      </c>
      <c r="AY63" s="12">
        <f t="shared" si="49"/>
        <v>1324215.820590958</v>
      </c>
      <c r="AZ63" s="12">
        <f t="shared" si="49"/>
        <v>1353348.5686439592</v>
      </c>
      <c r="BA63" s="12">
        <f t="shared" si="49"/>
        <v>1383122.2371541264</v>
      </c>
      <c r="BB63" s="12">
        <f t="shared" si="49"/>
        <v>1413550.9263715171</v>
      </c>
      <c r="BC63" s="12">
        <f t="shared" si="49"/>
        <v>1444649.0467516906</v>
      </c>
      <c r="BD63" s="12">
        <f t="shared" si="49"/>
        <v>1476431.3257802278</v>
      </c>
      <c r="BE63" s="12">
        <f t="shared" si="49"/>
        <v>1508912.814947393</v>
      </c>
      <c r="BF63" s="12">
        <f t="shared" si="49"/>
        <v>1542108.8968762357</v>
      </c>
      <c r="BG63" s="12">
        <f t="shared" si="49"/>
        <v>1576035.292607513</v>
      </c>
      <c r="BH63" s="12">
        <f t="shared" si="49"/>
        <v>1576035.292607513</v>
      </c>
      <c r="BI63" s="12">
        <f t="shared" si="49"/>
        <v>1576035.292607513</v>
      </c>
      <c r="BJ63" s="12">
        <f t="shared" si="49"/>
        <v>1576035.292607513</v>
      </c>
      <c r="BK63" s="12">
        <f t="shared" si="49"/>
        <v>1576035.292607513</v>
      </c>
      <c r="BL63" s="12">
        <f t="shared" si="49"/>
        <v>1576035.292607513</v>
      </c>
      <c r="BM63" s="12">
        <f t="shared" si="49"/>
        <v>1576035.292607513</v>
      </c>
      <c r="BN63" s="12">
        <f t="shared" si="49"/>
        <v>1576035.292607513</v>
      </c>
      <c r="BO63" s="12">
        <f t="shared" si="49"/>
        <v>1576035.292607513</v>
      </c>
      <c r="BP63" s="12">
        <f t="shared" si="49"/>
        <v>1576035.292607513</v>
      </c>
      <c r="BQ63" s="12">
        <f t="shared" si="49"/>
        <v>1576035.292607513</v>
      </c>
      <c r="BR63" s="12">
        <f t="shared" si="49"/>
        <v>1576035.292607513</v>
      </c>
      <c r="BS63" s="12">
        <f t="shared" si="49"/>
        <v>1576035.292607513</v>
      </c>
      <c r="BT63" s="12">
        <f t="shared" si="49"/>
        <v>1576035.292607513</v>
      </c>
      <c r="BU63" s="12">
        <f t="shared" si="49"/>
        <v>1576035.292607513</v>
      </c>
      <c r="BV63" s="12">
        <f t="shared" si="49"/>
        <v>1576035.292607513</v>
      </c>
      <c r="BW63" s="12">
        <f t="shared" si="49"/>
        <v>1576035.292607513</v>
      </c>
      <c r="BX63" s="12">
        <f t="shared" si="49"/>
        <v>1576035.292607513</v>
      </c>
      <c r="BY63" s="12">
        <f t="shared" si="49"/>
        <v>1576035.292607513</v>
      </c>
      <c r="BZ63" s="12">
        <f t="shared" si="49"/>
        <v>1576035.292607513</v>
      </c>
      <c r="CA63" s="12">
        <f t="shared" si="49"/>
        <v>1576035.292607513</v>
      </c>
      <c r="CB63" s="12">
        <f t="shared" si="49"/>
        <v>1576035.292607513</v>
      </c>
      <c r="CC63" s="12">
        <f t="shared" si="49"/>
        <v>1576035.292607513</v>
      </c>
      <c r="CD63" s="12">
        <f t="shared" si="49"/>
        <v>1576035.292607513</v>
      </c>
      <c r="CE63" s="12">
        <f t="shared" si="49"/>
        <v>1576035.292607513</v>
      </c>
      <c r="CF63" s="12">
        <f t="shared" si="49"/>
        <v>1576035.292607513</v>
      </c>
      <c r="CG63" s="12">
        <f t="shared" si="49"/>
        <v>1576035.292607513</v>
      </c>
      <c r="CH63" s="12">
        <f t="shared" si="49"/>
        <v>1576035.292607513</v>
      </c>
      <c r="CI63" s="12">
        <f t="shared" si="49"/>
        <v>1576035.292607513</v>
      </c>
      <c r="CJ63" s="12">
        <f t="shared" si="49"/>
        <v>1576035.292607513</v>
      </c>
      <c r="CK63" s="12">
        <f t="shared" si="49"/>
        <v>1576035.292607513</v>
      </c>
      <c r="CL63" s="12">
        <f t="shared" si="49"/>
        <v>1576035.292607513</v>
      </c>
      <c r="CM63" s="12">
        <f t="shared" si="49"/>
        <v>1576035.292607513</v>
      </c>
      <c r="CN63" s="12">
        <f t="shared" si="49"/>
        <v>1576035.292607513</v>
      </c>
      <c r="CO63" s="12">
        <f t="shared" si="49"/>
        <v>1576035.292607513</v>
      </c>
      <c r="CP63" s="12">
        <f t="shared" si="49"/>
        <v>1576035.292607513</v>
      </c>
      <c r="CQ63" s="12">
        <f t="shared" si="49"/>
        <v>1576035.292607513</v>
      </c>
      <c r="CR63" s="12">
        <f t="shared" si="49"/>
        <v>1576035.292607513</v>
      </c>
      <c r="CS63" s="12">
        <f t="shared" si="49"/>
        <v>1576035.292607513</v>
      </c>
      <c r="CT63" s="12">
        <f t="shared" si="49"/>
        <v>1576035.292607513</v>
      </c>
      <c r="CU63" s="12">
        <f t="shared" si="49"/>
        <v>1576035.292607513</v>
      </c>
      <c r="CV63" s="12">
        <f t="shared" si="49"/>
        <v>1576035.292607513</v>
      </c>
    </row>
    <row r="64" spans="1:100"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W64" s="12" t="s">
        <v>264</v>
      </c>
      <c r="X64" s="12"/>
      <c r="Y64" s="12"/>
      <c r="Z64" s="12">
        <f t="shared" si="43"/>
        <v>599502.44761105452</v>
      </c>
      <c r="AA64" s="12">
        <f t="shared" si="43"/>
        <v>617661.34434382909</v>
      </c>
      <c r="AB64" s="12"/>
      <c r="AC64" s="12"/>
      <c r="AD64" s="12"/>
      <c r="AE64" s="12"/>
      <c r="AJ64" s="12" t="s">
        <v>92</v>
      </c>
      <c r="AN64" s="12">
        <f t="shared" ref="AN64" si="50">AN11*$AE$4/100 + AN23*$AC$4/100 + AN35*$AD$4/100</f>
        <v>998403.14852654561</v>
      </c>
      <c r="AO64" s="12">
        <f t="shared" ref="AO64:CV64" si="51">AO11*$AE$4/100 + AO23*$AC$4/100 + AO35*$AD$4/100</f>
        <v>1020987.0277462164</v>
      </c>
      <c r="AP64" s="12">
        <f t="shared" si="51"/>
        <v>1032003.4777755982</v>
      </c>
      <c r="AQ64" s="12">
        <f t="shared" si="51"/>
        <v>1049795.2177324493</v>
      </c>
      <c r="AR64" s="12">
        <f t="shared" si="51"/>
        <v>1072890.7125225633</v>
      </c>
      <c r="AS64" s="12">
        <f t="shared" si="51"/>
        <v>1090056.9639229244</v>
      </c>
      <c r="AT64" s="12">
        <f t="shared" si="51"/>
        <v>1110768.0462374599</v>
      </c>
      <c r="AU64" s="12">
        <f t="shared" si="51"/>
        <v>1131872.6391159715</v>
      </c>
      <c r="AV64" s="12">
        <f t="shared" si="51"/>
        <v>1154510.0918982909</v>
      </c>
      <c r="AW64" s="12">
        <f t="shared" si="51"/>
        <v>1178177.5487822057</v>
      </c>
      <c r="AX64" s="12">
        <f t="shared" si="51"/>
        <v>1202919.2773066317</v>
      </c>
      <c r="AY64" s="12">
        <f t="shared" si="51"/>
        <v>1228782.0417687246</v>
      </c>
      <c r="AZ64" s="12">
        <f t="shared" si="51"/>
        <v>1255815.2466876365</v>
      </c>
      <c r="BA64" s="12">
        <f t="shared" si="51"/>
        <v>1283443.1821147646</v>
      </c>
      <c r="BB64" s="12">
        <f t="shared" si="51"/>
        <v>1311678.9321212894</v>
      </c>
      <c r="BC64" s="12">
        <f t="shared" si="51"/>
        <v>1340535.868627958</v>
      </c>
      <c r="BD64" s="12">
        <f t="shared" si="51"/>
        <v>1370027.6577377729</v>
      </c>
      <c r="BE64" s="12">
        <f t="shared" si="51"/>
        <v>1400168.266208004</v>
      </c>
      <c r="BF64" s="12">
        <f t="shared" si="51"/>
        <v>1430971.9680645801</v>
      </c>
      <c r="BG64" s="12">
        <f t="shared" si="51"/>
        <v>1462453.3513620009</v>
      </c>
      <c r="BH64" s="12">
        <f t="shared" si="51"/>
        <v>1462453.3513620009</v>
      </c>
      <c r="BI64" s="12">
        <f t="shared" si="51"/>
        <v>1462453.3513620009</v>
      </c>
      <c r="BJ64" s="12">
        <f t="shared" si="51"/>
        <v>1462453.3513620009</v>
      </c>
      <c r="BK64" s="12">
        <f t="shared" si="51"/>
        <v>1462453.3513620009</v>
      </c>
      <c r="BL64" s="12">
        <f t="shared" si="51"/>
        <v>1462453.3513620009</v>
      </c>
      <c r="BM64" s="12">
        <f t="shared" si="51"/>
        <v>1462453.3513620009</v>
      </c>
      <c r="BN64" s="12">
        <f t="shared" si="51"/>
        <v>1462453.3513620009</v>
      </c>
      <c r="BO64" s="12">
        <f t="shared" si="51"/>
        <v>1462453.3513620009</v>
      </c>
      <c r="BP64" s="12">
        <f t="shared" si="51"/>
        <v>1462453.3513620009</v>
      </c>
      <c r="BQ64" s="12">
        <f t="shared" si="51"/>
        <v>1462453.3513620009</v>
      </c>
      <c r="BR64" s="12">
        <f t="shared" si="51"/>
        <v>1462453.3513620009</v>
      </c>
      <c r="BS64" s="12">
        <f t="shared" si="51"/>
        <v>1462453.3513620009</v>
      </c>
      <c r="BT64" s="12">
        <f t="shared" si="51"/>
        <v>1462453.3513620009</v>
      </c>
      <c r="BU64" s="12">
        <f t="shared" si="51"/>
        <v>1462453.3513620009</v>
      </c>
      <c r="BV64" s="12">
        <f t="shared" si="51"/>
        <v>1462453.3513620009</v>
      </c>
      <c r="BW64" s="12">
        <f t="shared" si="51"/>
        <v>1462453.3513620009</v>
      </c>
      <c r="BX64" s="12">
        <f t="shared" si="51"/>
        <v>1462453.3513620009</v>
      </c>
      <c r="BY64" s="12">
        <f t="shared" si="51"/>
        <v>1462453.3513620009</v>
      </c>
      <c r="BZ64" s="12">
        <f t="shared" si="51"/>
        <v>1462453.3513620009</v>
      </c>
      <c r="CA64" s="12">
        <f t="shared" si="51"/>
        <v>1462453.3513620009</v>
      </c>
      <c r="CB64" s="12">
        <f t="shared" si="51"/>
        <v>1462453.3513620009</v>
      </c>
      <c r="CC64" s="12">
        <f t="shared" si="51"/>
        <v>1462453.3513620009</v>
      </c>
      <c r="CD64" s="12">
        <f t="shared" si="51"/>
        <v>1462453.3513620009</v>
      </c>
      <c r="CE64" s="12">
        <f t="shared" si="51"/>
        <v>1462453.3513620009</v>
      </c>
      <c r="CF64" s="12">
        <f t="shared" si="51"/>
        <v>1462453.3513620009</v>
      </c>
      <c r="CG64" s="12">
        <f t="shared" si="51"/>
        <v>1462453.3513620009</v>
      </c>
      <c r="CH64" s="12">
        <f t="shared" si="51"/>
        <v>1462453.3513620009</v>
      </c>
      <c r="CI64" s="12">
        <f t="shared" si="51"/>
        <v>1462453.3513620009</v>
      </c>
      <c r="CJ64" s="12">
        <f t="shared" si="51"/>
        <v>1462453.3513620009</v>
      </c>
      <c r="CK64" s="12">
        <f t="shared" si="51"/>
        <v>1462453.3513620009</v>
      </c>
      <c r="CL64" s="12">
        <f t="shared" si="51"/>
        <v>1462453.3513620009</v>
      </c>
      <c r="CM64" s="12">
        <f t="shared" si="51"/>
        <v>1462453.3513620009</v>
      </c>
      <c r="CN64" s="12">
        <f t="shared" si="51"/>
        <v>1462453.3513620009</v>
      </c>
      <c r="CO64" s="12">
        <f t="shared" si="51"/>
        <v>1462453.3513620009</v>
      </c>
      <c r="CP64" s="12">
        <f t="shared" si="51"/>
        <v>1462453.3513620009</v>
      </c>
      <c r="CQ64" s="12">
        <f t="shared" si="51"/>
        <v>1462453.3513620009</v>
      </c>
      <c r="CR64" s="12">
        <f t="shared" si="51"/>
        <v>1462453.3513620009</v>
      </c>
      <c r="CS64" s="12">
        <f t="shared" si="51"/>
        <v>1462453.3513620009</v>
      </c>
      <c r="CT64" s="12">
        <f t="shared" si="51"/>
        <v>1462453.3513620009</v>
      </c>
      <c r="CU64" s="12">
        <f t="shared" si="51"/>
        <v>1462453.3513620009</v>
      </c>
      <c r="CV64" s="12">
        <f t="shared" si="51"/>
        <v>1462453.3513620009</v>
      </c>
    </row>
    <row r="65" spans="1:100">
      <c r="A65" s="8"/>
      <c r="B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W65" s="12" t="s">
        <v>265</v>
      </c>
      <c r="X65" s="12"/>
      <c r="Y65" s="12"/>
      <c r="Z65" s="12">
        <f t="shared" si="43"/>
        <v>4231509.7355173063</v>
      </c>
      <c r="AA65" s="12">
        <f t="shared" si="43"/>
        <v>4355732.2316371128</v>
      </c>
      <c r="AB65" s="12"/>
      <c r="AC65" s="12"/>
      <c r="AD65" s="12"/>
      <c r="AE65" s="12"/>
    </row>
    <row r="66" spans="1:100"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W66" s="12" t="s">
        <v>92</v>
      </c>
      <c r="X66" s="12"/>
      <c r="Y66" s="12"/>
      <c r="Z66" s="12">
        <f t="shared" si="43"/>
        <v>3684598.1421009037</v>
      </c>
      <c r="AA66" s="12">
        <f t="shared" si="43"/>
        <v>3810965.6341941687</v>
      </c>
      <c r="AB66" s="12"/>
      <c r="AC66" s="12"/>
      <c r="AD66" s="12"/>
      <c r="AE66" s="12"/>
    </row>
    <row r="67" spans="1:100">
      <c r="A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100">
      <c r="A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AJ68" s="12" t="s">
        <v>170</v>
      </c>
    </row>
    <row r="69" spans="1:100">
      <c r="A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W69" s="12" t="s">
        <v>121</v>
      </c>
      <c r="AJ69" s="12" t="s">
        <v>259</v>
      </c>
      <c r="AN69">
        <f t="shared" ref="AN69:BS69" si="52">AN4*$AE$5/100 + AN16*$AC$5/100 + AN28*$AD$5/100</f>
        <v>478661.78383973101</v>
      </c>
      <c r="AO69" s="12">
        <f t="shared" si="52"/>
        <v>489489.11339018581</v>
      </c>
      <c r="AP69" s="12">
        <f t="shared" si="52"/>
        <v>494770.70092366595</v>
      </c>
      <c r="AQ69" s="12">
        <f t="shared" si="52"/>
        <v>503300.54780758993</v>
      </c>
      <c r="AR69" s="12">
        <f t="shared" si="52"/>
        <v>514373.15985935688</v>
      </c>
      <c r="AS69" s="12">
        <f t="shared" si="52"/>
        <v>522603.13041710661</v>
      </c>
      <c r="AT69" s="12">
        <f t="shared" si="52"/>
        <v>532532.58989503165</v>
      </c>
      <c r="AU69" s="12">
        <f t="shared" si="52"/>
        <v>542650.70910303714</v>
      </c>
      <c r="AV69" s="12">
        <f t="shared" si="52"/>
        <v>553503.72328509798</v>
      </c>
      <c r="AW69" s="12">
        <f t="shared" si="52"/>
        <v>564850.5496124425</v>
      </c>
      <c r="AX69" s="12">
        <f t="shared" si="52"/>
        <v>576712.4111543037</v>
      </c>
      <c r="AY69" s="12">
        <f t="shared" si="52"/>
        <v>589111.72799412115</v>
      </c>
      <c r="AZ69" s="12">
        <f t="shared" si="52"/>
        <v>602072.18600999191</v>
      </c>
      <c r="BA69" s="12">
        <f t="shared" si="52"/>
        <v>615317.77410221181</v>
      </c>
      <c r="BB69" s="12">
        <f t="shared" si="52"/>
        <v>628854.76513246051</v>
      </c>
      <c r="BC69" s="12">
        <f t="shared" si="52"/>
        <v>642689.56996537466</v>
      </c>
      <c r="BD69" s="12">
        <f t="shared" si="52"/>
        <v>656828.74050461291</v>
      </c>
      <c r="BE69" s="12">
        <f t="shared" si="52"/>
        <v>671278.97279571427</v>
      </c>
      <c r="BF69" s="12">
        <f t="shared" si="52"/>
        <v>686047.11019722011</v>
      </c>
      <c r="BG69" s="12">
        <f t="shared" si="52"/>
        <v>701140.14662155893</v>
      </c>
      <c r="BH69" s="12">
        <f t="shared" si="52"/>
        <v>701140.14662155893</v>
      </c>
      <c r="BI69" s="12">
        <f t="shared" si="52"/>
        <v>701140.14662155893</v>
      </c>
      <c r="BJ69" s="12">
        <f t="shared" si="52"/>
        <v>701140.14662155893</v>
      </c>
      <c r="BK69" s="12">
        <f t="shared" si="52"/>
        <v>701140.14662155893</v>
      </c>
      <c r="BL69" s="12">
        <f t="shared" si="52"/>
        <v>701140.14662155893</v>
      </c>
      <c r="BM69" s="12">
        <f t="shared" si="52"/>
        <v>701140.14662155893</v>
      </c>
      <c r="BN69" s="12">
        <f t="shared" si="52"/>
        <v>701140.14662155893</v>
      </c>
      <c r="BO69" s="12">
        <f t="shared" si="52"/>
        <v>701140.14662155893</v>
      </c>
      <c r="BP69" s="12">
        <f t="shared" si="52"/>
        <v>701140.14662155893</v>
      </c>
      <c r="BQ69" s="12">
        <f t="shared" si="52"/>
        <v>701140.14662155893</v>
      </c>
      <c r="BR69" s="12">
        <f t="shared" si="52"/>
        <v>701140.14662155893</v>
      </c>
      <c r="BS69" s="12">
        <f t="shared" si="52"/>
        <v>701140.14662155893</v>
      </c>
      <c r="BT69" s="12">
        <f t="shared" ref="BT69:CV69" si="53">BT4*$AE$5/100 + BT16*$AC$5/100 + BT28*$AD$5/100</f>
        <v>701140.14662155893</v>
      </c>
      <c r="BU69" s="12">
        <f t="shared" si="53"/>
        <v>701140.14662155893</v>
      </c>
      <c r="BV69" s="12">
        <f t="shared" si="53"/>
        <v>701140.14662155893</v>
      </c>
      <c r="BW69" s="12">
        <f t="shared" si="53"/>
        <v>701140.14662155893</v>
      </c>
      <c r="BX69" s="12">
        <f t="shared" si="53"/>
        <v>701140.14662155893</v>
      </c>
      <c r="BY69" s="12">
        <f t="shared" si="53"/>
        <v>701140.14662155893</v>
      </c>
      <c r="BZ69" s="12">
        <f t="shared" si="53"/>
        <v>701140.14662155893</v>
      </c>
      <c r="CA69" s="12">
        <f t="shared" si="53"/>
        <v>701140.14662155893</v>
      </c>
      <c r="CB69" s="12">
        <f t="shared" si="53"/>
        <v>701140.14662155893</v>
      </c>
      <c r="CC69" s="12">
        <f t="shared" si="53"/>
        <v>701140.14662155893</v>
      </c>
      <c r="CD69" s="12">
        <f t="shared" si="53"/>
        <v>701140.14662155893</v>
      </c>
      <c r="CE69" s="12">
        <f t="shared" si="53"/>
        <v>701140.14662155893</v>
      </c>
      <c r="CF69" s="12">
        <f t="shared" si="53"/>
        <v>701140.14662155893</v>
      </c>
      <c r="CG69" s="12">
        <f t="shared" si="53"/>
        <v>701140.14662155893</v>
      </c>
      <c r="CH69" s="12">
        <f t="shared" si="53"/>
        <v>701140.14662155893</v>
      </c>
      <c r="CI69" s="12">
        <f t="shared" si="53"/>
        <v>701140.14662155893</v>
      </c>
      <c r="CJ69" s="12">
        <f t="shared" si="53"/>
        <v>701140.14662155893</v>
      </c>
      <c r="CK69" s="12">
        <f t="shared" si="53"/>
        <v>701140.14662155893</v>
      </c>
      <c r="CL69" s="12">
        <f t="shared" si="53"/>
        <v>701140.14662155893</v>
      </c>
      <c r="CM69" s="12">
        <f t="shared" si="53"/>
        <v>701140.14662155893</v>
      </c>
      <c r="CN69" s="12">
        <f t="shared" si="53"/>
        <v>701140.14662155893</v>
      </c>
      <c r="CO69" s="12">
        <f t="shared" si="53"/>
        <v>701140.14662155893</v>
      </c>
      <c r="CP69" s="12">
        <f t="shared" si="53"/>
        <v>701140.14662155893</v>
      </c>
      <c r="CQ69" s="12">
        <f t="shared" si="53"/>
        <v>701140.14662155893</v>
      </c>
      <c r="CR69" s="12">
        <f t="shared" si="53"/>
        <v>701140.14662155893</v>
      </c>
      <c r="CS69" s="12">
        <f t="shared" si="53"/>
        <v>701140.14662155893</v>
      </c>
      <c r="CT69" s="12">
        <f t="shared" si="53"/>
        <v>701140.14662155893</v>
      </c>
      <c r="CU69" s="12">
        <f t="shared" si="53"/>
        <v>701140.14662155893</v>
      </c>
      <c r="CV69" s="12">
        <f t="shared" si="53"/>
        <v>701140.14662155893</v>
      </c>
    </row>
    <row r="70" spans="1:100">
      <c r="A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Z70" s="12">
        <v>2009</v>
      </c>
      <c r="AA70" s="12">
        <v>2010</v>
      </c>
      <c r="AB70" s="12"/>
      <c r="AC70" s="12"/>
      <c r="AD70" s="12"/>
      <c r="AE70" s="12"/>
      <c r="AJ70" s="12" t="s">
        <v>260</v>
      </c>
      <c r="AN70" s="12">
        <f t="shared" ref="AN70" si="54">AN5*$AE$5/100 + AN17*$AC$5/100 + AN29*$AD$5/100</f>
        <v>532899.37530964741</v>
      </c>
      <c r="AO70" s="12">
        <f t="shared" ref="AO70:BS70" si="55">AO5*$AE$5/100 + AO17*$AC$5/100 + AO29*$AD$5/100</f>
        <v>544953.55917915166</v>
      </c>
      <c r="AP70" s="12">
        <f t="shared" si="55"/>
        <v>550833.6080826947</v>
      </c>
      <c r="AQ70" s="12">
        <f t="shared" si="55"/>
        <v>560329.97948604031</v>
      </c>
      <c r="AR70" s="12">
        <f t="shared" si="55"/>
        <v>572657.23903473327</v>
      </c>
      <c r="AS70" s="12">
        <f t="shared" si="55"/>
        <v>581819.75485928892</v>
      </c>
      <c r="AT70" s="12">
        <f t="shared" si="55"/>
        <v>592874.33020161535</v>
      </c>
      <c r="AU70" s="12">
        <f t="shared" si="55"/>
        <v>604138.94247544592</v>
      </c>
      <c r="AV70" s="12">
        <f t="shared" si="55"/>
        <v>616221.72132495488</v>
      </c>
      <c r="AW70" s="12">
        <f t="shared" si="55"/>
        <v>628854.26661211648</v>
      </c>
      <c r="AX70" s="12">
        <f t="shared" si="55"/>
        <v>642060.20621097088</v>
      </c>
      <c r="AY70" s="12">
        <f t="shared" si="55"/>
        <v>655864.50064450677</v>
      </c>
      <c r="AZ70" s="12">
        <f t="shared" si="55"/>
        <v>670293.51965868589</v>
      </c>
      <c r="BA70" s="12">
        <f t="shared" si="55"/>
        <v>685039.97709117713</v>
      </c>
      <c r="BB70" s="12">
        <f t="shared" si="55"/>
        <v>700110.85658718296</v>
      </c>
      <c r="BC70" s="12">
        <f t="shared" si="55"/>
        <v>715513.295432101</v>
      </c>
      <c r="BD70" s="12">
        <f t="shared" si="55"/>
        <v>731254.58793160738</v>
      </c>
      <c r="BE70" s="12">
        <f t="shared" si="55"/>
        <v>747342.18886610272</v>
      </c>
      <c r="BF70" s="12">
        <f t="shared" si="55"/>
        <v>763783.71702115703</v>
      </c>
      <c r="BG70" s="12">
        <f t="shared" si="55"/>
        <v>780586.95879562246</v>
      </c>
      <c r="BH70" s="12">
        <f t="shared" si="55"/>
        <v>780586.95879562246</v>
      </c>
      <c r="BI70" s="12">
        <f t="shared" si="55"/>
        <v>780586.95879562246</v>
      </c>
      <c r="BJ70" s="12">
        <f t="shared" si="55"/>
        <v>780586.95879562246</v>
      </c>
      <c r="BK70" s="12">
        <f t="shared" si="55"/>
        <v>780586.95879562246</v>
      </c>
      <c r="BL70" s="12">
        <f t="shared" si="55"/>
        <v>780586.95879562246</v>
      </c>
      <c r="BM70" s="12">
        <f t="shared" si="55"/>
        <v>780586.95879562246</v>
      </c>
      <c r="BN70" s="12">
        <f t="shared" si="55"/>
        <v>780586.95879562246</v>
      </c>
      <c r="BO70" s="12">
        <f t="shared" si="55"/>
        <v>780586.95879562246</v>
      </c>
      <c r="BP70" s="12">
        <f t="shared" si="55"/>
        <v>780586.95879562246</v>
      </c>
      <c r="BQ70" s="12">
        <f t="shared" si="55"/>
        <v>780586.95879562246</v>
      </c>
      <c r="BR70" s="12">
        <f t="shared" si="55"/>
        <v>780586.95879562246</v>
      </c>
      <c r="BS70" s="12">
        <f t="shared" si="55"/>
        <v>780586.95879562246</v>
      </c>
      <c r="BT70" s="12">
        <f t="shared" ref="BT70:CV70" si="56">BT5*$AE$5/100 + BT17*$AC$5/100 + BT29*$AD$5/100</f>
        <v>780586.95879562246</v>
      </c>
      <c r="BU70" s="12">
        <f t="shared" si="56"/>
        <v>780586.95879562246</v>
      </c>
      <c r="BV70" s="12">
        <f t="shared" si="56"/>
        <v>780586.95879562246</v>
      </c>
      <c r="BW70" s="12">
        <f t="shared" si="56"/>
        <v>780586.95879562246</v>
      </c>
      <c r="BX70" s="12">
        <f t="shared" si="56"/>
        <v>780586.95879562246</v>
      </c>
      <c r="BY70" s="12">
        <f t="shared" si="56"/>
        <v>780586.95879562246</v>
      </c>
      <c r="BZ70" s="12">
        <f t="shared" si="56"/>
        <v>780586.95879562246</v>
      </c>
      <c r="CA70" s="12">
        <f t="shared" si="56"/>
        <v>780586.95879562246</v>
      </c>
      <c r="CB70" s="12">
        <f t="shared" si="56"/>
        <v>780586.95879562246</v>
      </c>
      <c r="CC70" s="12">
        <f t="shared" si="56"/>
        <v>780586.95879562246</v>
      </c>
      <c r="CD70" s="12">
        <f t="shared" si="56"/>
        <v>780586.95879562246</v>
      </c>
      <c r="CE70" s="12">
        <f t="shared" si="56"/>
        <v>780586.95879562246</v>
      </c>
      <c r="CF70" s="12">
        <f t="shared" si="56"/>
        <v>780586.95879562246</v>
      </c>
      <c r="CG70" s="12">
        <f t="shared" si="56"/>
        <v>780586.95879562246</v>
      </c>
      <c r="CH70" s="12">
        <f t="shared" si="56"/>
        <v>780586.95879562246</v>
      </c>
      <c r="CI70" s="12">
        <f t="shared" si="56"/>
        <v>780586.95879562246</v>
      </c>
      <c r="CJ70" s="12">
        <f t="shared" si="56"/>
        <v>780586.95879562246</v>
      </c>
      <c r="CK70" s="12">
        <f t="shared" si="56"/>
        <v>780586.95879562246</v>
      </c>
      <c r="CL70" s="12">
        <f t="shared" si="56"/>
        <v>780586.95879562246</v>
      </c>
      <c r="CM70" s="12">
        <f t="shared" si="56"/>
        <v>780586.95879562246</v>
      </c>
      <c r="CN70" s="12">
        <f t="shared" si="56"/>
        <v>780586.95879562246</v>
      </c>
      <c r="CO70" s="12">
        <f t="shared" si="56"/>
        <v>780586.95879562246</v>
      </c>
      <c r="CP70" s="12">
        <f t="shared" si="56"/>
        <v>780586.95879562246</v>
      </c>
      <c r="CQ70" s="12">
        <f t="shared" si="56"/>
        <v>780586.95879562246</v>
      </c>
      <c r="CR70" s="12">
        <f t="shared" si="56"/>
        <v>780586.95879562246</v>
      </c>
      <c r="CS70" s="12">
        <f t="shared" si="56"/>
        <v>780586.95879562246</v>
      </c>
      <c r="CT70" s="12">
        <f t="shared" si="56"/>
        <v>780586.95879562246</v>
      </c>
      <c r="CU70" s="12">
        <f t="shared" si="56"/>
        <v>780586.95879562246</v>
      </c>
      <c r="CV70" s="12">
        <f t="shared" si="56"/>
        <v>780586.95879562246</v>
      </c>
    </row>
    <row r="71" spans="1:100">
      <c r="A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W71" s="12" t="s">
        <v>259</v>
      </c>
      <c r="Z71">
        <f>J16 +N16 + J16/M16*T16</f>
        <v>344925.64473104983</v>
      </c>
      <c r="AA71" s="12">
        <f>H29*(J45 +N45) + J45/M45*T45*H29</f>
        <v>367500.12318442087</v>
      </c>
      <c r="AB71" s="12"/>
      <c r="AC71" s="12"/>
      <c r="AD71" s="12"/>
      <c r="AE71" s="12"/>
      <c r="AJ71" s="12" t="s">
        <v>261</v>
      </c>
      <c r="AN71" s="12">
        <f t="shared" ref="AN71" si="57">AN6*$AE$5/100 + AN18*$AC$5/100 + AN30*$AD$5/100</f>
        <v>378594.94616063155</v>
      </c>
      <c r="AO71" s="12">
        <f t="shared" ref="AO71:BS71" si="58">AO6*$AE$5/100 + AO18*$AC$5/100 + AO30*$AD$5/100</f>
        <v>387158.76384278509</v>
      </c>
      <c r="AP71" s="12">
        <f t="shared" si="58"/>
        <v>391336.2069046488</v>
      </c>
      <c r="AQ71" s="12">
        <f t="shared" si="58"/>
        <v>398082.84311168484</v>
      </c>
      <c r="AR71" s="12">
        <f t="shared" si="58"/>
        <v>406840.66566014197</v>
      </c>
      <c r="AS71" s="12">
        <f t="shared" si="58"/>
        <v>413350.11631070421</v>
      </c>
      <c r="AT71" s="12">
        <f t="shared" si="58"/>
        <v>421203.7685206075</v>
      </c>
      <c r="AU71" s="12">
        <f t="shared" si="58"/>
        <v>429206.64012249897</v>
      </c>
      <c r="AV71" s="12">
        <f t="shared" si="58"/>
        <v>437790.77292494907</v>
      </c>
      <c r="AW71" s="12">
        <f t="shared" si="58"/>
        <v>446765.48376991041</v>
      </c>
      <c r="AX71" s="12">
        <f t="shared" si="58"/>
        <v>456147.55892907851</v>
      </c>
      <c r="AY71" s="12">
        <f t="shared" si="58"/>
        <v>465954.73144605372</v>
      </c>
      <c r="AZ71" s="12">
        <f t="shared" si="58"/>
        <v>476205.73553786689</v>
      </c>
      <c r="BA71" s="12">
        <f t="shared" si="58"/>
        <v>486682.26171969995</v>
      </c>
      <c r="BB71" s="12">
        <f t="shared" si="58"/>
        <v>497389.27147753339</v>
      </c>
      <c r="BC71" s="12">
        <f t="shared" si="58"/>
        <v>508331.83545003919</v>
      </c>
      <c r="BD71" s="12">
        <f t="shared" si="58"/>
        <v>519515.13582994003</v>
      </c>
      <c r="BE71" s="12">
        <f t="shared" si="58"/>
        <v>530944.46881819866</v>
      </c>
      <c r="BF71" s="12">
        <f t="shared" si="58"/>
        <v>542625.24713219912</v>
      </c>
      <c r="BG71" s="12">
        <f t="shared" si="58"/>
        <v>554563.00256910746</v>
      </c>
      <c r="BH71" s="12">
        <f t="shared" si="58"/>
        <v>554563.00256910746</v>
      </c>
      <c r="BI71" s="12">
        <f t="shared" si="58"/>
        <v>554563.00256910746</v>
      </c>
      <c r="BJ71" s="12">
        <f t="shared" si="58"/>
        <v>554563.00256910746</v>
      </c>
      <c r="BK71" s="12">
        <f t="shared" si="58"/>
        <v>554563.00256910746</v>
      </c>
      <c r="BL71" s="12">
        <f t="shared" si="58"/>
        <v>554563.00256910746</v>
      </c>
      <c r="BM71" s="12">
        <f t="shared" si="58"/>
        <v>554563.00256910746</v>
      </c>
      <c r="BN71" s="12">
        <f t="shared" si="58"/>
        <v>554563.00256910746</v>
      </c>
      <c r="BO71" s="12">
        <f t="shared" si="58"/>
        <v>554563.00256910746</v>
      </c>
      <c r="BP71" s="12">
        <f t="shared" si="58"/>
        <v>554563.00256910746</v>
      </c>
      <c r="BQ71" s="12">
        <f t="shared" si="58"/>
        <v>554563.00256910746</v>
      </c>
      <c r="BR71" s="12">
        <f t="shared" si="58"/>
        <v>554563.00256910746</v>
      </c>
      <c r="BS71" s="12">
        <f t="shared" si="58"/>
        <v>554563.00256910746</v>
      </c>
      <c r="BT71" s="12">
        <f t="shared" ref="BT71:CV71" si="59">BT6*$AE$5/100 + BT18*$AC$5/100 + BT30*$AD$5/100</f>
        <v>554563.00256910746</v>
      </c>
      <c r="BU71" s="12">
        <f t="shared" si="59"/>
        <v>554563.00256910746</v>
      </c>
      <c r="BV71" s="12">
        <f t="shared" si="59"/>
        <v>554563.00256910746</v>
      </c>
      <c r="BW71" s="12">
        <f t="shared" si="59"/>
        <v>554563.00256910746</v>
      </c>
      <c r="BX71" s="12">
        <f t="shared" si="59"/>
        <v>554563.00256910746</v>
      </c>
      <c r="BY71" s="12">
        <f t="shared" si="59"/>
        <v>554563.00256910746</v>
      </c>
      <c r="BZ71" s="12">
        <f t="shared" si="59"/>
        <v>554563.00256910746</v>
      </c>
      <c r="CA71" s="12">
        <f t="shared" si="59"/>
        <v>554563.00256910746</v>
      </c>
      <c r="CB71" s="12">
        <f t="shared" si="59"/>
        <v>554563.00256910746</v>
      </c>
      <c r="CC71" s="12">
        <f t="shared" si="59"/>
        <v>554563.00256910746</v>
      </c>
      <c r="CD71" s="12">
        <f t="shared" si="59"/>
        <v>554563.00256910746</v>
      </c>
      <c r="CE71" s="12">
        <f t="shared" si="59"/>
        <v>554563.00256910746</v>
      </c>
      <c r="CF71" s="12">
        <f t="shared" si="59"/>
        <v>554563.00256910746</v>
      </c>
      <c r="CG71" s="12">
        <f t="shared" si="59"/>
        <v>554563.00256910746</v>
      </c>
      <c r="CH71" s="12">
        <f t="shared" si="59"/>
        <v>554563.00256910746</v>
      </c>
      <c r="CI71" s="12">
        <f t="shared" si="59"/>
        <v>554563.00256910746</v>
      </c>
      <c r="CJ71" s="12">
        <f t="shared" si="59"/>
        <v>554563.00256910746</v>
      </c>
      <c r="CK71" s="12">
        <f t="shared" si="59"/>
        <v>554563.00256910746</v>
      </c>
      <c r="CL71" s="12">
        <f t="shared" si="59"/>
        <v>554563.00256910746</v>
      </c>
      <c r="CM71" s="12">
        <f t="shared" si="59"/>
        <v>554563.00256910746</v>
      </c>
      <c r="CN71" s="12">
        <f t="shared" si="59"/>
        <v>554563.00256910746</v>
      </c>
      <c r="CO71" s="12">
        <f t="shared" si="59"/>
        <v>554563.00256910746</v>
      </c>
      <c r="CP71" s="12">
        <f t="shared" si="59"/>
        <v>554563.00256910746</v>
      </c>
      <c r="CQ71" s="12">
        <f t="shared" si="59"/>
        <v>554563.00256910746</v>
      </c>
      <c r="CR71" s="12">
        <f t="shared" si="59"/>
        <v>554563.00256910746</v>
      </c>
      <c r="CS71" s="12">
        <f t="shared" si="59"/>
        <v>554563.00256910746</v>
      </c>
      <c r="CT71" s="12">
        <f t="shared" si="59"/>
        <v>554563.00256910746</v>
      </c>
      <c r="CU71" s="12">
        <f t="shared" si="59"/>
        <v>554563.00256910746</v>
      </c>
      <c r="CV71" s="12">
        <f t="shared" si="59"/>
        <v>554563.00256910746</v>
      </c>
    </row>
    <row r="72" spans="1:100">
      <c r="A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W72" s="12" t="s">
        <v>260</v>
      </c>
      <c r="Z72" s="12">
        <f t="shared" ref="Z72:Z78" si="60">J17 +N17 + J17/M17*T17</f>
        <v>370581.64388282754</v>
      </c>
      <c r="AA72" s="12">
        <f t="shared" ref="AA72:AA78" si="61">H30*(J46 +N46) + J46/M46*T46*H30</f>
        <v>382911.75015772705</v>
      </c>
      <c r="AB72" s="12"/>
      <c r="AC72" s="12"/>
      <c r="AD72" s="12"/>
      <c r="AE72" s="12"/>
      <c r="AJ72" s="12" t="s">
        <v>262</v>
      </c>
      <c r="AN72" s="12">
        <f t="shared" ref="AN72" si="62">AN7*$AE$5/100 + AN19*$AC$5/100 + AN31*$AD$5/100</f>
        <v>454900.3279349978</v>
      </c>
      <c r="AO72" s="12">
        <f t="shared" ref="AO72:BS72" si="63">AO7*$AE$5/100 + AO19*$AC$5/100 + AO31*$AD$5/100</f>
        <v>465190.17335288745</v>
      </c>
      <c r="AP72" s="12">
        <f t="shared" si="63"/>
        <v>470209.5753233651</v>
      </c>
      <c r="AQ72" s="12">
        <f t="shared" si="63"/>
        <v>478315.98840193992</v>
      </c>
      <c r="AR72" s="12">
        <f t="shared" si="63"/>
        <v>488838.94014678267</v>
      </c>
      <c r="AS72" s="12">
        <f t="shared" si="63"/>
        <v>496660.36318913114</v>
      </c>
      <c r="AT72" s="12">
        <f t="shared" si="63"/>
        <v>506096.9100897247</v>
      </c>
      <c r="AU72" s="12">
        <f t="shared" si="63"/>
        <v>515712.75138142938</v>
      </c>
      <c r="AV72" s="12">
        <f t="shared" si="63"/>
        <v>526027.00640905788</v>
      </c>
      <c r="AW72" s="12">
        <f t="shared" si="63"/>
        <v>536810.56004044367</v>
      </c>
      <c r="AX72" s="12">
        <f t="shared" si="63"/>
        <v>548083.58180129284</v>
      </c>
      <c r="AY72" s="12">
        <f t="shared" si="63"/>
        <v>559867.37881002063</v>
      </c>
      <c r="AZ72" s="12">
        <f t="shared" si="63"/>
        <v>572184.46114384127</v>
      </c>
      <c r="BA72" s="12">
        <f t="shared" si="63"/>
        <v>584772.51928900578</v>
      </c>
      <c r="BB72" s="12">
        <f t="shared" si="63"/>
        <v>597637.51471336384</v>
      </c>
      <c r="BC72" s="12">
        <f t="shared" si="63"/>
        <v>610785.54003705783</v>
      </c>
      <c r="BD72" s="12">
        <f t="shared" si="63"/>
        <v>624222.82191787311</v>
      </c>
      <c r="BE72" s="12">
        <f t="shared" si="63"/>
        <v>637955.7240000664</v>
      </c>
      <c r="BF72" s="12">
        <f t="shared" si="63"/>
        <v>651990.74992806779</v>
      </c>
      <c r="BG72" s="12">
        <f t="shared" si="63"/>
        <v>666334.54642648541</v>
      </c>
      <c r="BH72" s="12">
        <f t="shared" si="63"/>
        <v>666334.54642648541</v>
      </c>
      <c r="BI72" s="12">
        <f t="shared" si="63"/>
        <v>666334.54642648541</v>
      </c>
      <c r="BJ72" s="12">
        <f t="shared" si="63"/>
        <v>666334.54642648541</v>
      </c>
      <c r="BK72" s="12">
        <f t="shared" si="63"/>
        <v>666334.54642648541</v>
      </c>
      <c r="BL72" s="12">
        <f t="shared" si="63"/>
        <v>666334.54642648541</v>
      </c>
      <c r="BM72" s="12">
        <f t="shared" si="63"/>
        <v>666334.54642648541</v>
      </c>
      <c r="BN72" s="12">
        <f t="shared" si="63"/>
        <v>666334.54642648541</v>
      </c>
      <c r="BO72" s="12">
        <f t="shared" si="63"/>
        <v>666334.54642648541</v>
      </c>
      <c r="BP72" s="12">
        <f t="shared" si="63"/>
        <v>666334.54642648541</v>
      </c>
      <c r="BQ72" s="12">
        <f t="shared" si="63"/>
        <v>666334.54642648541</v>
      </c>
      <c r="BR72" s="12">
        <f t="shared" si="63"/>
        <v>666334.54642648541</v>
      </c>
      <c r="BS72" s="12">
        <f t="shared" si="63"/>
        <v>666334.54642648541</v>
      </c>
      <c r="BT72" s="12">
        <f t="shared" ref="BT72:CV72" si="64">BT7*$AE$5/100 + BT19*$AC$5/100 + BT31*$AD$5/100</f>
        <v>666334.54642648541</v>
      </c>
      <c r="BU72" s="12">
        <f t="shared" si="64"/>
        <v>666334.54642648541</v>
      </c>
      <c r="BV72" s="12">
        <f t="shared" si="64"/>
        <v>666334.54642648541</v>
      </c>
      <c r="BW72" s="12">
        <f t="shared" si="64"/>
        <v>666334.54642648541</v>
      </c>
      <c r="BX72" s="12">
        <f t="shared" si="64"/>
        <v>666334.54642648541</v>
      </c>
      <c r="BY72" s="12">
        <f t="shared" si="64"/>
        <v>666334.54642648541</v>
      </c>
      <c r="BZ72" s="12">
        <f t="shared" si="64"/>
        <v>666334.54642648541</v>
      </c>
      <c r="CA72" s="12">
        <f t="shared" si="64"/>
        <v>666334.54642648541</v>
      </c>
      <c r="CB72" s="12">
        <f t="shared" si="64"/>
        <v>666334.54642648541</v>
      </c>
      <c r="CC72" s="12">
        <f t="shared" si="64"/>
        <v>666334.54642648541</v>
      </c>
      <c r="CD72" s="12">
        <f t="shared" si="64"/>
        <v>666334.54642648541</v>
      </c>
      <c r="CE72" s="12">
        <f t="shared" si="64"/>
        <v>666334.54642648541</v>
      </c>
      <c r="CF72" s="12">
        <f t="shared" si="64"/>
        <v>666334.54642648541</v>
      </c>
      <c r="CG72" s="12">
        <f t="shared" si="64"/>
        <v>666334.54642648541</v>
      </c>
      <c r="CH72" s="12">
        <f t="shared" si="64"/>
        <v>666334.54642648541</v>
      </c>
      <c r="CI72" s="12">
        <f t="shared" si="64"/>
        <v>666334.54642648541</v>
      </c>
      <c r="CJ72" s="12">
        <f t="shared" si="64"/>
        <v>666334.54642648541</v>
      </c>
      <c r="CK72" s="12">
        <f t="shared" si="64"/>
        <v>666334.54642648541</v>
      </c>
      <c r="CL72" s="12">
        <f t="shared" si="64"/>
        <v>666334.54642648541</v>
      </c>
      <c r="CM72" s="12">
        <f t="shared" si="64"/>
        <v>666334.54642648541</v>
      </c>
      <c r="CN72" s="12">
        <f t="shared" si="64"/>
        <v>666334.54642648541</v>
      </c>
      <c r="CO72" s="12">
        <f t="shared" si="64"/>
        <v>666334.54642648541</v>
      </c>
      <c r="CP72" s="12">
        <f t="shared" si="64"/>
        <v>666334.54642648541</v>
      </c>
      <c r="CQ72" s="12">
        <f t="shared" si="64"/>
        <v>666334.54642648541</v>
      </c>
      <c r="CR72" s="12">
        <f t="shared" si="64"/>
        <v>666334.54642648541</v>
      </c>
      <c r="CS72" s="12">
        <f t="shared" si="64"/>
        <v>666334.54642648541</v>
      </c>
      <c r="CT72" s="12">
        <f t="shared" si="64"/>
        <v>666334.54642648541</v>
      </c>
      <c r="CU72" s="12">
        <f t="shared" si="64"/>
        <v>666334.54642648541</v>
      </c>
      <c r="CV72" s="12">
        <f t="shared" si="64"/>
        <v>666334.54642648541</v>
      </c>
    </row>
    <row r="73" spans="1:100" s="12" customFormat="1">
      <c r="W73" s="12" t="s">
        <v>261</v>
      </c>
      <c r="Z73" s="12">
        <f t="shared" si="60"/>
        <v>393582.99976282811</v>
      </c>
      <c r="AA73" s="12">
        <f t="shared" si="61"/>
        <v>402399.68476661592</v>
      </c>
      <c r="AJ73" s="12" t="s">
        <v>263</v>
      </c>
      <c r="AN73" s="12">
        <f t="shared" ref="AN73:CV73" si="65">AN8*$AE$5/100 + AN20*$AC$5/100 + AN32*$AD$5/100</f>
        <v>222058.6327289957</v>
      </c>
      <c r="AO73" s="12">
        <f t="shared" si="65"/>
        <v>227081.59900132561</v>
      </c>
      <c r="AP73" s="12">
        <f t="shared" si="65"/>
        <v>229531.80945454998</v>
      </c>
      <c r="AQ73" s="12">
        <f t="shared" si="65"/>
        <v>233488.93784954638</v>
      </c>
      <c r="AR73" s="12">
        <f t="shared" si="65"/>
        <v>238625.69448223637</v>
      </c>
      <c r="AS73" s="12">
        <f t="shared" si="65"/>
        <v>242443.70559395218</v>
      </c>
      <c r="AT73" s="12">
        <f t="shared" si="65"/>
        <v>247050.13600023725</v>
      </c>
      <c r="AU73" s="12">
        <f t="shared" si="65"/>
        <v>251744.08858424175</v>
      </c>
      <c r="AV73" s="12">
        <f t="shared" si="65"/>
        <v>256778.97035592655</v>
      </c>
      <c r="AW73" s="12">
        <f t="shared" si="65"/>
        <v>262042.93924822303</v>
      </c>
      <c r="AX73" s="12">
        <f t="shared" si="65"/>
        <v>267545.84097243566</v>
      </c>
      <c r="AY73" s="12">
        <f t="shared" si="65"/>
        <v>273298.0765533431</v>
      </c>
      <c r="AZ73" s="12">
        <f t="shared" si="65"/>
        <v>279310.63423751661</v>
      </c>
      <c r="BA73" s="12">
        <f t="shared" si="65"/>
        <v>285455.46819074196</v>
      </c>
      <c r="BB73" s="12">
        <f t="shared" si="65"/>
        <v>291735.48849093833</v>
      </c>
      <c r="BC73" s="12">
        <f t="shared" si="65"/>
        <v>298153.669237739</v>
      </c>
      <c r="BD73" s="12">
        <f t="shared" si="65"/>
        <v>304713.04996096925</v>
      </c>
      <c r="BE73" s="12">
        <f t="shared" si="65"/>
        <v>311416.73706011055</v>
      </c>
      <c r="BF73" s="12">
        <f t="shared" si="65"/>
        <v>318267.90527543303</v>
      </c>
      <c r="BG73" s="12">
        <f t="shared" si="65"/>
        <v>325269.79919149255</v>
      </c>
      <c r="BH73" s="12">
        <f t="shared" si="65"/>
        <v>325269.79919149255</v>
      </c>
      <c r="BI73" s="12">
        <f t="shared" si="65"/>
        <v>325269.79919149255</v>
      </c>
      <c r="BJ73" s="12">
        <f t="shared" si="65"/>
        <v>325269.79919149255</v>
      </c>
      <c r="BK73" s="12">
        <f t="shared" si="65"/>
        <v>325269.79919149255</v>
      </c>
      <c r="BL73" s="12">
        <f t="shared" si="65"/>
        <v>325269.79919149255</v>
      </c>
      <c r="BM73" s="12">
        <f t="shared" si="65"/>
        <v>325269.79919149255</v>
      </c>
      <c r="BN73" s="12">
        <f t="shared" si="65"/>
        <v>325269.79919149255</v>
      </c>
      <c r="BO73" s="12">
        <f t="shared" si="65"/>
        <v>325269.79919149255</v>
      </c>
      <c r="BP73" s="12">
        <f t="shared" si="65"/>
        <v>325269.79919149255</v>
      </c>
      <c r="BQ73" s="12">
        <f t="shared" si="65"/>
        <v>325269.79919149255</v>
      </c>
      <c r="BR73" s="12">
        <f t="shared" si="65"/>
        <v>325269.79919149255</v>
      </c>
      <c r="BS73" s="12">
        <f t="shared" si="65"/>
        <v>325269.79919149255</v>
      </c>
      <c r="BT73" s="12">
        <f t="shared" si="65"/>
        <v>325269.79919149255</v>
      </c>
      <c r="BU73" s="12">
        <f t="shared" si="65"/>
        <v>325269.79919149255</v>
      </c>
      <c r="BV73" s="12">
        <f t="shared" si="65"/>
        <v>325269.79919149255</v>
      </c>
      <c r="BW73" s="12">
        <f t="shared" si="65"/>
        <v>325269.79919149255</v>
      </c>
      <c r="BX73" s="12">
        <f t="shared" si="65"/>
        <v>325269.79919149255</v>
      </c>
      <c r="BY73" s="12">
        <f t="shared" si="65"/>
        <v>325269.79919149255</v>
      </c>
      <c r="BZ73" s="12">
        <f t="shared" si="65"/>
        <v>325269.79919149255</v>
      </c>
      <c r="CA73" s="12">
        <f t="shared" si="65"/>
        <v>325269.79919149255</v>
      </c>
      <c r="CB73" s="12">
        <f t="shared" si="65"/>
        <v>325269.79919149255</v>
      </c>
      <c r="CC73" s="12">
        <f t="shared" si="65"/>
        <v>325269.79919149255</v>
      </c>
      <c r="CD73" s="12">
        <f t="shared" si="65"/>
        <v>325269.79919149255</v>
      </c>
      <c r="CE73" s="12">
        <f t="shared" si="65"/>
        <v>325269.79919149255</v>
      </c>
      <c r="CF73" s="12">
        <f t="shared" si="65"/>
        <v>325269.79919149255</v>
      </c>
      <c r="CG73" s="12">
        <f t="shared" si="65"/>
        <v>325269.79919149255</v>
      </c>
      <c r="CH73" s="12">
        <f t="shared" si="65"/>
        <v>325269.79919149255</v>
      </c>
      <c r="CI73" s="12">
        <f t="shared" si="65"/>
        <v>325269.79919149255</v>
      </c>
      <c r="CJ73" s="12">
        <f t="shared" si="65"/>
        <v>325269.79919149255</v>
      </c>
      <c r="CK73" s="12">
        <f t="shared" si="65"/>
        <v>325269.79919149255</v>
      </c>
      <c r="CL73" s="12">
        <f t="shared" si="65"/>
        <v>325269.79919149255</v>
      </c>
      <c r="CM73" s="12">
        <f t="shared" si="65"/>
        <v>325269.79919149255</v>
      </c>
      <c r="CN73" s="12">
        <f t="shared" si="65"/>
        <v>325269.79919149255</v>
      </c>
      <c r="CO73" s="12">
        <f t="shared" si="65"/>
        <v>325269.79919149255</v>
      </c>
      <c r="CP73" s="12">
        <f t="shared" si="65"/>
        <v>325269.79919149255</v>
      </c>
      <c r="CQ73" s="12">
        <f t="shared" si="65"/>
        <v>325269.79919149255</v>
      </c>
      <c r="CR73" s="12">
        <f t="shared" si="65"/>
        <v>325269.79919149255</v>
      </c>
      <c r="CS73" s="12">
        <f t="shared" si="65"/>
        <v>325269.79919149255</v>
      </c>
      <c r="CT73" s="12">
        <f t="shared" si="65"/>
        <v>325269.79919149255</v>
      </c>
      <c r="CU73" s="12">
        <f t="shared" si="65"/>
        <v>325269.79919149255</v>
      </c>
      <c r="CV73" s="12">
        <f t="shared" si="65"/>
        <v>325269.79919149255</v>
      </c>
    </row>
    <row r="74" spans="1:100" s="12" customFormat="1">
      <c r="W74" s="12" t="s">
        <v>262</v>
      </c>
      <c r="Z74" s="12">
        <f t="shared" si="60"/>
        <v>433537.33254463412</v>
      </c>
      <c r="AA74" s="12">
        <f t="shared" si="61"/>
        <v>450641.12689795467</v>
      </c>
      <c r="AJ74" s="12" t="s">
        <v>264</v>
      </c>
      <c r="AN74" s="12">
        <f t="shared" ref="AN74:CV74" si="66">AN9*$AE$5/100 + AN21*$AC$5/100 + AN33*$AD$5/100</f>
        <v>281755.90719443641</v>
      </c>
      <c r="AO74" s="12">
        <f t="shared" si="66"/>
        <v>288129.22581517464</v>
      </c>
      <c r="AP74" s="12">
        <f t="shared" si="66"/>
        <v>291238.14016172034</v>
      </c>
      <c r="AQ74" s="12">
        <f t="shared" si="66"/>
        <v>296259.08569810842</v>
      </c>
      <c r="AR74" s="12">
        <f t="shared" si="66"/>
        <v>302776.78558346676</v>
      </c>
      <c r="AS74" s="12">
        <f t="shared" si="66"/>
        <v>307621.21415280225</v>
      </c>
      <c r="AT74" s="12">
        <f t="shared" si="66"/>
        <v>313466.01722170552</v>
      </c>
      <c r="AU74" s="12">
        <f t="shared" si="66"/>
        <v>319421.87154891784</v>
      </c>
      <c r="AV74" s="12">
        <f t="shared" si="66"/>
        <v>325810.30897989619</v>
      </c>
      <c r="AW74" s="12">
        <f t="shared" si="66"/>
        <v>332489.42031398404</v>
      </c>
      <c r="AX74" s="12">
        <f t="shared" si="66"/>
        <v>339471.6981405777</v>
      </c>
      <c r="AY74" s="12">
        <f t="shared" si="66"/>
        <v>346770.33965060016</v>
      </c>
      <c r="AZ74" s="12">
        <f t="shared" si="66"/>
        <v>354399.28712291335</v>
      </c>
      <c r="BA74" s="12">
        <f t="shared" si="66"/>
        <v>362196.07143961743</v>
      </c>
      <c r="BB74" s="12">
        <f t="shared" si="66"/>
        <v>370164.38501128904</v>
      </c>
      <c r="BC74" s="12">
        <f t="shared" si="66"/>
        <v>378308.00148153747</v>
      </c>
      <c r="BD74" s="12">
        <f t="shared" si="66"/>
        <v>386630.77751413122</v>
      </c>
      <c r="BE74" s="12">
        <f t="shared" si="66"/>
        <v>395136.65461944218</v>
      </c>
      <c r="BF74" s="12">
        <f t="shared" si="66"/>
        <v>403829.66102106991</v>
      </c>
      <c r="BG74" s="12">
        <f t="shared" si="66"/>
        <v>412713.9135635334</v>
      </c>
      <c r="BH74" s="12">
        <f t="shared" si="66"/>
        <v>412713.9135635334</v>
      </c>
      <c r="BI74" s="12">
        <f t="shared" si="66"/>
        <v>412713.9135635334</v>
      </c>
      <c r="BJ74" s="12">
        <f t="shared" si="66"/>
        <v>412713.9135635334</v>
      </c>
      <c r="BK74" s="12">
        <f t="shared" si="66"/>
        <v>412713.9135635334</v>
      </c>
      <c r="BL74" s="12">
        <f t="shared" si="66"/>
        <v>412713.9135635334</v>
      </c>
      <c r="BM74" s="12">
        <f t="shared" si="66"/>
        <v>412713.9135635334</v>
      </c>
      <c r="BN74" s="12">
        <f t="shared" si="66"/>
        <v>412713.9135635334</v>
      </c>
      <c r="BO74" s="12">
        <f t="shared" si="66"/>
        <v>412713.9135635334</v>
      </c>
      <c r="BP74" s="12">
        <f t="shared" si="66"/>
        <v>412713.9135635334</v>
      </c>
      <c r="BQ74" s="12">
        <f t="shared" si="66"/>
        <v>412713.9135635334</v>
      </c>
      <c r="BR74" s="12">
        <f t="shared" si="66"/>
        <v>412713.9135635334</v>
      </c>
      <c r="BS74" s="12">
        <f t="shared" si="66"/>
        <v>412713.9135635334</v>
      </c>
      <c r="BT74" s="12">
        <f t="shared" si="66"/>
        <v>412713.9135635334</v>
      </c>
      <c r="BU74" s="12">
        <f t="shared" si="66"/>
        <v>412713.9135635334</v>
      </c>
      <c r="BV74" s="12">
        <f t="shared" si="66"/>
        <v>412713.9135635334</v>
      </c>
      <c r="BW74" s="12">
        <f t="shared" si="66"/>
        <v>412713.9135635334</v>
      </c>
      <c r="BX74" s="12">
        <f t="shared" si="66"/>
        <v>412713.9135635334</v>
      </c>
      <c r="BY74" s="12">
        <f t="shared" si="66"/>
        <v>412713.9135635334</v>
      </c>
      <c r="BZ74" s="12">
        <f t="shared" si="66"/>
        <v>412713.9135635334</v>
      </c>
      <c r="CA74" s="12">
        <f t="shared" si="66"/>
        <v>412713.9135635334</v>
      </c>
      <c r="CB74" s="12">
        <f t="shared" si="66"/>
        <v>412713.9135635334</v>
      </c>
      <c r="CC74" s="12">
        <f t="shared" si="66"/>
        <v>412713.9135635334</v>
      </c>
      <c r="CD74" s="12">
        <f t="shared" si="66"/>
        <v>412713.9135635334</v>
      </c>
      <c r="CE74" s="12">
        <f t="shared" si="66"/>
        <v>412713.9135635334</v>
      </c>
      <c r="CF74" s="12">
        <f t="shared" si="66"/>
        <v>412713.9135635334</v>
      </c>
      <c r="CG74" s="12">
        <f t="shared" si="66"/>
        <v>412713.9135635334</v>
      </c>
      <c r="CH74" s="12">
        <f t="shared" si="66"/>
        <v>412713.9135635334</v>
      </c>
      <c r="CI74" s="12">
        <f t="shared" si="66"/>
        <v>412713.9135635334</v>
      </c>
      <c r="CJ74" s="12">
        <f t="shared" si="66"/>
        <v>412713.9135635334</v>
      </c>
      <c r="CK74" s="12">
        <f t="shared" si="66"/>
        <v>412713.9135635334</v>
      </c>
      <c r="CL74" s="12">
        <f t="shared" si="66"/>
        <v>412713.9135635334</v>
      </c>
      <c r="CM74" s="12">
        <f t="shared" si="66"/>
        <v>412713.9135635334</v>
      </c>
      <c r="CN74" s="12">
        <f t="shared" si="66"/>
        <v>412713.9135635334</v>
      </c>
      <c r="CO74" s="12">
        <f t="shared" si="66"/>
        <v>412713.9135635334</v>
      </c>
      <c r="CP74" s="12">
        <f t="shared" si="66"/>
        <v>412713.9135635334</v>
      </c>
      <c r="CQ74" s="12">
        <f t="shared" si="66"/>
        <v>412713.9135635334</v>
      </c>
      <c r="CR74" s="12">
        <f t="shared" si="66"/>
        <v>412713.9135635334</v>
      </c>
      <c r="CS74" s="12">
        <f t="shared" si="66"/>
        <v>412713.9135635334</v>
      </c>
      <c r="CT74" s="12">
        <f t="shared" si="66"/>
        <v>412713.9135635334</v>
      </c>
      <c r="CU74" s="12">
        <f t="shared" si="66"/>
        <v>412713.9135635334</v>
      </c>
      <c r="CV74" s="12">
        <f t="shared" si="66"/>
        <v>412713.9135635334</v>
      </c>
    </row>
    <row r="75" spans="1:100" s="12" customFormat="1">
      <c r="W75" s="12" t="s">
        <v>263</v>
      </c>
      <c r="Z75" s="12">
        <f t="shared" si="60"/>
        <v>170314.36469715141</v>
      </c>
      <c r="AA75" s="12">
        <f t="shared" si="61"/>
        <v>183749.49183837231</v>
      </c>
      <c r="AJ75" s="12" t="s">
        <v>265</v>
      </c>
      <c r="AN75" s="12">
        <f t="shared" ref="AN75:CV75" si="67">AN10*$AE$5/100 + AN22*$AC$5/100 + AN34*$AD$5/100</f>
        <v>1856568.7324479842</v>
      </c>
      <c r="AO75" s="12">
        <f t="shared" si="67"/>
        <v>1898564.3171759578</v>
      </c>
      <c r="AP75" s="12">
        <f t="shared" si="67"/>
        <v>1919049.8261582865</v>
      </c>
      <c r="AQ75" s="12">
        <f t="shared" si="67"/>
        <v>1952134.2451612554</v>
      </c>
      <c r="AR75" s="12">
        <f t="shared" si="67"/>
        <v>1995081.1985548027</v>
      </c>
      <c r="AS75" s="12">
        <f t="shared" si="67"/>
        <v>2027002.4977316796</v>
      </c>
      <c r="AT75" s="12">
        <f t="shared" si="67"/>
        <v>2065515.5451885811</v>
      </c>
      <c r="AU75" s="12">
        <f t="shared" si="67"/>
        <v>2104760.340547164</v>
      </c>
      <c r="AV75" s="12">
        <f t="shared" si="67"/>
        <v>2146855.5473581073</v>
      </c>
      <c r="AW75" s="12">
        <f t="shared" si="67"/>
        <v>2190866.0860789488</v>
      </c>
      <c r="AX75" s="12">
        <f t="shared" si="67"/>
        <v>2236874.2738866061</v>
      </c>
      <c r="AY75" s="12">
        <f t="shared" si="67"/>
        <v>2284967.0707751685</v>
      </c>
      <c r="AZ75" s="12">
        <f t="shared" si="67"/>
        <v>2335236.3463322222</v>
      </c>
      <c r="BA75" s="12">
        <f t="shared" si="67"/>
        <v>2386611.5459515313</v>
      </c>
      <c r="BB75" s="12">
        <f t="shared" si="67"/>
        <v>2439116.9999624649</v>
      </c>
      <c r="BC75" s="12">
        <f t="shared" si="67"/>
        <v>2492777.5739616393</v>
      </c>
      <c r="BD75" s="12">
        <f t="shared" si="67"/>
        <v>2547618.6805887958</v>
      </c>
      <c r="BE75" s="12">
        <f t="shared" si="67"/>
        <v>2603666.2915617493</v>
      </c>
      <c r="BF75" s="12">
        <f t="shared" si="67"/>
        <v>2660946.949976108</v>
      </c>
      <c r="BG75" s="12">
        <f t="shared" si="67"/>
        <v>2719487.7828755826</v>
      </c>
      <c r="BH75" s="12">
        <f t="shared" si="67"/>
        <v>2719487.7828755826</v>
      </c>
      <c r="BI75" s="12">
        <f t="shared" si="67"/>
        <v>2719487.7828755826</v>
      </c>
      <c r="BJ75" s="12">
        <f t="shared" si="67"/>
        <v>2719487.7828755826</v>
      </c>
      <c r="BK75" s="12">
        <f t="shared" si="67"/>
        <v>2719487.7828755826</v>
      </c>
      <c r="BL75" s="12">
        <f t="shared" si="67"/>
        <v>2719487.7828755826</v>
      </c>
      <c r="BM75" s="12">
        <f t="shared" si="67"/>
        <v>2719487.7828755826</v>
      </c>
      <c r="BN75" s="12">
        <f t="shared" si="67"/>
        <v>2719487.7828755826</v>
      </c>
      <c r="BO75" s="12">
        <f t="shared" si="67"/>
        <v>2719487.7828755826</v>
      </c>
      <c r="BP75" s="12">
        <f t="shared" si="67"/>
        <v>2719487.7828755826</v>
      </c>
      <c r="BQ75" s="12">
        <f t="shared" si="67"/>
        <v>2719487.7828755826</v>
      </c>
      <c r="BR75" s="12">
        <f t="shared" si="67"/>
        <v>2719487.7828755826</v>
      </c>
      <c r="BS75" s="12">
        <f t="shared" si="67"/>
        <v>2719487.7828755826</v>
      </c>
      <c r="BT75" s="12">
        <f t="shared" si="67"/>
        <v>2719487.7828755826</v>
      </c>
      <c r="BU75" s="12">
        <f t="shared" si="67"/>
        <v>2719487.7828755826</v>
      </c>
      <c r="BV75" s="12">
        <f t="shared" si="67"/>
        <v>2719487.7828755826</v>
      </c>
      <c r="BW75" s="12">
        <f t="shared" si="67"/>
        <v>2719487.7828755826</v>
      </c>
      <c r="BX75" s="12">
        <f t="shared" si="67"/>
        <v>2719487.7828755826</v>
      </c>
      <c r="BY75" s="12">
        <f t="shared" si="67"/>
        <v>2719487.7828755826</v>
      </c>
      <c r="BZ75" s="12">
        <f t="shared" si="67"/>
        <v>2719487.7828755826</v>
      </c>
      <c r="CA75" s="12">
        <f t="shared" si="67"/>
        <v>2719487.7828755826</v>
      </c>
      <c r="CB75" s="12">
        <f t="shared" si="67"/>
        <v>2719487.7828755826</v>
      </c>
      <c r="CC75" s="12">
        <f t="shared" si="67"/>
        <v>2719487.7828755826</v>
      </c>
      <c r="CD75" s="12">
        <f t="shared" si="67"/>
        <v>2719487.7828755826</v>
      </c>
      <c r="CE75" s="12">
        <f t="shared" si="67"/>
        <v>2719487.7828755826</v>
      </c>
      <c r="CF75" s="12">
        <f t="shared" si="67"/>
        <v>2719487.7828755826</v>
      </c>
      <c r="CG75" s="12">
        <f t="shared" si="67"/>
        <v>2719487.7828755826</v>
      </c>
      <c r="CH75" s="12">
        <f t="shared" si="67"/>
        <v>2719487.7828755826</v>
      </c>
      <c r="CI75" s="12">
        <f t="shared" si="67"/>
        <v>2719487.7828755826</v>
      </c>
      <c r="CJ75" s="12">
        <f t="shared" si="67"/>
        <v>2719487.7828755826</v>
      </c>
      <c r="CK75" s="12">
        <f t="shared" si="67"/>
        <v>2719487.7828755826</v>
      </c>
      <c r="CL75" s="12">
        <f t="shared" si="67"/>
        <v>2719487.7828755826</v>
      </c>
      <c r="CM75" s="12">
        <f t="shared" si="67"/>
        <v>2719487.7828755826</v>
      </c>
      <c r="CN75" s="12">
        <f t="shared" si="67"/>
        <v>2719487.7828755826</v>
      </c>
      <c r="CO75" s="12">
        <f t="shared" si="67"/>
        <v>2719487.7828755826</v>
      </c>
      <c r="CP75" s="12">
        <f t="shared" si="67"/>
        <v>2719487.7828755826</v>
      </c>
      <c r="CQ75" s="12">
        <f t="shared" si="67"/>
        <v>2719487.7828755826</v>
      </c>
      <c r="CR75" s="12">
        <f t="shared" si="67"/>
        <v>2719487.7828755826</v>
      </c>
      <c r="CS75" s="12">
        <f t="shared" si="67"/>
        <v>2719487.7828755826</v>
      </c>
      <c r="CT75" s="12">
        <f t="shared" si="67"/>
        <v>2719487.7828755826</v>
      </c>
      <c r="CU75" s="12">
        <f t="shared" si="67"/>
        <v>2719487.7828755826</v>
      </c>
      <c r="CV75" s="12">
        <f t="shared" si="67"/>
        <v>2719487.7828755826</v>
      </c>
    </row>
    <row r="76" spans="1:100">
      <c r="A76" s="8"/>
      <c r="B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W76" s="12" t="s">
        <v>264</v>
      </c>
      <c r="Z76" s="12">
        <f t="shared" si="60"/>
        <v>188609.2923954014</v>
      </c>
      <c r="AA76" s="12">
        <f t="shared" si="61"/>
        <v>210486.42804514209</v>
      </c>
      <c r="AB76" s="12"/>
      <c r="AC76" s="12"/>
      <c r="AD76" s="12"/>
      <c r="AE76" s="12"/>
      <c r="AJ76" s="12" t="s">
        <v>92</v>
      </c>
      <c r="AN76" s="12">
        <f t="shared" ref="AN76" si="68">AN11*$AE$5/100 + AN23*$AC$5/100 + AN35*$AD$5/100</f>
        <v>1616841.8051648596</v>
      </c>
      <c r="AO76" s="12">
        <f t="shared" ref="AO76:BR76" si="69">AO11*$AE$5/100 + AO23*$AC$5/100 + AO35*$AD$5/100</f>
        <v>1653414.7667976888</v>
      </c>
      <c r="AP76" s="12">
        <f t="shared" si="69"/>
        <v>1671255.1121314364</v>
      </c>
      <c r="AQ76" s="12">
        <f t="shared" si="69"/>
        <v>1700067.5502645823</v>
      </c>
      <c r="AR76" s="12">
        <f t="shared" si="69"/>
        <v>1737469.0363704031</v>
      </c>
      <c r="AS76" s="12">
        <f t="shared" si="69"/>
        <v>1765268.5409523295</v>
      </c>
      <c r="AT76" s="12">
        <f t="shared" si="69"/>
        <v>1798808.6432304233</v>
      </c>
      <c r="AU76" s="12">
        <f t="shared" si="69"/>
        <v>1832986.0074518013</v>
      </c>
      <c r="AV76" s="12">
        <f t="shared" si="69"/>
        <v>1869645.7276008376</v>
      </c>
      <c r="AW76" s="12">
        <f t="shared" si="69"/>
        <v>1907973.4650166542</v>
      </c>
      <c r="AX76" s="12">
        <f t="shared" si="69"/>
        <v>1948040.907782004</v>
      </c>
      <c r="AY76" s="12">
        <f t="shared" si="69"/>
        <v>1989923.7872993171</v>
      </c>
      <c r="AZ76" s="12">
        <f t="shared" si="69"/>
        <v>2033702.1106199021</v>
      </c>
      <c r="BA76" s="12">
        <f t="shared" si="69"/>
        <v>2078443.5570535401</v>
      </c>
      <c r="BB76" s="12">
        <f t="shared" si="69"/>
        <v>2124169.315308718</v>
      </c>
      <c r="BC76" s="12">
        <f t="shared" si="69"/>
        <v>2170901.0402455102</v>
      </c>
      <c r="BD76" s="12">
        <f t="shared" si="69"/>
        <v>2218660.8631309113</v>
      </c>
      <c r="BE76" s="12">
        <f t="shared" si="69"/>
        <v>2267471.4021197911</v>
      </c>
      <c r="BF76" s="12">
        <f t="shared" si="69"/>
        <v>2317355.7729664268</v>
      </c>
      <c r="BG76" s="12">
        <f t="shared" si="69"/>
        <v>2368337.5999716884</v>
      </c>
      <c r="BH76" s="12">
        <f t="shared" si="69"/>
        <v>2368337.5999716884</v>
      </c>
      <c r="BI76" s="12">
        <f t="shared" si="69"/>
        <v>2368337.5999716884</v>
      </c>
      <c r="BJ76" s="12">
        <f t="shared" si="69"/>
        <v>2368337.5999716884</v>
      </c>
      <c r="BK76" s="12">
        <f t="shared" si="69"/>
        <v>2368337.5999716884</v>
      </c>
      <c r="BL76" s="12">
        <f t="shared" si="69"/>
        <v>2368337.5999716884</v>
      </c>
      <c r="BM76" s="12">
        <f t="shared" si="69"/>
        <v>2368337.5999716884</v>
      </c>
      <c r="BN76" s="12">
        <f t="shared" si="69"/>
        <v>2368337.5999716884</v>
      </c>
      <c r="BO76" s="12">
        <f t="shared" si="69"/>
        <v>2368337.5999716884</v>
      </c>
      <c r="BP76" s="12">
        <f t="shared" si="69"/>
        <v>2368337.5999716884</v>
      </c>
      <c r="BQ76" s="12">
        <f t="shared" si="69"/>
        <v>2368337.5999716884</v>
      </c>
      <c r="BR76" s="12">
        <f t="shared" si="69"/>
        <v>2368337.5999716884</v>
      </c>
      <c r="BS76" s="12">
        <f t="shared" ref="BS76:CV76" si="70">BS11*$AE$5/100 + BS23*$AC$5/100 + BS35*$AD$5/100</f>
        <v>2368337.5999716884</v>
      </c>
      <c r="BT76" s="12">
        <f t="shared" si="70"/>
        <v>2368337.5999716884</v>
      </c>
      <c r="BU76" s="12">
        <f t="shared" si="70"/>
        <v>2368337.5999716884</v>
      </c>
      <c r="BV76" s="12">
        <f t="shared" si="70"/>
        <v>2368337.5999716884</v>
      </c>
      <c r="BW76" s="12">
        <f t="shared" si="70"/>
        <v>2368337.5999716884</v>
      </c>
      <c r="BX76" s="12">
        <f t="shared" si="70"/>
        <v>2368337.5999716884</v>
      </c>
      <c r="BY76" s="12">
        <f t="shared" si="70"/>
        <v>2368337.5999716884</v>
      </c>
      <c r="BZ76" s="12">
        <f t="shared" si="70"/>
        <v>2368337.5999716884</v>
      </c>
      <c r="CA76" s="12">
        <f t="shared" si="70"/>
        <v>2368337.5999716884</v>
      </c>
      <c r="CB76" s="12">
        <f t="shared" si="70"/>
        <v>2368337.5999716884</v>
      </c>
      <c r="CC76" s="12">
        <f t="shared" si="70"/>
        <v>2368337.5999716884</v>
      </c>
      <c r="CD76" s="12">
        <f t="shared" si="70"/>
        <v>2368337.5999716884</v>
      </c>
      <c r="CE76" s="12">
        <f t="shared" si="70"/>
        <v>2368337.5999716884</v>
      </c>
      <c r="CF76" s="12">
        <f t="shared" si="70"/>
        <v>2368337.5999716884</v>
      </c>
      <c r="CG76" s="12">
        <f t="shared" si="70"/>
        <v>2368337.5999716884</v>
      </c>
      <c r="CH76" s="12">
        <f t="shared" si="70"/>
        <v>2368337.5999716884</v>
      </c>
      <c r="CI76" s="12">
        <f t="shared" si="70"/>
        <v>2368337.5999716884</v>
      </c>
      <c r="CJ76" s="12">
        <f t="shared" si="70"/>
        <v>2368337.5999716884</v>
      </c>
      <c r="CK76" s="12">
        <f t="shared" si="70"/>
        <v>2368337.5999716884</v>
      </c>
      <c r="CL76" s="12">
        <f t="shared" si="70"/>
        <v>2368337.5999716884</v>
      </c>
      <c r="CM76" s="12">
        <f t="shared" si="70"/>
        <v>2368337.5999716884</v>
      </c>
      <c r="CN76" s="12">
        <f t="shared" si="70"/>
        <v>2368337.5999716884</v>
      </c>
      <c r="CO76" s="12">
        <f t="shared" si="70"/>
        <v>2368337.5999716884</v>
      </c>
      <c r="CP76" s="12">
        <f t="shared" si="70"/>
        <v>2368337.5999716884</v>
      </c>
      <c r="CQ76" s="12">
        <f t="shared" si="70"/>
        <v>2368337.5999716884</v>
      </c>
      <c r="CR76" s="12">
        <f t="shared" si="70"/>
        <v>2368337.5999716884</v>
      </c>
      <c r="CS76" s="12">
        <f t="shared" si="70"/>
        <v>2368337.5999716884</v>
      </c>
      <c r="CT76" s="12">
        <f t="shared" si="70"/>
        <v>2368337.5999716884</v>
      </c>
      <c r="CU76" s="12">
        <f t="shared" si="70"/>
        <v>2368337.5999716884</v>
      </c>
      <c r="CV76" s="12">
        <f t="shared" si="70"/>
        <v>2368337.5999716884</v>
      </c>
    </row>
    <row r="77" spans="1:100"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W77" s="12" t="s">
        <v>265</v>
      </c>
      <c r="Z77" s="12">
        <f t="shared" si="60"/>
        <v>1674553.213000007</v>
      </c>
      <c r="AA77" s="12">
        <f t="shared" si="61"/>
        <v>1779542.1669477948</v>
      </c>
      <c r="AB77" s="12"/>
      <c r="AC77" s="12"/>
      <c r="AD77" s="12"/>
      <c r="AE77" s="12"/>
    </row>
    <row r="78" spans="1:100">
      <c r="A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W78" s="12" t="s">
        <v>92</v>
      </c>
      <c r="Z78" s="12">
        <f t="shared" si="60"/>
        <v>1655103.7335090069</v>
      </c>
      <c r="AA78" s="12">
        <f t="shared" si="61"/>
        <v>1774545.8149576609</v>
      </c>
      <c r="AB78" s="12"/>
      <c r="AC78" s="12"/>
      <c r="AD78" s="12"/>
      <c r="AE78" s="12"/>
    </row>
    <row r="79" spans="1:100">
      <c r="A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100">
      <c r="A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AJ80" t="s">
        <v>126</v>
      </c>
    </row>
    <row r="81" spans="1:100">
      <c r="A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AJ81" s="12" t="s">
        <v>259</v>
      </c>
      <c r="AN81">
        <f t="shared" ref="AN81:AO84" si="71">AN45 + AN57 +AN69</f>
        <v>1425946.4000000001</v>
      </c>
      <c r="AO81" s="12">
        <f t="shared" si="71"/>
        <v>1458201.3075680004</v>
      </c>
      <c r="AP81" s="12">
        <f t="shared" ref="AP81:CV81" si="72">AP45 + AP57 +AP69</f>
        <v>1473935.2996766591</v>
      </c>
      <c r="AQ81" s="12">
        <f t="shared" si="72"/>
        <v>1499345.9442430846</v>
      </c>
      <c r="AR81" s="12">
        <f t="shared" si="72"/>
        <v>1532331.5550164324</v>
      </c>
      <c r="AS81" s="12">
        <f t="shared" si="72"/>
        <v>1556848.8598966955</v>
      </c>
      <c r="AT81" s="12">
        <f t="shared" si="72"/>
        <v>1586428.9882347325</v>
      </c>
      <c r="AU81" s="12">
        <f t="shared" si="72"/>
        <v>1616571.1390111924</v>
      </c>
      <c r="AV81" s="12">
        <f t="shared" si="72"/>
        <v>1648902.5617914163</v>
      </c>
      <c r="AW81" s="12">
        <f t="shared" si="72"/>
        <v>1682705.0643081404</v>
      </c>
      <c r="AX81" s="12">
        <f t="shared" si="72"/>
        <v>1718041.8706586109</v>
      </c>
      <c r="AY81" s="12">
        <f t="shared" si="72"/>
        <v>1754979.7708777713</v>
      </c>
      <c r="AZ81" s="12">
        <f t="shared" si="72"/>
        <v>1793589.3258370822</v>
      </c>
      <c r="BA81" s="12">
        <f t="shared" si="72"/>
        <v>1833048.2910054983</v>
      </c>
      <c r="BB81" s="12">
        <f t="shared" si="72"/>
        <v>1873375.3534076193</v>
      </c>
      <c r="BC81" s="12">
        <f t="shared" si="72"/>
        <v>1914589.6111825868</v>
      </c>
      <c r="BD81" s="12">
        <f t="shared" si="72"/>
        <v>1956710.5826286038</v>
      </c>
      <c r="BE81" s="12">
        <f t="shared" si="72"/>
        <v>1999758.2154464331</v>
      </c>
      <c r="BF81" s="12">
        <f t="shared" si="72"/>
        <v>2043752.8961862545</v>
      </c>
      <c r="BG81" s="12">
        <f t="shared" si="72"/>
        <v>2088715.4599023522</v>
      </c>
      <c r="BH81" s="12">
        <f t="shared" si="72"/>
        <v>2088715.4599023522</v>
      </c>
      <c r="BI81" s="12">
        <f t="shared" si="72"/>
        <v>2088715.4599023522</v>
      </c>
      <c r="BJ81" s="12">
        <f t="shared" si="72"/>
        <v>2088715.4599023522</v>
      </c>
      <c r="BK81" s="12">
        <f t="shared" si="72"/>
        <v>2088715.4599023522</v>
      </c>
      <c r="BL81" s="12">
        <f t="shared" si="72"/>
        <v>2088715.4599023522</v>
      </c>
      <c r="BM81" s="12">
        <f t="shared" si="72"/>
        <v>2088715.4599023522</v>
      </c>
      <c r="BN81" s="12">
        <f t="shared" si="72"/>
        <v>2088715.4599023522</v>
      </c>
      <c r="BO81" s="12">
        <f t="shared" si="72"/>
        <v>2088715.4599023522</v>
      </c>
      <c r="BP81" s="12">
        <f t="shared" si="72"/>
        <v>2088715.4599023522</v>
      </c>
      <c r="BQ81" s="12">
        <f t="shared" si="72"/>
        <v>2088715.4599023522</v>
      </c>
      <c r="BR81" s="12">
        <f t="shared" si="72"/>
        <v>2088715.4599023522</v>
      </c>
      <c r="BS81" s="12">
        <f t="shared" si="72"/>
        <v>2088715.4599023522</v>
      </c>
      <c r="BT81" s="12">
        <f t="shared" si="72"/>
        <v>2088715.4599023522</v>
      </c>
      <c r="BU81" s="12">
        <f t="shared" si="72"/>
        <v>2088715.4599023522</v>
      </c>
      <c r="BV81" s="12">
        <f t="shared" si="72"/>
        <v>2088715.4599023522</v>
      </c>
      <c r="BW81" s="12">
        <f t="shared" si="72"/>
        <v>2088715.4599023522</v>
      </c>
      <c r="BX81" s="12">
        <f t="shared" si="72"/>
        <v>2088715.4599023522</v>
      </c>
      <c r="BY81" s="12">
        <f t="shared" si="72"/>
        <v>2088715.4599023522</v>
      </c>
      <c r="BZ81" s="12">
        <f t="shared" si="72"/>
        <v>2088715.4599023522</v>
      </c>
      <c r="CA81" s="12">
        <f t="shared" si="72"/>
        <v>2088715.4599023522</v>
      </c>
      <c r="CB81" s="12">
        <f t="shared" si="72"/>
        <v>2088715.4599023522</v>
      </c>
      <c r="CC81" s="12">
        <f t="shared" si="72"/>
        <v>2088715.4599023522</v>
      </c>
      <c r="CD81" s="12">
        <f t="shared" si="72"/>
        <v>2088715.4599023522</v>
      </c>
      <c r="CE81" s="12">
        <f t="shared" si="72"/>
        <v>2088715.4599023522</v>
      </c>
      <c r="CF81" s="12">
        <f t="shared" si="72"/>
        <v>2088715.4599023522</v>
      </c>
      <c r="CG81" s="12">
        <f t="shared" si="72"/>
        <v>2088715.4599023522</v>
      </c>
      <c r="CH81" s="12">
        <f t="shared" si="72"/>
        <v>2088715.4599023522</v>
      </c>
      <c r="CI81" s="12">
        <f t="shared" si="72"/>
        <v>2088715.4599023522</v>
      </c>
      <c r="CJ81" s="12">
        <f t="shared" si="72"/>
        <v>2088715.4599023522</v>
      </c>
      <c r="CK81" s="12">
        <f t="shared" si="72"/>
        <v>2088715.4599023522</v>
      </c>
      <c r="CL81" s="12">
        <f t="shared" si="72"/>
        <v>2088715.4599023522</v>
      </c>
      <c r="CM81" s="12">
        <f t="shared" si="72"/>
        <v>2088715.4599023522</v>
      </c>
      <c r="CN81" s="12">
        <f t="shared" si="72"/>
        <v>2088715.4599023522</v>
      </c>
      <c r="CO81" s="12">
        <f t="shared" si="72"/>
        <v>2088715.4599023522</v>
      </c>
      <c r="CP81" s="12">
        <f t="shared" si="72"/>
        <v>2088715.4599023522</v>
      </c>
      <c r="CQ81" s="12">
        <f t="shared" si="72"/>
        <v>2088715.4599023522</v>
      </c>
      <c r="CR81" s="12">
        <f t="shared" si="72"/>
        <v>2088715.4599023522</v>
      </c>
      <c r="CS81" s="12">
        <f t="shared" si="72"/>
        <v>2088715.4599023522</v>
      </c>
      <c r="CT81" s="12">
        <f t="shared" si="72"/>
        <v>2088715.4599023522</v>
      </c>
      <c r="CU81" s="12">
        <f t="shared" si="72"/>
        <v>2088715.4599023522</v>
      </c>
      <c r="CV81" s="12">
        <f t="shared" si="72"/>
        <v>2088715.4599023522</v>
      </c>
    </row>
    <row r="82" spans="1:100">
      <c r="A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W82" s="12" t="s">
        <v>122</v>
      </c>
      <c r="AJ82" s="12" t="s">
        <v>260</v>
      </c>
      <c r="AN82" s="12">
        <f t="shared" si="71"/>
        <v>1636386</v>
      </c>
      <c r="AO82" s="12">
        <f t="shared" si="71"/>
        <v>1673401.0513200003</v>
      </c>
      <c r="AP82" s="12">
        <f t="shared" ref="AP82:CV82" si="73">AP46 + AP58 +AP70</f>
        <v>1691457.0486637431</v>
      </c>
      <c r="AQ82" s="12">
        <f t="shared" si="73"/>
        <v>1720617.7681827059</v>
      </c>
      <c r="AR82" s="12">
        <f t="shared" si="73"/>
        <v>1758471.3590827254</v>
      </c>
      <c r="AS82" s="12">
        <f t="shared" si="73"/>
        <v>1786606.9008280488</v>
      </c>
      <c r="AT82" s="12">
        <f t="shared" si="73"/>
        <v>1820552.4319437817</v>
      </c>
      <c r="AU82" s="12">
        <f t="shared" si="73"/>
        <v>1855142.9281507134</v>
      </c>
      <c r="AV82" s="12">
        <f t="shared" si="73"/>
        <v>1892245.7867137275</v>
      </c>
      <c r="AW82" s="12">
        <f t="shared" si="73"/>
        <v>1931036.825341359</v>
      </c>
      <c r="AX82" s="12">
        <f t="shared" si="73"/>
        <v>1971588.5986735276</v>
      </c>
      <c r="AY82" s="12">
        <f t="shared" si="73"/>
        <v>2013977.7535450086</v>
      </c>
      <c r="AZ82" s="12">
        <f t="shared" si="73"/>
        <v>2058285.2641229986</v>
      </c>
      <c r="BA82" s="12">
        <f t="shared" si="73"/>
        <v>2103567.5399337048</v>
      </c>
      <c r="BB82" s="12">
        <f t="shared" si="73"/>
        <v>2149846.0258122464</v>
      </c>
      <c r="BC82" s="12">
        <f t="shared" si="73"/>
        <v>2197142.6383801159</v>
      </c>
      <c r="BD82" s="12">
        <f t="shared" si="73"/>
        <v>2245479.7764244787</v>
      </c>
      <c r="BE82" s="12">
        <f t="shared" si="73"/>
        <v>2294880.3315058169</v>
      </c>
      <c r="BF82" s="12">
        <f t="shared" si="73"/>
        <v>2345367.6987989452</v>
      </c>
      <c r="BG82" s="12">
        <f t="shared" si="73"/>
        <v>2396965.7881725221</v>
      </c>
      <c r="BH82" s="12">
        <f t="shared" si="73"/>
        <v>2396965.7881725221</v>
      </c>
      <c r="BI82" s="12">
        <f t="shared" si="73"/>
        <v>2396965.7881725221</v>
      </c>
      <c r="BJ82" s="12">
        <f t="shared" si="73"/>
        <v>2396965.7881725221</v>
      </c>
      <c r="BK82" s="12">
        <f t="shared" si="73"/>
        <v>2396965.7881725221</v>
      </c>
      <c r="BL82" s="12">
        <f t="shared" si="73"/>
        <v>2396965.7881725221</v>
      </c>
      <c r="BM82" s="12">
        <f t="shared" si="73"/>
        <v>2396965.7881725221</v>
      </c>
      <c r="BN82" s="12">
        <f t="shared" si="73"/>
        <v>2396965.7881725221</v>
      </c>
      <c r="BO82" s="12">
        <f t="shared" si="73"/>
        <v>2396965.7881725221</v>
      </c>
      <c r="BP82" s="12">
        <f t="shared" si="73"/>
        <v>2396965.7881725221</v>
      </c>
      <c r="BQ82" s="12">
        <f t="shared" si="73"/>
        <v>2396965.7881725221</v>
      </c>
      <c r="BR82" s="12">
        <f t="shared" si="73"/>
        <v>2396965.7881725221</v>
      </c>
      <c r="BS82" s="12">
        <f t="shared" si="73"/>
        <v>2396965.7881725221</v>
      </c>
      <c r="BT82" s="12">
        <f t="shared" si="73"/>
        <v>2396965.7881725221</v>
      </c>
      <c r="BU82" s="12">
        <f t="shared" si="73"/>
        <v>2396965.7881725221</v>
      </c>
      <c r="BV82" s="12">
        <f t="shared" si="73"/>
        <v>2396965.7881725221</v>
      </c>
      <c r="BW82" s="12">
        <f t="shared" si="73"/>
        <v>2396965.7881725221</v>
      </c>
      <c r="BX82" s="12">
        <f t="shared" si="73"/>
        <v>2396965.7881725221</v>
      </c>
      <c r="BY82" s="12">
        <f t="shared" si="73"/>
        <v>2396965.7881725221</v>
      </c>
      <c r="BZ82" s="12">
        <f t="shared" si="73"/>
        <v>2396965.7881725221</v>
      </c>
      <c r="CA82" s="12">
        <f t="shared" si="73"/>
        <v>2396965.7881725221</v>
      </c>
      <c r="CB82" s="12">
        <f t="shared" si="73"/>
        <v>2396965.7881725221</v>
      </c>
      <c r="CC82" s="12">
        <f t="shared" si="73"/>
        <v>2396965.7881725221</v>
      </c>
      <c r="CD82" s="12">
        <f t="shared" si="73"/>
        <v>2396965.7881725221</v>
      </c>
      <c r="CE82" s="12">
        <f t="shared" si="73"/>
        <v>2396965.7881725221</v>
      </c>
      <c r="CF82" s="12">
        <f t="shared" si="73"/>
        <v>2396965.7881725221</v>
      </c>
      <c r="CG82" s="12">
        <f t="shared" si="73"/>
        <v>2396965.7881725221</v>
      </c>
      <c r="CH82" s="12">
        <f t="shared" si="73"/>
        <v>2396965.7881725221</v>
      </c>
      <c r="CI82" s="12">
        <f t="shared" si="73"/>
        <v>2396965.7881725221</v>
      </c>
      <c r="CJ82" s="12">
        <f t="shared" si="73"/>
        <v>2396965.7881725221</v>
      </c>
      <c r="CK82" s="12">
        <f t="shared" si="73"/>
        <v>2396965.7881725221</v>
      </c>
      <c r="CL82" s="12">
        <f t="shared" si="73"/>
        <v>2396965.7881725221</v>
      </c>
      <c r="CM82" s="12">
        <f t="shared" si="73"/>
        <v>2396965.7881725221</v>
      </c>
      <c r="CN82" s="12">
        <f t="shared" si="73"/>
        <v>2396965.7881725221</v>
      </c>
      <c r="CO82" s="12">
        <f t="shared" si="73"/>
        <v>2396965.7881725221</v>
      </c>
      <c r="CP82" s="12">
        <f t="shared" si="73"/>
        <v>2396965.7881725221</v>
      </c>
      <c r="CQ82" s="12">
        <f t="shared" si="73"/>
        <v>2396965.7881725221</v>
      </c>
      <c r="CR82" s="12">
        <f t="shared" si="73"/>
        <v>2396965.7881725221</v>
      </c>
      <c r="CS82" s="12">
        <f t="shared" si="73"/>
        <v>2396965.7881725221</v>
      </c>
      <c r="CT82" s="12">
        <f t="shared" si="73"/>
        <v>2396965.7881725221</v>
      </c>
      <c r="CU82" s="12">
        <f t="shared" si="73"/>
        <v>2396965.7881725221</v>
      </c>
      <c r="CV82" s="12">
        <f t="shared" si="73"/>
        <v>2396965.7881725221</v>
      </c>
    </row>
    <row r="83" spans="1:100">
      <c r="A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Z83" s="12">
        <v>2009</v>
      </c>
      <c r="AA83" s="12">
        <v>2010</v>
      </c>
      <c r="AB83" s="12"/>
      <c r="AC83" s="12"/>
      <c r="AD83" s="12"/>
      <c r="AE83" s="12"/>
      <c r="AJ83" s="12" t="s">
        <v>261</v>
      </c>
      <c r="AN83" s="12">
        <f t="shared" si="71"/>
        <v>1080234.4000000001</v>
      </c>
      <c r="AO83" s="12">
        <f t="shared" si="71"/>
        <v>1104669.3021280002</v>
      </c>
      <c r="AP83" s="12">
        <f t="shared" ref="AP83:CV83" si="74">AP47 + AP59 +AP71</f>
        <v>1116588.6838979614</v>
      </c>
      <c r="AQ83" s="12">
        <f t="shared" si="74"/>
        <v>1135838.6728083622</v>
      </c>
      <c r="AR83" s="12">
        <f t="shared" si="74"/>
        <v>1160827.1236101461</v>
      </c>
      <c r="AS83" s="12">
        <f t="shared" si="74"/>
        <v>1179400.3575879084</v>
      </c>
      <c r="AT83" s="12">
        <f t="shared" si="74"/>
        <v>1201808.9643820785</v>
      </c>
      <c r="AU83" s="12">
        <f t="shared" si="74"/>
        <v>1224643.3347053379</v>
      </c>
      <c r="AV83" s="12">
        <f t="shared" si="74"/>
        <v>1249136.2013994446</v>
      </c>
      <c r="AW83" s="12">
        <f t="shared" si="74"/>
        <v>1274743.4935281333</v>
      </c>
      <c r="AX83" s="12">
        <f t="shared" si="74"/>
        <v>1301513.1068922239</v>
      </c>
      <c r="AY83" s="12">
        <f t="shared" si="74"/>
        <v>1329495.6386904069</v>
      </c>
      <c r="AZ83" s="12">
        <f t="shared" si="74"/>
        <v>1358744.5427415958</v>
      </c>
      <c r="BA83" s="12">
        <f t="shared" si="74"/>
        <v>1388636.9226819109</v>
      </c>
      <c r="BB83" s="12">
        <f t="shared" si="74"/>
        <v>1419186.9349809131</v>
      </c>
      <c r="BC83" s="12">
        <f t="shared" si="74"/>
        <v>1450409.0475504932</v>
      </c>
      <c r="BD83" s="12">
        <f t="shared" si="74"/>
        <v>1482318.0465966039</v>
      </c>
      <c r="BE83" s="12">
        <f t="shared" si="74"/>
        <v>1514929.0436217291</v>
      </c>
      <c r="BF83" s="12">
        <f t="shared" si="74"/>
        <v>1548257.4825814073</v>
      </c>
      <c r="BG83" s="12">
        <f t="shared" si="74"/>
        <v>1582319.1471981984</v>
      </c>
      <c r="BH83" s="12">
        <f t="shared" si="74"/>
        <v>1582319.1471981984</v>
      </c>
      <c r="BI83" s="12">
        <f t="shared" si="74"/>
        <v>1582319.1471981984</v>
      </c>
      <c r="BJ83" s="12">
        <f t="shared" si="74"/>
        <v>1582319.1471981984</v>
      </c>
      <c r="BK83" s="12">
        <f t="shared" si="74"/>
        <v>1582319.1471981984</v>
      </c>
      <c r="BL83" s="12">
        <f t="shared" si="74"/>
        <v>1582319.1471981984</v>
      </c>
      <c r="BM83" s="12">
        <f t="shared" si="74"/>
        <v>1582319.1471981984</v>
      </c>
      <c r="BN83" s="12">
        <f t="shared" si="74"/>
        <v>1582319.1471981984</v>
      </c>
      <c r="BO83" s="12">
        <f t="shared" si="74"/>
        <v>1582319.1471981984</v>
      </c>
      <c r="BP83" s="12">
        <f t="shared" si="74"/>
        <v>1582319.1471981984</v>
      </c>
      <c r="BQ83" s="12">
        <f t="shared" si="74"/>
        <v>1582319.1471981984</v>
      </c>
      <c r="BR83" s="12">
        <f t="shared" si="74"/>
        <v>1582319.1471981984</v>
      </c>
      <c r="BS83" s="12">
        <f t="shared" si="74"/>
        <v>1582319.1471981984</v>
      </c>
      <c r="BT83" s="12">
        <f t="shared" si="74"/>
        <v>1582319.1471981984</v>
      </c>
      <c r="BU83" s="12">
        <f t="shared" si="74"/>
        <v>1582319.1471981984</v>
      </c>
      <c r="BV83" s="12">
        <f t="shared" si="74"/>
        <v>1582319.1471981984</v>
      </c>
      <c r="BW83" s="12">
        <f t="shared" si="74"/>
        <v>1582319.1471981984</v>
      </c>
      <c r="BX83" s="12">
        <f t="shared" si="74"/>
        <v>1582319.1471981984</v>
      </c>
      <c r="BY83" s="12">
        <f t="shared" si="74"/>
        <v>1582319.1471981984</v>
      </c>
      <c r="BZ83" s="12">
        <f t="shared" si="74"/>
        <v>1582319.1471981984</v>
      </c>
      <c r="CA83" s="12">
        <f t="shared" si="74"/>
        <v>1582319.1471981984</v>
      </c>
      <c r="CB83" s="12">
        <f t="shared" si="74"/>
        <v>1582319.1471981984</v>
      </c>
      <c r="CC83" s="12">
        <f t="shared" si="74"/>
        <v>1582319.1471981984</v>
      </c>
      <c r="CD83" s="12">
        <f t="shared" si="74"/>
        <v>1582319.1471981984</v>
      </c>
      <c r="CE83" s="12">
        <f t="shared" si="74"/>
        <v>1582319.1471981984</v>
      </c>
      <c r="CF83" s="12">
        <f t="shared" si="74"/>
        <v>1582319.1471981984</v>
      </c>
      <c r="CG83" s="12">
        <f t="shared" si="74"/>
        <v>1582319.1471981984</v>
      </c>
      <c r="CH83" s="12">
        <f t="shared" si="74"/>
        <v>1582319.1471981984</v>
      </c>
      <c r="CI83" s="12">
        <f t="shared" si="74"/>
        <v>1582319.1471981984</v>
      </c>
      <c r="CJ83" s="12">
        <f t="shared" si="74"/>
        <v>1582319.1471981984</v>
      </c>
      <c r="CK83" s="12">
        <f t="shared" si="74"/>
        <v>1582319.1471981984</v>
      </c>
      <c r="CL83" s="12">
        <f t="shared" si="74"/>
        <v>1582319.1471981984</v>
      </c>
      <c r="CM83" s="12">
        <f t="shared" si="74"/>
        <v>1582319.1471981984</v>
      </c>
      <c r="CN83" s="12">
        <f t="shared" si="74"/>
        <v>1582319.1471981984</v>
      </c>
      <c r="CO83" s="12">
        <f t="shared" si="74"/>
        <v>1582319.1471981984</v>
      </c>
      <c r="CP83" s="12">
        <f t="shared" si="74"/>
        <v>1582319.1471981984</v>
      </c>
      <c r="CQ83" s="12">
        <f t="shared" si="74"/>
        <v>1582319.1471981984</v>
      </c>
      <c r="CR83" s="12">
        <f t="shared" si="74"/>
        <v>1582319.1471981984</v>
      </c>
      <c r="CS83" s="12">
        <f t="shared" si="74"/>
        <v>1582319.1471981984</v>
      </c>
      <c r="CT83" s="12">
        <f t="shared" si="74"/>
        <v>1582319.1471981984</v>
      </c>
      <c r="CU83" s="12">
        <f t="shared" si="74"/>
        <v>1582319.1471981984</v>
      </c>
      <c r="CV83" s="12">
        <f t="shared" si="74"/>
        <v>1582319.1471981984</v>
      </c>
    </row>
    <row r="84" spans="1:100">
      <c r="A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W84" s="12" t="s">
        <v>259</v>
      </c>
      <c r="Z84" s="12">
        <f>(K16 +O16) + K16/M16*T16</f>
        <v>717081.89895037864</v>
      </c>
      <c r="AA84" s="12">
        <f>H29*(K45 +O45) + K45/M45*T45*H29</f>
        <v>735151.75698627299</v>
      </c>
      <c r="AB84" s="12"/>
      <c r="AC84" s="12"/>
      <c r="AD84" s="12"/>
      <c r="AE84" s="12"/>
      <c r="AJ84" s="12" t="s">
        <v>262</v>
      </c>
      <c r="AN84" s="12">
        <f t="shared" si="71"/>
        <v>1667272.2800000003</v>
      </c>
      <c r="AO84" s="12">
        <f t="shared" si="71"/>
        <v>1704985.9789736001</v>
      </c>
      <c r="AP84" s="12">
        <f t="shared" ref="AP84:CV85" si="75">AP48 + AP60 +AP72</f>
        <v>1723382.7776867254</v>
      </c>
      <c r="AQ84" s="12">
        <f t="shared" si="75"/>
        <v>1753093.8967740445</v>
      </c>
      <c r="AR84" s="12">
        <f t="shared" si="75"/>
        <v>1791661.9625030735</v>
      </c>
      <c r="AS84" s="12">
        <f t="shared" si="75"/>
        <v>1820328.5539031224</v>
      </c>
      <c r="AT84" s="12">
        <f t="shared" si="75"/>
        <v>1854914.7964272818</v>
      </c>
      <c r="AU84" s="12">
        <f t="shared" si="75"/>
        <v>1890158.1775594</v>
      </c>
      <c r="AV84" s="12">
        <f t="shared" si="75"/>
        <v>1927961.3411105876</v>
      </c>
      <c r="AW84" s="12">
        <f t="shared" si="75"/>
        <v>1967484.548603355</v>
      </c>
      <c r="AX84" s="12">
        <f t="shared" si="75"/>
        <v>2008801.7241240251</v>
      </c>
      <c r="AY84" s="12">
        <f t="shared" si="75"/>
        <v>2051990.9611926917</v>
      </c>
      <c r="AZ84" s="12">
        <f t="shared" si="75"/>
        <v>2097134.7623389312</v>
      </c>
      <c r="BA84" s="12">
        <f t="shared" si="75"/>
        <v>2143271.7271103878</v>
      </c>
      <c r="BB84" s="12">
        <f t="shared" si="75"/>
        <v>2190423.7051068163</v>
      </c>
      <c r="BC84" s="12">
        <f t="shared" si="75"/>
        <v>2238613.0266191661</v>
      </c>
      <c r="BD84" s="12">
        <f t="shared" si="75"/>
        <v>2287862.5132047879</v>
      </c>
      <c r="BE84" s="12">
        <f t="shared" si="75"/>
        <v>2338195.4884952935</v>
      </c>
      <c r="BF84" s="12">
        <f t="shared" si="75"/>
        <v>2389635.7892421894</v>
      </c>
      <c r="BG84" s="12">
        <f t="shared" si="75"/>
        <v>2442207.7766055181</v>
      </c>
      <c r="BH84" s="12">
        <f t="shared" si="75"/>
        <v>2442207.7766055181</v>
      </c>
      <c r="BI84" s="12">
        <f t="shared" si="75"/>
        <v>2442207.7766055181</v>
      </c>
      <c r="BJ84" s="12">
        <f t="shared" si="75"/>
        <v>2442207.7766055181</v>
      </c>
      <c r="BK84" s="12">
        <f t="shared" si="75"/>
        <v>2442207.7766055181</v>
      </c>
      <c r="BL84" s="12">
        <f t="shared" si="75"/>
        <v>2442207.7766055181</v>
      </c>
      <c r="BM84" s="12">
        <f t="shared" si="75"/>
        <v>2442207.7766055181</v>
      </c>
      <c r="BN84" s="12">
        <f t="shared" si="75"/>
        <v>2442207.7766055181</v>
      </c>
      <c r="BO84" s="12">
        <f t="shared" si="75"/>
        <v>2442207.7766055181</v>
      </c>
      <c r="BP84" s="12">
        <f t="shared" si="75"/>
        <v>2442207.7766055181</v>
      </c>
      <c r="BQ84" s="12">
        <f t="shared" si="75"/>
        <v>2442207.7766055181</v>
      </c>
      <c r="BR84" s="12">
        <f t="shared" si="75"/>
        <v>2442207.7766055181</v>
      </c>
      <c r="BS84" s="12">
        <f t="shared" si="75"/>
        <v>2442207.7766055181</v>
      </c>
      <c r="BT84" s="12">
        <f t="shared" si="75"/>
        <v>2442207.7766055181</v>
      </c>
      <c r="BU84" s="12">
        <f t="shared" si="75"/>
        <v>2442207.7766055181</v>
      </c>
      <c r="BV84" s="12">
        <f t="shared" si="75"/>
        <v>2442207.7766055181</v>
      </c>
      <c r="BW84" s="12">
        <f t="shared" si="75"/>
        <v>2442207.7766055181</v>
      </c>
      <c r="BX84" s="12">
        <f t="shared" si="75"/>
        <v>2442207.7766055181</v>
      </c>
      <c r="BY84" s="12">
        <f t="shared" si="75"/>
        <v>2442207.7766055181</v>
      </c>
      <c r="BZ84" s="12">
        <f t="shared" si="75"/>
        <v>2442207.7766055181</v>
      </c>
      <c r="CA84" s="12">
        <f t="shared" si="75"/>
        <v>2442207.7766055181</v>
      </c>
      <c r="CB84" s="12">
        <f t="shared" si="75"/>
        <v>2442207.7766055181</v>
      </c>
      <c r="CC84" s="12">
        <f t="shared" si="75"/>
        <v>2442207.7766055181</v>
      </c>
      <c r="CD84" s="12">
        <f t="shared" si="75"/>
        <v>2442207.7766055181</v>
      </c>
      <c r="CE84" s="12">
        <f t="shared" si="75"/>
        <v>2442207.7766055181</v>
      </c>
      <c r="CF84" s="12">
        <f t="shared" si="75"/>
        <v>2442207.7766055181</v>
      </c>
      <c r="CG84" s="12">
        <f t="shared" si="75"/>
        <v>2442207.7766055181</v>
      </c>
      <c r="CH84" s="12">
        <f t="shared" si="75"/>
        <v>2442207.7766055181</v>
      </c>
      <c r="CI84" s="12">
        <f t="shared" si="75"/>
        <v>2442207.7766055181</v>
      </c>
      <c r="CJ84" s="12">
        <f t="shared" si="75"/>
        <v>2442207.7766055181</v>
      </c>
      <c r="CK84" s="12">
        <f t="shared" si="75"/>
        <v>2442207.7766055181</v>
      </c>
      <c r="CL84" s="12">
        <f t="shared" si="75"/>
        <v>2442207.7766055181</v>
      </c>
      <c r="CM84" s="12">
        <f t="shared" si="75"/>
        <v>2442207.7766055181</v>
      </c>
      <c r="CN84" s="12">
        <f t="shared" si="75"/>
        <v>2442207.7766055181</v>
      </c>
      <c r="CO84" s="12">
        <f t="shared" si="75"/>
        <v>2442207.7766055181</v>
      </c>
      <c r="CP84" s="12">
        <f t="shared" si="75"/>
        <v>2442207.7766055181</v>
      </c>
      <c r="CQ84" s="12">
        <f t="shared" si="75"/>
        <v>2442207.7766055181</v>
      </c>
      <c r="CR84" s="12">
        <f t="shared" si="75"/>
        <v>2442207.7766055181</v>
      </c>
      <c r="CS84" s="12">
        <f t="shared" si="75"/>
        <v>2442207.7766055181</v>
      </c>
      <c r="CT84" s="12">
        <f t="shared" si="75"/>
        <v>2442207.7766055181</v>
      </c>
      <c r="CU84" s="12">
        <f t="shared" si="75"/>
        <v>2442207.7766055181</v>
      </c>
      <c r="CV84" s="12">
        <f t="shared" si="75"/>
        <v>2442207.7766055181</v>
      </c>
    </row>
    <row r="85" spans="1:100" s="12" customFormat="1">
      <c r="W85" s="12" t="s">
        <v>260</v>
      </c>
      <c r="Z85" s="12">
        <f t="shared" ref="Z85:Z91" si="76">(K17 +O17) + K17/M17*T17</f>
        <v>818131.32232453907</v>
      </c>
      <c r="AA85" s="12">
        <f t="shared" ref="AA85:AA91" si="77">H30*(K46 +O46) + K46/M46*T46*H30</f>
        <v>830635.33203880501</v>
      </c>
      <c r="AJ85" s="12" t="s">
        <v>263</v>
      </c>
      <c r="AN85" s="12">
        <f t="shared" ref="AN85:BC87" si="78">AN49 + AN61 +AN73</f>
        <v>888153.44</v>
      </c>
      <c r="AO85" s="12">
        <f t="shared" si="78"/>
        <v>908243.47081280034</v>
      </c>
      <c r="AP85" s="12">
        <f t="shared" si="78"/>
        <v>918043.41786287026</v>
      </c>
      <c r="AQ85" s="12">
        <f t="shared" si="78"/>
        <v>933870.48638682603</v>
      </c>
      <c r="AR85" s="12">
        <f t="shared" si="78"/>
        <v>954415.63708733639</v>
      </c>
      <c r="AS85" s="12">
        <f t="shared" si="78"/>
        <v>969686.2872807337</v>
      </c>
      <c r="AT85" s="12">
        <f t="shared" si="78"/>
        <v>988110.32673906744</v>
      </c>
      <c r="AU85" s="12">
        <f t="shared" si="78"/>
        <v>1006884.4229471099</v>
      </c>
      <c r="AV85" s="12">
        <f t="shared" si="78"/>
        <v>1027022.111406052</v>
      </c>
      <c r="AW85" s="12">
        <f t="shared" si="78"/>
        <v>1048076.064689876</v>
      </c>
      <c r="AX85" s="12">
        <f t="shared" si="78"/>
        <v>1070085.6620483631</v>
      </c>
      <c r="AY85" s="12">
        <f t="shared" si="78"/>
        <v>1093092.5037824032</v>
      </c>
      <c r="AZ85" s="12">
        <f t="shared" si="78"/>
        <v>1117140.5388656163</v>
      </c>
      <c r="BA85" s="12">
        <f t="shared" si="78"/>
        <v>1141717.6307206596</v>
      </c>
      <c r="BB85" s="12">
        <f t="shared" si="78"/>
        <v>1166835.418596514</v>
      </c>
      <c r="BC85" s="12">
        <f t="shared" si="78"/>
        <v>1192505.7978056376</v>
      </c>
      <c r="BD85" s="12">
        <f t="shared" si="75"/>
        <v>1218740.9253573618</v>
      </c>
      <c r="BE85" s="12">
        <f t="shared" si="75"/>
        <v>1245553.2257152237</v>
      </c>
      <c r="BF85" s="12">
        <f t="shared" si="75"/>
        <v>1272955.3966809583</v>
      </c>
      <c r="BG85" s="12">
        <f t="shared" si="75"/>
        <v>1300960.4154079396</v>
      </c>
      <c r="BH85" s="12">
        <f t="shared" si="75"/>
        <v>1300960.4154079396</v>
      </c>
      <c r="BI85" s="12">
        <f t="shared" si="75"/>
        <v>1300960.4154079396</v>
      </c>
      <c r="BJ85" s="12">
        <f t="shared" si="75"/>
        <v>1300960.4154079396</v>
      </c>
      <c r="BK85" s="12">
        <f t="shared" si="75"/>
        <v>1300960.4154079396</v>
      </c>
      <c r="BL85" s="12">
        <f t="shared" si="75"/>
        <v>1300960.4154079396</v>
      </c>
      <c r="BM85" s="12">
        <f t="shared" si="75"/>
        <v>1300960.4154079396</v>
      </c>
      <c r="BN85" s="12">
        <f t="shared" si="75"/>
        <v>1300960.4154079396</v>
      </c>
      <c r="BO85" s="12">
        <f t="shared" si="75"/>
        <v>1300960.4154079396</v>
      </c>
      <c r="BP85" s="12">
        <f t="shared" si="75"/>
        <v>1300960.4154079396</v>
      </c>
      <c r="BQ85" s="12">
        <f t="shared" si="75"/>
        <v>1300960.4154079396</v>
      </c>
      <c r="BR85" s="12">
        <f t="shared" si="75"/>
        <v>1300960.4154079396</v>
      </c>
      <c r="BS85" s="12">
        <f t="shared" si="75"/>
        <v>1300960.4154079396</v>
      </c>
      <c r="BT85" s="12">
        <f t="shared" si="75"/>
        <v>1300960.4154079396</v>
      </c>
      <c r="BU85" s="12">
        <f t="shared" si="75"/>
        <v>1300960.4154079396</v>
      </c>
      <c r="BV85" s="12">
        <f t="shared" si="75"/>
        <v>1300960.4154079396</v>
      </c>
      <c r="BW85" s="12">
        <f t="shared" si="75"/>
        <v>1300960.4154079396</v>
      </c>
      <c r="BX85" s="12">
        <f t="shared" si="75"/>
        <v>1300960.4154079396</v>
      </c>
      <c r="BY85" s="12">
        <f t="shared" si="75"/>
        <v>1300960.4154079396</v>
      </c>
      <c r="BZ85" s="12">
        <f t="shared" si="75"/>
        <v>1300960.4154079396</v>
      </c>
      <c r="CA85" s="12">
        <f t="shared" si="75"/>
        <v>1300960.4154079396</v>
      </c>
      <c r="CB85" s="12">
        <f t="shared" si="75"/>
        <v>1300960.4154079396</v>
      </c>
      <c r="CC85" s="12">
        <f t="shared" si="75"/>
        <v>1300960.4154079396</v>
      </c>
      <c r="CD85" s="12">
        <f t="shared" si="75"/>
        <v>1300960.4154079396</v>
      </c>
      <c r="CE85" s="12">
        <f t="shared" si="75"/>
        <v>1300960.4154079396</v>
      </c>
      <c r="CF85" s="12">
        <f t="shared" si="75"/>
        <v>1300960.4154079396</v>
      </c>
      <c r="CG85" s="12">
        <f t="shared" si="75"/>
        <v>1300960.4154079396</v>
      </c>
      <c r="CH85" s="12">
        <f t="shared" si="75"/>
        <v>1300960.4154079396</v>
      </c>
      <c r="CI85" s="12">
        <f t="shared" si="75"/>
        <v>1300960.4154079396</v>
      </c>
      <c r="CJ85" s="12">
        <f t="shared" si="75"/>
        <v>1300960.4154079396</v>
      </c>
      <c r="CK85" s="12">
        <f t="shared" si="75"/>
        <v>1300960.4154079396</v>
      </c>
      <c r="CL85" s="12">
        <f t="shared" si="75"/>
        <v>1300960.4154079396</v>
      </c>
      <c r="CM85" s="12">
        <f t="shared" si="75"/>
        <v>1300960.4154079396</v>
      </c>
      <c r="CN85" s="12">
        <f t="shared" si="75"/>
        <v>1300960.4154079396</v>
      </c>
      <c r="CO85" s="12">
        <f t="shared" si="75"/>
        <v>1300960.4154079396</v>
      </c>
      <c r="CP85" s="12">
        <f t="shared" si="75"/>
        <v>1300960.4154079396</v>
      </c>
      <c r="CQ85" s="12">
        <f t="shared" si="75"/>
        <v>1300960.4154079396</v>
      </c>
      <c r="CR85" s="12">
        <f t="shared" si="75"/>
        <v>1300960.4154079396</v>
      </c>
      <c r="CS85" s="12">
        <f t="shared" si="75"/>
        <v>1300960.4154079396</v>
      </c>
      <c r="CT85" s="12">
        <f t="shared" si="75"/>
        <v>1300960.4154079396</v>
      </c>
      <c r="CU85" s="12">
        <f t="shared" si="75"/>
        <v>1300960.4154079396</v>
      </c>
      <c r="CV85" s="12">
        <f t="shared" si="75"/>
        <v>1300960.4154079396</v>
      </c>
    </row>
    <row r="86" spans="1:100" s="12" customFormat="1">
      <c r="A86" s="8"/>
      <c r="W86" s="12" t="s">
        <v>261</v>
      </c>
      <c r="Z86" s="12">
        <f t="shared" si="76"/>
        <v>525918.79652641399</v>
      </c>
      <c r="AA86" s="12">
        <f t="shared" si="77"/>
        <v>519243.25194869016</v>
      </c>
      <c r="AJ86" s="12" t="s">
        <v>264</v>
      </c>
      <c r="AN86" s="12">
        <f t="shared" si="78"/>
        <v>1289630.1599999997</v>
      </c>
      <c r="AO86" s="12">
        <f t="shared" ref="AO86:CV87" si="79">AO50 + AO62 +AO74</f>
        <v>1318801.5942191998</v>
      </c>
      <c r="AP86" s="12">
        <f t="shared" si="79"/>
        <v>1333031.4634208251</v>
      </c>
      <c r="AQ86" s="12">
        <f t="shared" si="79"/>
        <v>1356012.9258502</v>
      </c>
      <c r="AR86" s="12">
        <f t="shared" si="79"/>
        <v>1385845.2102189045</v>
      </c>
      <c r="AS86" s="12">
        <f t="shared" si="79"/>
        <v>1408018.733582407</v>
      </c>
      <c r="AT86" s="12">
        <f t="shared" si="79"/>
        <v>1434771.0895204726</v>
      </c>
      <c r="AU86" s="12">
        <f t="shared" si="79"/>
        <v>1462031.7402213614</v>
      </c>
      <c r="AV86" s="12">
        <f t="shared" si="79"/>
        <v>1491272.3750257883</v>
      </c>
      <c r="AW86" s="12">
        <f t="shared" si="79"/>
        <v>1521843.4587138174</v>
      </c>
      <c r="AX86" s="12">
        <f t="shared" si="79"/>
        <v>1553802.1713468072</v>
      </c>
      <c r="AY86" s="12">
        <f t="shared" si="79"/>
        <v>1587208.9180307637</v>
      </c>
      <c r="AZ86" s="12">
        <f t="shared" si="79"/>
        <v>1622127.5142274408</v>
      </c>
      <c r="BA86" s="12">
        <f t="shared" si="79"/>
        <v>1657814.3195404443</v>
      </c>
      <c r="BB86" s="12">
        <f t="shared" si="79"/>
        <v>1694286.234570334</v>
      </c>
      <c r="BC86" s="12">
        <f t="shared" si="79"/>
        <v>1731560.5317308814</v>
      </c>
      <c r="BD86" s="12">
        <f t="shared" si="79"/>
        <v>1769654.863428961</v>
      </c>
      <c r="BE86" s="12">
        <f t="shared" si="79"/>
        <v>1808587.2704243981</v>
      </c>
      <c r="BF86" s="12">
        <f t="shared" si="79"/>
        <v>1848376.1903737348</v>
      </c>
      <c r="BG86" s="12">
        <f t="shared" si="79"/>
        <v>1889040.4665619575</v>
      </c>
      <c r="BH86" s="12">
        <f t="shared" si="79"/>
        <v>1889040.4665619575</v>
      </c>
      <c r="BI86" s="12">
        <f t="shared" si="79"/>
        <v>1889040.4665619575</v>
      </c>
      <c r="BJ86" s="12">
        <f t="shared" si="79"/>
        <v>1889040.4665619575</v>
      </c>
      <c r="BK86" s="12">
        <f t="shared" si="79"/>
        <v>1889040.4665619575</v>
      </c>
      <c r="BL86" s="12">
        <f t="shared" si="79"/>
        <v>1889040.4665619575</v>
      </c>
      <c r="BM86" s="12">
        <f t="shared" si="79"/>
        <v>1889040.4665619575</v>
      </c>
      <c r="BN86" s="12">
        <f t="shared" si="79"/>
        <v>1889040.4665619575</v>
      </c>
      <c r="BO86" s="12">
        <f t="shared" si="79"/>
        <v>1889040.4665619575</v>
      </c>
      <c r="BP86" s="12">
        <f t="shared" si="79"/>
        <v>1889040.4665619575</v>
      </c>
      <c r="BQ86" s="12">
        <f t="shared" si="79"/>
        <v>1889040.4665619575</v>
      </c>
      <c r="BR86" s="12">
        <f t="shared" si="79"/>
        <v>1889040.4665619575</v>
      </c>
      <c r="BS86" s="12">
        <f t="shared" si="79"/>
        <v>1889040.4665619575</v>
      </c>
      <c r="BT86" s="12">
        <f t="shared" si="79"/>
        <v>1889040.4665619575</v>
      </c>
      <c r="BU86" s="12">
        <f t="shared" si="79"/>
        <v>1889040.4665619575</v>
      </c>
      <c r="BV86" s="12">
        <f t="shared" si="79"/>
        <v>1889040.4665619575</v>
      </c>
      <c r="BW86" s="12">
        <f t="shared" si="79"/>
        <v>1889040.4665619575</v>
      </c>
      <c r="BX86" s="12">
        <f t="shared" si="79"/>
        <v>1889040.4665619575</v>
      </c>
      <c r="BY86" s="12">
        <f t="shared" si="79"/>
        <v>1889040.4665619575</v>
      </c>
      <c r="BZ86" s="12">
        <f t="shared" si="79"/>
        <v>1889040.4665619575</v>
      </c>
      <c r="CA86" s="12">
        <f t="shared" si="79"/>
        <v>1889040.4665619575</v>
      </c>
      <c r="CB86" s="12">
        <f t="shared" si="79"/>
        <v>1889040.4665619575</v>
      </c>
      <c r="CC86" s="12">
        <f t="shared" si="79"/>
        <v>1889040.4665619575</v>
      </c>
      <c r="CD86" s="12">
        <f t="shared" si="79"/>
        <v>1889040.4665619575</v>
      </c>
      <c r="CE86" s="12">
        <f t="shared" si="79"/>
        <v>1889040.4665619575</v>
      </c>
      <c r="CF86" s="12">
        <f t="shared" si="79"/>
        <v>1889040.4665619575</v>
      </c>
      <c r="CG86" s="12">
        <f t="shared" si="79"/>
        <v>1889040.4665619575</v>
      </c>
      <c r="CH86" s="12">
        <f t="shared" si="79"/>
        <v>1889040.4665619575</v>
      </c>
      <c r="CI86" s="12">
        <f t="shared" si="79"/>
        <v>1889040.4665619575</v>
      </c>
      <c r="CJ86" s="12">
        <f t="shared" si="79"/>
        <v>1889040.4665619575</v>
      </c>
      <c r="CK86" s="12">
        <f t="shared" si="79"/>
        <v>1889040.4665619575</v>
      </c>
      <c r="CL86" s="12">
        <f t="shared" si="79"/>
        <v>1889040.4665619575</v>
      </c>
      <c r="CM86" s="12">
        <f t="shared" si="79"/>
        <v>1889040.4665619575</v>
      </c>
      <c r="CN86" s="12">
        <f t="shared" si="79"/>
        <v>1889040.4665619575</v>
      </c>
      <c r="CO86" s="12">
        <f t="shared" si="79"/>
        <v>1889040.4665619575</v>
      </c>
      <c r="CP86" s="12">
        <f t="shared" si="79"/>
        <v>1889040.4665619575</v>
      </c>
      <c r="CQ86" s="12">
        <f t="shared" si="79"/>
        <v>1889040.4665619575</v>
      </c>
      <c r="CR86" s="12">
        <f t="shared" si="79"/>
        <v>1889040.4665619575</v>
      </c>
      <c r="CS86" s="12">
        <f t="shared" si="79"/>
        <v>1889040.4665619575</v>
      </c>
      <c r="CT86" s="12">
        <f t="shared" si="79"/>
        <v>1889040.4665619575</v>
      </c>
      <c r="CU86" s="12">
        <f t="shared" si="79"/>
        <v>1889040.4665619575</v>
      </c>
      <c r="CV86" s="12">
        <f t="shared" si="79"/>
        <v>1889040.4665619575</v>
      </c>
    </row>
    <row r="87" spans="1:100" s="12" customFormat="1">
      <c r="A87" s="8"/>
      <c r="W87" s="12" t="s">
        <v>262</v>
      </c>
      <c r="Z87" s="12">
        <f t="shared" si="76"/>
        <v>629018.58118852845</v>
      </c>
      <c r="AA87" s="12">
        <f t="shared" si="77"/>
        <v>619336.72052603622</v>
      </c>
      <c r="AJ87" s="12" t="s">
        <v>265</v>
      </c>
      <c r="AN87" s="12">
        <f t="shared" si="78"/>
        <v>6592230.1199999992</v>
      </c>
      <c r="AO87" s="12">
        <f t="shared" si="79"/>
        <v>6741346.3653144017</v>
      </c>
      <c r="AP87" s="12">
        <f t="shared" si="79"/>
        <v>6814085.4925961439</v>
      </c>
      <c r="AQ87" s="12">
        <f t="shared" si="79"/>
        <v>6931560.3264885005</v>
      </c>
      <c r="AR87" s="12">
        <f t="shared" si="79"/>
        <v>7084054.653671247</v>
      </c>
      <c r="AS87" s="12">
        <f t="shared" si="79"/>
        <v>7197399.5281299874</v>
      </c>
      <c r="AT87" s="12">
        <f t="shared" si="79"/>
        <v>7334150.1191644575</v>
      </c>
      <c r="AU87" s="12">
        <f t="shared" si="79"/>
        <v>7473498.9714285797</v>
      </c>
      <c r="AV87" s="12">
        <f t="shared" si="79"/>
        <v>7622968.9508571513</v>
      </c>
      <c r="AW87" s="12">
        <f t="shared" si="79"/>
        <v>7779239.814349724</v>
      </c>
      <c r="AX87" s="12">
        <f t="shared" si="79"/>
        <v>7942603.8504510671</v>
      </c>
      <c r="AY87" s="12">
        <f t="shared" si="79"/>
        <v>8113369.8332357649</v>
      </c>
      <c r="AZ87" s="12">
        <f t="shared" si="79"/>
        <v>8291863.9695669534</v>
      </c>
      <c r="BA87" s="12">
        <f t="shared" si="79"/>
        <v>8474284.9768974259</v>
      </c>
      <c r="BB87" s="12">
        <f t="shared" si="79"/>
        <v>8660719.2463891692</v>
      </c>
      <c r="BC87" s="12">
        <f t="shared" si="79"/>
        <v>8851255.0698097311</v>
      </c>
      <c r="BD87" s="12">
        <f t="shared" si="79"/>
        <v>9045982.6813455448</v>
      </c>
      <c r="BE87" s="12">
        <f t="shared" si="79"/>
        <v>9244994.3003351483</v>
      </c>
      <c r="BF87" s="12">
        <f t="shared" si="79"/>
        <v>9448384.1749425214</v>
      </c>
      <c r="BG87" s="12">
        <f t="shared" si="79"/>
        <v>9656248.6267912574</v>
      </c>
      <c r="BH87" s="12">
        <f t="shared" si="79"/>
        <v>9656248.6267912574</v>
      </c>
      <c r="BI87" s="12">
        <f t="shared" si="79"/>
        <v>9656248.6267912574</v>
      </c>
      <c r="BJ87" s="12">
        <f t="shared" si="79"/>
        <v>9656248.6267912574</v>
      </c>
      <c r="BK87" s="12">
        <f t="shared" si="79"/>
        <v>9656248.6267912574</v>
      </c>
      <c r="BL87" s="12">
        <f t="shared" si="79"/>
        <v>9656248.6267912574</v>
      </c>
      <c r="BM87" s="12">
        <f t="shared" si="79"/>
        <v>9656248.6267912574</v>
      </c>
      <c r="BN87" s="12">
        <f t="shared" si="79"/>
        <v>9656248.6267912574</v>
      </c>
      <c r="BO87" s="12">
        <f t="shared" si="79"/>
        <v>9656248.6267912574</v>
      </c>
      <c r="BP87" s="12">
        <f t="shared" si="79"/>
        <v>9656248.6267912574</v>
      </c>
      <c r="BQ87" s="12">
        <f t="shared" si="79"/>
        <v>9656248.6267912574</v>
      </c>
      <c r="BR87" s="12">
        <f t="shared" si="79"/>
        <v>9656248.6267912574</v>
      </c>
      <c r="BS87" s="12">
        <f t="shared" si="79"/>
        <v>9656248.6267912574</v>
      </c>
      <c r="BT87" s="12">
        <f t="shared" si="79"/>
        <v>9656248.6267912574</v>
      </c>
      <c r="BU87" s="12">
        <f t="shared" si="79"/>
        <v>9656248.6267912574</v>
      </c>
      <c r="BV87" s="12">
        <f t="shared" si="79"/>
        <v>9656248.6267912574</v>
      </c>
      <c r="BW87" s="12">
        <f t="shared" si="79"/>
        <v>9656248.6267912574</v>
      </c>
      <c r="BX87" s="12">
        <f t="shared" si="79"/>
        <v>9656248.6267912574</v>
      </c>
      <c r="BY87" s="12">
        <f t="shared" si="79"/>
        <v>9656248.6267912574</v>
      </c>
      <c r="BZ87" s="12">
        <f t="shared" si="79"/>
        <v>9656248.6267912574</v>
      </c>
      <c r="CA87" s="12">
        <f t="shared" si="79"/>
        <v>9656248.6267912574</v>
      </c>
      <c r="CB87" s="12">
        <f t="shared" si="79"/>
        <v>9656248.6267912574</v>
      </c>
      <c r="CC87" s="12">
        <f t="shared" si="79"/>
        <v>9656248.6267912574</v>
      </c>
      <c r="CD87" s="12">
        <f t="shared" si="79"/>
        <v>9656248.6267912574</v>
      </c>
      <c r="CE87" s="12">
        <f t="shared" si="79"/>
        <v>9656248.6267912574</v>
      </c>
      <c r="CF87" s="12">
        <f t="shared" si="79"/>
        <v>9656248.6267912574</v>
      </c>
      <c r="CG87" s="12">
        <f t="shared" si="79"/>
        <v>9656248.6267912574</v>
      </c>
      <c r="CH87" s="12">
        <f t="shared" si="79"/>
        <v>9656248.6267912574</v>
      </c>
      <c r="CI87" s="12">
        <f t="shared" si="79"/>
        <v>9656248.6267912574</v>
      </c>
      <c r="CJ87" s="12">
        <f t="shared" si="79"/>
        <v>9656248.6267912574</v>
      </c>
      <c r="CK87" s="12">
        <f t="shared" si="79"/>
        <v>9656248.6267912574</v>
      </c>
      <c r="CL87" s="12">
        <f t="shared" si="79"/>
        <v>9656248.6267912574</v>
      </c>
      <c r="CM87" s="12">
        <f t="shared" si="79"/>
        <v>9656248.6267912574</v>
      </c>
      <c r="CN87" s="12">
        <f t="shared" si="79"/>
        <v>9656248.6267912574</v>
      </c>
      <c r="CO87" s="12">
        <f t="shared" si="79"/>
        <v>9656248.6267912574</v>
      </c>
      <c r="CP87" s="12">
        <f t="shared" si="79"/>
        <v>9656248.6267912574</v>
      </c>
      <c r="CQ87" s="12">
        <f t="shared" si="79"/>
        <v>9656248.6267912574</v>
      </c>
      <c r="CR87" s="12">
        <f t="shared" si="79"/>
        <v>9656248.6267912574</v>
      </c>
      <c r="CS87" s="12">
        <f t="shared" si="79"/>
        <v>9656248.6267912574</v>
      </c>
      <c r="CT87" s="12">
        <f t="shared" si="79"/>
        <v>9656248.6267912574</v>
      </c>
      <c r="CU87" s="12">
        <f t="shared" si="79"/>
        <v>9656248.6267912574</v>
      </c>
      <c r="CV87" s="12">
        <f t="shared" si="79"/>
        <v>9656248.6267912574</v>
      </c>
    </row>
    <row r="88" spans="1:100"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W88" s="12" t="s">
        <v>263</v>
      </c>
      <c r="Z88" s="12">
        <f t="shared" si="76"/>
        <v>316016.09694635036</v>
      </c>
      <c r="AA88" s="12">
        <f t="shared" si="77"/>
        <v>318718.82488986466</v>
      </c>
      <c r="AB88" s="12"/>
      <c r="AC88" s="12"/>
      <c r="AD88" s="12"/>
      <c r="AE88" s="12"/>
      <c r="AJ88" s="12" t="s">
        <v>92</v>
      </c>
      <c r="AN88" s="12">
        <f t="shared" ref="AN88:AO88" si="80">AN52 + AN64 +AN76</f>
        <v>6918830.2700000005</v>
      </c>
      <c r="AO88" s="12">
        <f t="shared" si="80"/>
        <v>7075334.2107074019</v>
      </c>
      <c r="AP88" s="12">
        <f t="shared" ref="AP88:CV88" si="81">AP52 + AP64 +AP76</f>
        <v>7151677.0668409355</v>
      </c>
      <c r="AQ88" s="12">
        <f t="shared" si="81"/>
        <v>7274971.9794732723</v>
      </c>
      <c r="AR88" s="12">
        <f t="shared" si="81"/>
        <v>7435021.3630216848</v>
      </c>
      <c r="AS88" s="12">
        <f t="shared" si="81"/>
        <v>7553981.7048300318</v>
      </c>
      <c r="AT88" s="12">
        <f t="shared" si="81"/>
        <v>7697507.3572218008</v>
      </c>
      <c r="AU88" s="12">
        <f t="shared" si="81"/>
        <v>7843759.9970090138</v>
      </c>
      <c r="AV88" s="12">
        <f t="shared" si="81"/>
        <v>8000635.1969491951</v>
      </c>
      <c r="AW88" s="12">
        <f t="shared" si="81"/>
        <v>8164648.2184866518</v>
      </c>
      <c r="AX88" s="12">
        <f t="shared" si="81"/>
        <v>8336105.8310748702</v>
      </c>
      <c r="AY88" s="12">
        <f t="shared" si="81"/>
        <v>8515332.1064429805</v>
      </c>
      <c r="AZ88" s="12">
        <f t="shared" si="81"/>
        <v>8702669.4127847273</v>
      </c>
      <c r="BA88" s="12">
        <f t="shared" si="81"/>
        <v>8894128.1398659926</v>
      </c>
      <c r="BB88" s="12">
        <f t="shared" si="81"/>
        <v>9089798.9589430448</v>
      </c>
      <c r="BC88" s="12">
        <f t="shared" si="81"/>
        <v>9289774.536039792</v>
      </c>
      <c r="BD88" s="12">
        <f t="shared" si="81"/>
        <v>9494149.5758326668</v>
      </c>
      <c r="BE88" s="12">
        <f t="shared" si="81"/>
        <v>9703020.8665009849</v>
      </c>
      <c r="BF88" s="12">
        <f t="shared" si="81"/>
        <v>9916487.3255640082</v>
      </c>
      <c r="BG88" s="12">
        <f t="shared" si="81"/>
        <v>10134650.046726417</v>
      </c>
      <c r="BH88" s="12">
        <f t="shared" si="81"/>
        <v>10134650.046726417</v>
      </c>
      <c r="BI88" s="12">
        <f t="shared" si="81"/>
        <v>10134650.046726417</v>
      </c>
      <c r="BJ88" s="12">
        <f t="shared" si="81"/>
        <v>10134650.046726417</v>
      </c>
      <c r="BK88" s="12">
        <f t="shared" si="81"/>
        <v>10134650.046726417</v>
      </c>
      <c r="BL88" s="12">
        <f t="shared" si="81"/>
        <v>10134650.046726417</v>
      </c>
      <c r="BM88" s="12">
        <f t="shared" si="81"/>
        <v>10134650.046726417</v>
      </c>
      <c r="BN88" s="12">
        <f t="shared" si="81"/>
        <v>10134650.046726417</v>
      </c>
      <c r="BO88" s="12">
        <f t="shared" si="81"/>
        <v>10134650.046726417</v>
      </c>
      <c r="BP88" s="12">
        <f t="shared" si="81"/>
        <v>10134650.046726417</v>
      </c>
      <c r="BQ88" s="12">
        <f t="shared" si="81"/>
        <v>10134650.046726417</v>
      </c>
      <c r="BR88" s="12">
        <f t="shared" si="81"/>
        <v>10134650.046726417</v>
      </c>
      <c r="BS88" s="12">
        <f t="shared" si="81"/>
        <v>10134650.046726417</v>
      </c>
      <c r="BT88" s="12">
        <f t="shared" si="81"/>
        <v>10134650.046726417</v>
      </c>
      <c r="BU88" s="12">
        <f t="shared" si="81"/>
        <v>10134650.046726417</v>
      </c>
      <c r="BV88" s="12">
        <f t="shared" si="81"/>
        <v>10134650.046726417</v>
      </c>
      <c r="BW88" s="12">
        <f t="shared" si="81"/>
        <v>10134650.046726417</v>
      </c>
      <c r="BX88" s="12">
        <f t="shared" si="81"/>
        <v>10134650.046726417</v>
      </c>
      <c r="BY88" s="12">
        <f t="shared" si="81"/>
        <v>10134650.046726417</v>
      </c>
      <c r="BZ88" s="12">
        <f t="shared" si="81"/>
        <v>10134650.046726417</v>
      </c>
      <c r="CA88" s="12">
        <f t="shared" si="81"/>
        <v>10134650.046726417</v>
      </c>
      <c r="CB88" s="12">
        <f t="shared" si="81"/>
        <v>10134650.046726417</v>
      </c>
      <c r="CC88" s="12">
        <f t="shared" si="81"/>
        <v>10134650.046726417</v>
      </c>
      <c r="CD88" s="12">
        <f t="shared" si="81"/>
        <v>10134650.046726417</v>
      </c>
      <c r="CE88" s="12">
        <f t="shared" si="81"/>
        <v>10134650.046726417</v>
      </c>
      <c r="CF88" s="12">
        <f t="shared" si="81"/>
        <v>10134650.046726417</v>
      </c>
      <c r="CG88" s="12">
        <f t="shared" si="81"/>
        <v>10134650.046726417</v>
      </c>
      <c r="CH88" s="12">
        <f t="shared" si="81"/>
        <v>10134650.046726417</v>
      </c>
      <c r="CI88" s="12">
        <f t="shared" si="81"/>
        <v>10134650.046726417</v>
      </c>
      <c r="CJ88" s="12">
        <f t="shared" si="81"/>
        <v>10134650.046726417</v>
      </c>
      <c r="CK88" s="12">
        <f t="shared" si="81"/>
        <v>10134650.046726417</v>
      </c>
      <c r="CL88" s="12">
        <f t="shared" si="81"/>
        <v>10134650.046726417</v>
      </c>
      <c r="CM88" s="12">
        <f t="shared" si="81"/>
        <v>10134650.046726417</v>
      </c>
      <c r="CN88" s="12">
        <f t="shared" si="81"/>
        <v>10134650.046726417</v>
      </c>
      <c r="CO88" s="12">
        <f t="shared" si="81"/>
        <v>10134650.046726417</v>
      </c>
      <c r="CP88" s="12">
        <f t="shared" si="81"/>
        <v>10134650.046726417</v>
      </c>
      <c r="CQ88" s="12">
        <f t="shared" si="81"/>
        <v>10134650.046726417</v>
      </c>
      <c r="CR88" s="12">
        <f t="shared" si="81"/>
        <v>10134650.046726417</v>
      </c>
      <c r="CS88" s="12">
        <f t="shared" si="81"/>
        <v>10134650.046726417</v>
      </c>
      <c r="CT88" s="12">
        <f t="shared" si="81"/>
        <v>10134650.046726417</v>
      </c>
      <c r="CU88" s="12">
        <f t="shared" si="81"/>
        <v>10134650.046726417</v>
      </c>
      <c r="CV88" s="12">
        <f t="shared" si="81"/>
        <v>10134650.046726417</v>
      </c>
    </row>
    <row r="89" spans="1:100">
      <c r="A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W89" s="12" t="s">
        <v>264</v>
      </c>
      <c r="Z89" s="12">
        <f t="shared" si="76"/>
        <v>410893.15521565318</v>
      </c>
      <c r="AA89" s="12">
        <f t="shared" si="77"/>
        <v>407174.91629868699</v>
      </c>
      <c r="AB89" s="12"/>
      <c r="AC89" s="12"/>
      <c r="AD89" s="12"/>
      <c r="AE89" s="12"/>
    </row>
    <row r="90" spans="1:100">
      <c r="A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W90" s="12" t="s">
        <v>265</v>
      </c>
      <c r="Z90" s="12">
        <f t="shared" si="76"/>
        <v>2556956.5225172983</v>
      </c>
      <c r="AA90" s="12">
        <f t="shared" si="77"/>
        <v>2576190.0646893182</v>
      </c>
      <c r="AB90" s="12"/>
      <c r="AC90" s="12"/>
      <c r="AD90" s="12"/>
      <c r="AE90" s="12"/>
    </row>
    <row r="91" spans="1:100">
      <c r="A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W91" s="12" t="s">
        <v>92</v>
      </c>
      <c r="Z91" s="12">
        <f t="shared" si="76"/>
        <v>2029494.4085918977</v>
      </c>
      <c r="AA91" s="12">
        <f t="shared" si="77"/>
        <v>2036419.8192365074</v>
      </c>
      <c r="AB91" s="12"/>
      <c r="AC91" s="12"/>
      <c r="AD91" s="12"/>
      <c r="AE91" s="12"/>
    </row>
    <row r="92" spans="1:100">
      <c r="A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100">
      <c r="A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Z93" s="12"/>
      <c r="AA93" s="12"/>
      <c r="AB93" s="12"/>
      <c r="AC93" s="12"/>
      <c r="AD93" s="12"/>
      <c r="AE93" s="12"/>
    </row>
    <row r="94" spans="1:100">
      <c r="A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W94" s="12"/>
      <c r="AA94" s="12"/>
      <c r="AB94" s="12"/>
      <c r="AC94" s="12"/>
      <c r="AD94" s="12"/>
    </row>
    <row r="95" spans="1:100">
      <c r="A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W95" s="12"/>
      <c r="Z95" s="12"/>
      <c r="AA95" s="12"/>
      <c r="AB95" s="12"/>
      <c r="AC95" s="12"/>
      <c r="AD95" s="12"/>
    </row>
    <row r="96" spans="1:100">
      <c r="A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W96" s="12"/>
      <c r="Z96" s="12"/>
      <c r="AA96" s="12"/>
      <c r="AB96" s="12"/>
      <c r="AC96" s="12"/>
      <c r="AD96" s="12"/>
    </row>
    <row r="97" spans="23:30">
      <c r="W97" s="12"/>
      <c r="Z97" s="12"/>
      <c r="AA97" s="12"/>
      <c r="AB97" s="12"/>
      <c r="AC97" s="12"/>
      <c r="AD97" s="12"/>
    </row>
    <row r="98" spans="23:30">
      <c r="W98" s="12"/>
      <c r="Z98" s="12"/>
      <c r="AA98" s="12"/>
      <c r="AB98" s="12"/>
      <c r="AC98" s="12"/>
      <c r="AD98" s="12"/>
    </row>
    <row r="99" spans="23:30">
      <c r="Z99" s="12"/>
      <c r="AA99" s="12"/>
      <c r="AB99" s="12"/>
      <c r="AC99" s="12"/>
      <c r="AD99" s="12"/>
    </row>
  </sheetData>
  <conditionalFormatting sqref="J5:T5">
    <cfRule type="expression" dxfId="15" priority="7" stopIfTrue="1">
      <formula>MOD(ROW(),2)=0</formula>
    </cfRule>
    <cfRule type="expression" dxfId="14" priority="8" stopIfTrue="1">
      <formula>MOD(ROW(),2)=1</formula>
    </cfRule>
  </conditionalFormatting>
  <conditionalFormatting sqref="J6:T6">
    <cfRule type="expression" dxfId="13" priority="5" stopIfTrue="1">
      <formula>MOD(ROW(),2)=0</formula>
    </cfRule>
    <cfRule type="expression" dxfId="12" priority="6" stopIfTrue="1">
      <formula>MOD(ROW(),2)=1</formula>
    </cfRule>
  </conditionalFormatting>
  <conditionalFormatting sqref="J7:T7">
    <cfRule type="expression" dxfId="11" priority="3" stopIfTrue="1">
      <formula>MOD(ROW(),2)=0</formula>
    </cfRule>
    <cfRule type="expression" dxfId="10" priority="4" stopIfTrue="1">
      <formula>MOD(ROW(),2)=1</formula>
    </cfRule>
  </conditionalFormatting>
  <conditionalFormatting sqref="J8:T8">
    <cfRule type="expression" dxfId="9" priority="1" stopIfTrue="1">
      <formula>MOD(ROW(),2)=0</formula>
    </cfRule>
    <cfRule type="expression" dxfId="8" priority="2" stopIfTrue="1">
      <formula>MOD(ROW(),2)=1</formula>
    </cfRule>
  </conditionalFormatting>
  <conditionalFormatting sqref="J4:T4">
    <cfRule type="expression" dxfId="7" priority="9" stopIfTrue="1">
      <formula>MOD(ROW(),2)=0</formula>
    </cfRule>
    <cfRule type="expression" dxfId="6" priority="10" stopIfTrue="1">
      <formula>MOD(ROW(),2)=1</formula>
    </cfRule>
  </conditionalFormatting>
  <conditionalFormatting sqref="J9:T9">
    <cfRule type="expression" dxfId="5" priority="15" stopIfTrue="1">
      <formula>MOD(ROW(),2)=0</formula>
    </cfRule>
    <cfRule type="expression" dxfId="4" priority="16" stopIfTrue="1">
      <formula>MOD(ROW(),2)=1</formula>
    </cfRule>
  </conditionalFormatting>
  <conditionalFormatting sqref="J2:T2">
    <cfRule type="expression" dxfId="3" priority="13" stopIfTrue="1">
      <formula>MOD(ROW(),2)=0</formula>
    </cfRule>
    <cfRule type="expression" dxfId="2" priority="14" stopIfTrue="1">
      <formula>MOD(ROW(),2)=1</formula>
    </cfRule>
  </conditionalFormatting>
  <conditionalFormatting sqref="J3:T3">
    <cfRule type="expression" dxfId="1" priority="11" stopIfTrue="1">
      <formula>MOD(ROW(),2)=0</formula>
    </cfRule>
    <cfRule type="expression" dxfId="0" priority="1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E69"/>
  <sheetViews>
    <sheetView workbookViewId="0">
      <selection activeCell="F60" sqref="F60"/>
    </sheetView>
  </sheetViews>
  <sheetFormatPr defaultRowHeight="14.25"/>
  <cols>
    <col min="6" max="6" width="14.86328125" bestFit="1" customWidth="1"/>
    <col min="7" max="7" width="13.86328125" bestFit="1" customWidth="1"/>
    <col min="8" max="8" width="20.3984375" bestFit="1" customWidth="1"/>
    <col min="9" max="10" width="13.86328125" bestFit="1" customWidth="1"/>
    <col min="11" max="11" width="15.3984375" customWidth="1"/>
    <col min="13" max="13" width="14" bestFit="1" customWidth="1"/>
    <col min="14" max="17" width="13.86328125" bestFit="1" customWidth="1"/>
    <col min="18" max="18" width="16.3984375" bestFit="1" customWidth="1"/>
  </cols>
  <sheetData>
    <row r="1" spans="1:83">
      <c r="A1" t="s">
        <v>98</v>
      </c>
    </row>
    <row r="2" spans="1:83">
      <c r="A2">
        <f>2.5*Variables!E21</f>
        <v>2.75</v>
      </c>
      <c r="B2" t="s">
        <v>103</v>
      </c>
      <c r="J2">
        <v>2.5</v>
      </c>
      <c r="K2" s="12" t="s">
        <v>105</v>
      </c>
      <c r="R2">
        <v>2010</v>
      </c>
      <c r="S2">
        <f>R2 +1</f>
        <v>2011</v>
      </c>
      <c r="T2" s="12">
        <f t="shared" ref="T2:BZ2" si="0">S2 +1</f>
        <v>2012</v>
      </c>
      <c r="U2" s="12">
        <f t="shared" si="0"/>
        <v>2013</v>
      </c>
      <c r="V2" s="12">
        <f t="shared" si="0"/>
        <v>2014</v>
      </c>
      <c r="W2" s="12">
        <f t="shared" si="0"/>
        <v>2015</v>
      </c>
      <c r="X2" s="12">
        <f t="shared" si="0"/>
        <v>2016</v>
      </c>
      <c r="Y2" s="12">
        <f t="shared" si="0"/>
        <v>2017</v>
      </c>
      <c r="Z2" s="12">
        <f t="shared" si="0"/>
        <v>2018</v>
      </c>
      <c r="AA2" s="12">
        <f t="shared" si="0"/>
        <v>2019</v>
      </c>
      <c r="AB2" s="12">
        <f t="shared" si="0"/>
        <v>2020</v>
      </c>
      <c r="AC2" s="12">
        <f t="shared" si="0"/>
        <v>2021</v>
      </c>
      <c r="AD2" s="12">
        <f t="shared" si="0"/>
        <v>2022</v>
      </c>
      <c r="AE2" s="12">
        <f t="shared" si="0"/>
        <v>2023</v>
      </c>
      <c r="AF2" s="12">
        <f t="shared" si="0"/>
        <v>2024</v>
      </c>
      <c r="AG2" s="12">
        <f t="shared" si="0"/>
        <v>2025</v>
      </c>
      <c r="AH2" s="12">
        <f t="shared" si="0"/>
        <v>2026</v>
      </c>
      <c r="AI2" s="12">
        <f t="shared" si="0"/>
        <v>2027</v>
      </c>
      <c r="AJ2" s="12">
        <f t="shared" si="0"/>
        <v>2028</v>
      </c>
      <c r="AK2" s="12">
        <f t="shared" si="0"/>
        <v>2029</v>
      </c>
      <c r="AL2" s="12">
        <f t="shared" si="0"/>
        <v>2030</v>
      </c>
      <c r="AM2" s="12">
        <f t="shared" si="0"/>
        <v>2031</v>
      </c>
      <c r="AN2" s="12">
        <f t="shared" si="0"/>
        <v>2032</v>
      </c>
      <c r="AO2" s="12">
        <f t="shared" si="0"/>
        <v>2033</v>
      </c>
      <c r="AP2" s="12">
        <f t="shared" si="0"/>
        <v>2034</v>
      </c>
      <c r="AQ2" s="12">
        <f t="shared" si="0"/>
        <v>2035</v>
      </c>
      <c r="AR2" s="12">
        <f t="shared" si="0"/>
        <v>2036</v>
      </c>
      <c r="AS2" s="12">
        <f t="shared" si="0"/>
        <v>2037</v>
      </c>
      <c r="AT2" s="12">
        <f t="shared" si="0"/>
        <v>2038</v>
      </c>
      <c r="AU2" s="12">
        <f t="shared" si="0"/>
        <v>2039</v>
      </c>
      <c r="AV2" s="12">
        <f t="shared" si="0"/>
        <v>2040</v>
      </c>
      <c r="AW2" s="12">
        <f t="shared" si="0"/>
        <v>2041</v>
      </c>
      <c r="AX2" s="12">
        <f t="shared" si="0"/>
        <v>2042</v>
      </c>
      <c r="AY2" s="12">
        <f t="shared" si="0"/>
        <v>2043</v>
      </c>
      <c r="AZ2" s="12">
        <f t="shared" si="0"/>
        <v>2044</v>
      </c>
      <c r="BA2" s="12">
        <f t="shared" si="0"/>
        <v>2045</v>
      </c>
      <c r="BB2" s="12">
        <f t="shared" si="0"/>
        <v>2046</v>
      </c>
      <c r="BC2" s="12">
        <f t="shared" si="0"/>
        <v>2047</v>
      </c>
      <c r="BD2" s="12">
        <f t="shared" si="0"/>
        <v>2048</v>
      </c>
      <c r="BE2" s="12">
        <f t="shared" si="0"/>
        <v>2049</v>
      </c>
      <c r="BF2" s="12">
        <f t="shared" si="0"/>
        <v>2050</v>
      </c>
      <c r="BG2" s="12">
        <f t="shared" si="0"/>
        <v>2051</v>
      </c>
      <c r="BH2" s="12">
        <f t="shared" si="0"/>
        <v>2052</v>
      </c>
      <c r="BI2" s="12">
        <f t="shared" si="0"/>
        <v>2053</v>
      </c>
      <c r="BJ2" s="12">
        <f t="shared" si="0"/>
        <v>2054</v>
      </c>
      <c r="BK2" s="12">
        <f t="shared" si="0"/>
        <v>2055</v>
      </c>
      <c r="BL2" s="12">
        <f t="shared" si="0"/>
        <v>2056</v>
      </c>
      <c r="BM2" s="12">
        <f t="shared" si="0"/>
        <v>2057</v>
      </c>
      <c r="BN2" s="12">
        <f t="shared" si="0"/>
        <v>2058</v>
      </c>
      <c r="BO2" s="12">
        <f t="shared" si="0"/>
        <v>2059</v>
      </c>
      <c r="BP2" s="12">
        <f t="shared" si="0"/>
        <v>2060</v>
      </c>
      <c r="BQ2" s="12">
        <f t="shared" si="0"/>
        <v>2061</v>
      </c>
      <c r="BR2" s="12">
        <f t="shared" si="0"/>
        <v>2062</v>
      </c>
      <c r="BS2" s="12">
        <f t="shared" si="0"/>
        <v>2063</v>
      </c>
      <c r="BT2" s="12">
        <f t="shared" si="0"/>
        <v>2064</v>
      </c>
      <c r="BU2" s="12">
        <f t="shared" si="0"/>
        <v>2065</v>
      </c>
      <c r="BV2" s="12">
        <f t="shared" si="0"/>
        <v>2066</v>
      </c>
      <c r="BW2" s="12">
        <f t="shared" si="0"/>
        <v>2067</v>
      </c>
      <c r="BX2" s="12">
        <f>BW2 +1</f>
        <v>2068</v>
      </c>
      <c r="BY2" s="12">
        <f t="shared" si="0"/>
        <v>2069</v>
      </c>
      <c r="BZ2" s="12">
        <f t="shared" si="0"/>
        <v>2070</v>
      </c>
    </row>
    <row r="3" spans="1:83">
      <c r="A3">
        <f>2.5*Variables!E22</f>
        <v>2.25</v>
      </c>
      <c r="B3" s="12" t="s">
        <v>104</v>
      </c>
      <c r="O3" t="s">
        <v>190</v>
      </c>
      <c r="R3" s="12">
        <v>1.1010210444514001</v>
      </c>
      <c r="S3" s="12">
        <v>0.8009927599883282</v>
      </c>
      <c r="T3" s="12">
        <v>-4.4443846577424395E-3</v>
      </c>
      <c r="U3" s="12">
        <v>1.0934996325012047</v>
      </c>
      <c r="V3" s="12">
        <v>2.0510297419709778</v>
      </c>
      <c r="W3" s="12">
        <v>1.6678234133589598</v>
      </c>
      <c r="X3" s="12">
        <v>1.9510892789831091</v>
      </c>
      <c r="Y3" s="12">
        <v>1.9866850429725469</v>
      </c>
      <c r="Z3" s="12">
        <v>1.9012423194452621</v>
      </c>
      <c r="AA3" s="12">
        <v>1.9114490239246607</v>
      </c>
      <c r="AB3" s="22">
        <v>1.8967691114666119</v>
      </c>
      <c r="AC3" s="12">
        <v>1.8838501413751763</v>
      </c>
      <c r="AD3" s="12">
        <v>1.8721839479827196</v>
      </c>
      <c r="AE3" s="12">
        <v>1.8865661867700556</v>
      </c>
      <c r="AF3" s="12">
        <v>1.9020871208777601</v>
      </c>
      <c r="AG3" s="12">
        <v>1.9185066472588108</v>
      </c>
      <c r="AH3" s="12">
        <v>1.9357146096685485</v>
      </c>
      <c r="AI3" s="12">
        <v>1.9533111103176015</v>
      </c>
      <c r="AJ3" s="12">
        <v>1.9707940712245575</v>
      </c>
      <c r="AK3" s="12">
        <v>1.9881695313068937</v>
      </c>
      <c r="AL3" s="12">
        <v>2.005004522039644</v>
      </c>
      <c r="AM3" s="12">
        <v>2.0211861698473443</v>
      </c>
      <c r="AN3" s="12">
        <v>2.0364595374527061</v>
      </c>
      <c r="AO3" s="12">
        <v>2.0505485655055056</v>
      </c>
      <c r="AP3" s="16">
        <v>2.0630452785669551</v>
      </c>
      <c r="AQ3" s="16">
        <v>2.0739038398084109</v>
      </c>
      <c r="AR3" s="16">
        <v>2.0831362198523662</v>
      </c>
      <c r="AS3" s="16">
        <v>2.090745764720503</v>
      </c>
      <c r="AT3" s="16">
        <v>2.1037172140809801</v>
      </c>
      <c r="AU3" s="16">
        <v>2.1037172140809801</v>
      </c>
      <c r="AV3" s="16">
        <v>2.1037172140809801</v>
      </c>
      <c r="AW3" s="16">
        <v>2.1037172140809801</v>
      </c>
      <c r="AX3" s="16">
        <v>2.1217898195732943</v>
      </c>
      <c r="AY3" s="16">
        <v>2.1217898195732943</v>
      </c>
      <c r="AZ3" s="16">
        <v>2.1217898195732943</v>
      </c>
      <c r="BA3" s="23">
        <v>2.1217898195732943</v>
      </c>
      <c r="BB3" s="16">
        <v>2.1217898195732943</v>
      </c>
      <c r="BC3" s="16">
        <v>2.1504608436407668</v>
      </c>
      <c r="BD3" s="16">
        <v>2.1504608436407668</v>
      </c>
      <c r="BE3" s="16">
        <v>2.1504608436407668</v>
      </c>
      <c r="BF3" s="16">
        <v>2.1504608436407668</v>
      </c>
      <c r="BG3" s="16">
        <v>2.1504608436407668</v>
      </c>
      <c r="BH3" s="16">
        <v>2.1861535914413199</v>
      </c>
      <c r="BI3" s="16">
        <v>2.1861535914413199</v>
      </c>
      <c r="BJ3" s="16">
        <v>2.1861535914413199</v>
      </c>
      <c r="BK3" s="16">
        <v>2.1861535914413199</v>
      </c>
      <c r="BL3" s="16">
        <v>2.1861535914413199</v>
      </c>
      <c r="BM3" s="12">
        <v>2.2122911127276712</v>
      </c>
      <c r="BN3" s="12">
        <v>2.2122911127276712</v>
      </c>
      <c r="BO3" s="12">
        <v>2.2122911127276712</v>
      </c>
      <c r="BP3" s="12">
        <v>2.2122911127276712</v>
      </c>
      <c r="BQ3" s="12">
        <v>2.2122911127276712</v>
      </c>
      <c r="BR3" s="12">
        <v>2.2181288114146103</v>
      </c>
      <c r="BS3" s="12">
        <v>2.2140884620266643</v>
      </c>
      <c r="BT3" s="12">
        <v>2.2140884620266643</v>
      </c>
      <c r="BU3" s="12">
        <v>2.2140884620266643</v>
      </c>
      <c r="BV3" s="12">
        <v>2.2140884620266643</v>
      </c>
      <c r="BW3" s="12">
        <v>2.1961508015812869</v>
      </c>
      <c r="BX3" s="12">
        <v>2.1961508015812869</v>
      </c>
      <c r="BY3" s="12">
        <v>2.1961508015812869</v>
      </c>
      <c r="BZ3" s="12">
        <v>2.1961508015812869</v>
      </c>
      <c r="CA3" s="12"/>
      <c r="CB3" s="12"/>
      <c r="CC3" s="12"/>
      <c r="CD3" s="12"/>
      <c r="CE3" s="12"/>
    </row>
    <row r="4" spans="1:83">
      <c r="R4" s="22"/>
      <c r="AU4" s="21"/>
    </row>
    <row r="5" spans="1:83">
      <c r="O5" t="s">
        <v>191</v>
      </c>
      <c r="R5" s="12">
        <f>C45*(1+R3/100)</f>
        <v>0</v>
      </c>
      <c r="S5" s="12">
        <f>R5*(1 + S3/100)</f>
        <v>0</v>
      </c>
      <c r="T5" s="12">
        <f t="shared" ref="T5:BZ5" si="1">S5*(1 + T3/100)</f>
        <v>0</v>
      </c>
      <c r="U5" s="12">
        <f t="shared" si="1"/>
        <v>0</v>
      </c>
      <c r="V5" s="12">
        <f t="shared" si="1"/>
        <v>0</v>
      </c>
      <c r="W5" s="12">
        <f t="shared" si="1"/>
        <v>0</v>
      </c>
      <c r="X5" s="12">
        <f t="shared" si="1"/>
        <v>0</v>
      </c>
      <c r="Y5" s="12">
        <f t="shared" si="1"/>
        <v>0</v>
      </c>
      <c r="Z5" s="12">
        <f t="shared" si="1"/>
        <v>0</v>
      </c>
      <c r="AA5" s="12">
        <f t="shared" si="1"/>
        <v>0</v>
      </c>
      <c r="AB5" s="12">
        <f t="shared" si="1"/>
        <v>0</v>
      </c>
      <c r="AC5" s="12">
        <f t="shared" si="1"/>
        <v>0</v>
      </c>
      <c r="AD5" s="12">
        <f t="shared" si="1"/>
        <v>0</v>
      </c>
      <c r="AE5" s="12">
        <f t="shared" si="1"/>
        <v>0</v>
      </c>
      <c r="AF5" s="12">
        <f t="shared" si="1"/>
        <v>0</v>
      </c>
      <c r="AG5" s="12">
        <f t="shared" si="1"/>
        <v>0</v>
      </c>
      <c r="AH5" s="12">
        <f t="shared" si="1"/>
        <v>0</v>
      </c>
      <c r="AI5" s="12">
        <f t="shared" si="1"/>
        <v>0</v>
      </c>
      <c r="AJ5" s="12">
        <f t="shared" si="1"/>
        <v>0</v>
      </c>
      <c r="AK5" s="12">
        <f t="shared" si="1"/>
        <v>0</v>
      </c>
      <c r="AL5" s="12">
        <f t="shared" si="1"/>
        <v>0</v>
      </c>
      <c r="AM5" s="12">
        <f t="shared" si="1"/>
        <v>0</v>
      </c>
      <c r="AN5" s="12">
        <f t="shared" si="1"/>
        <v>0</v>
      </c>
      <c r="AO5" s="12">
        <f t="shared" si="1"/>
        <v>0</v>
      </c>
      <c r="AP5" s="12">
        <f t="shared" si="1"/>
        <v>0</v>
      </c>
      <c r="AQ5" s="12">
        <f t="shared" si="1"/>
        <v>0</v>
      </c>
      <c r="AR5" s="12">
        <f t="shared" si="1"/>
        <v>0</v>
      </c>
      <c r="AS5" s="12">
        <f t="shared" si="1"/>
        <v>0</v>
      </c>
      <c r="AT5" s="12">
        <f t="shared" si="1"/>
        <v>0</v>
      </c>
      <c r="AU5" s="12">
        <f t="shared" si="1"/>
        <v>0</v>
      </c>
      <c r="AV5" s="12">
        <f t="shared" si="1"/>
        <v>0</v>
      </c>
      <c r="AW5" s="12">
        <f t="shared" si="1"/>
        <v>0</v>
      </c>
      <c r="AX5" s="12">
        <f t="shared" si="1"/>
        <v>0</v>
      </c>
      <c r="AY5" s="12">
        <f t="shared" si="1"/>
        <v>0</v>
      </c>
      <c r="AZ5" s="12">
        <f t="shared" si="1"/>
        <v>0</v>
      </c>
      <c r="BA5" s="12">
        <f t="shared" si="1"/>
        <v>0</v>
      </c>
      <c r="BB5" s="12">
        <f t="shared" si="1"/>
        <v>0</v>
      </c>
      <c r="BC5" s="12">
        <f t="shared" si="1"/>
        <v>0</v>
      </c>
      <c r="BD5" s="12">
        <f t="shared" si="1"/>
        <v>0</v>
      </c>
      <c r="BE5" s="12">
        <f t="shared" si="1"/>
        <v>0</v>
      </c>
      <c r="BF5" s="12">
        <f t="shared" si="1"/>
        <v>0</v>
      </c>
      <c r="BG5" s="12">
        <f t="shared" si="1"/>
        <v>0</v>
      </c>
      <c r="BH5" s="12">
        <f t="shared" si="1"/>
        <v>0</v>
      </c>
      <c r="BI5" s="12">
        <f t="shared" si="1"/>
        <v>0</v>
      </c>
      <c r="BJ5" s="12">
        <f t="shared" si="1"/>
        <v>0</v>
      </c>
      <c r="BK5" s="12">
        <f t="shared" si="1"/>
        <v>0</v>
      </c>
      <c r="BL5" s="12">
        <f t="shared" si="1"/>
        <v>0</v>
      </c>
      <c r="BM5" s="12">
        <f t="shared" si="1"/>
        <v>0</v>
      </c>
      <c r="BN5" s="12">
        <f t="shared" si="1"/>
        <v>0</v>
      </c>
      <c r="BO5" s="12">
        <f t="shared" si="1"/>
        <v>0</v>
      </c>
      <c r="BP5" s="12">
        <f t="shared" si="1"/>
        <v>0</v>
      </c>
      <c r="BQ5" s="12">
        <f t="shared" si="1"/>
        <v>0</v>
      </c>
      <c r="BR5" s="12">
        <f t="shared" si="1"/>
        <v>0</v>
      </c>
      <c r="BS5" s="12">
        <f t="shared" si="1"/>
        <v>0</v>
      </c>
      <c r="BT5" s="12">
        <f t="shared" si="1"/>
        <v>0</v>
      </c>
      <c r="BU5" s="12">
        <f t="shared" si="1"/>
        <v>0</v>
      </c>
      <c r="BV5" s="12">
        <f t="shared" si="1"/>
        <v>0</v>
      </c>
      <c r="BW5" s="12">
        <f t="shared" si="1"/>
        <v>0</v>
      </c>
      <c r="BX5" s="12">
        <f t="shared" si="1"/>
        <v>0</v>
      </c>
      <c r="BY5" s="12">
        <f t="shared" si="1"/>
        <v>0</v>
      </c>
      <c r="BZ5" s="12">
        <f t="shared" si="1"/>
        <v>0</v>
      </c>
    </row>
    <row r="6" spans="1:83">
      <c r="A6" s="12"/>
      <c r="G6" s="12"/>
      <c r="H6" s="12"/>
      <c r="I6" s="12"/>
      <c r="J6" s="12"/>
      <c r="K6" s="12"/>
      <c r="R6" s="22"/>
      <c r="AU6" s="22"/>
    </row>
    <row r="7" spans="1:83">
      <c r="A7" s="12"/>
      <c r="F7" s="12"/>
      <c r="G7" s="12"/>
      <c r="H7" s="12"/>
      <c r="I7" s="12"/>
      <c r="J7" s="12"/>
      <c r="K7" s="12"/>
      <c r="O7" t="s">
        <v>195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3">
      <c r="A8" s="12"/>
      <c r="F8" s="12"/>
      <c r="G8" s="12"/>
      <c r="H8" s="12"/>
      <c r="I8" s="12"/>
      <c r="J8" s="12"/>
      <c r="K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3">
      <c r="A9" s="12"/>
      <c r="F9" s="12"/>
      <c r="G9" s="12"/>
      <c r="H9" s="12"/>
      <c r="I9" s="12"/>
      <c r="J9" s="12"/>
      <c r="K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3" s="12" customFormat="1"/>
    <row r="11" spans="1:83" s="12" customFormat="1"/>
    <row r="12" spans="1:83" s="12" customFormat="1"/>
    <row r="13" spans="1:83">
      <c r="A13" s="12"/>
      <c r="F13" s="12"/>
      <c r="G13" s="12"/>
      <c r="H13" s="12"/>
      <c r="I13" s="12"/>
      <c r="J13" s="12"/>
      <c r="K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3" s="12" customFormat="1"/>
    <row r="15" spans="1:83">
      <c r="A15" s="12"/>
      <c r="B15" s="12"/>
      <c r="G15" s="12"/>
      <c r="H15" s="12"/>
      <c r="I15" s="12"/>
      <c r="J15" s="12"/>
      <c r="K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3" s="12" customFormat="1">
      <c r="F16" s="17"/>
      <c r="G16" s="17"/>
      <c r="H16" s="17"/>
      <c r="I16" s="17"/>
      <c r="J16" s="17"/>
      <c r="K16" s="17"/>
      <c r="M16" s="17"/>
      <c r="N16" s="17"/>
    </row>
    <row r="17" spans="1:81" s="12" customFormat="1"/>
    <row r="18" spans="1:81">
      <c r="P18" s="12"/>
      <c r="Q18" s="12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2"/>
      <c r="CB18" s="12"/>
      <c r="CC18" s="12"/>
    </row>
    <row r="19" spans="1:8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O21" t="s">
        <v>197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O22" t="s">
        <v>198</v>
      </c>
      <c r="P22" s="12"/>
      <c r="Q22" s="12"/>
      <c r="R22" s="12">
        <f>31.9602945504059*Variables!E19</f>
        <v>31.960294550405902</v>
      </c>
      <c r="S22" s="12">
        <f>32.2162941958256*Variables!E19</f>
        <v>32.216294195825597</v>
      </c>
      <c r="T22" s="12">
        <f>32.2148623797891*Variables!E19</f>
        <v>32.214862379789103</v>
      </c>
      <c r="U22" s="12">
        <f>32.5671317815229*Variables!E19</f>
        <v>32.567131781522903</v>
      </c>
      <c r="V22" s="12">
        <f>33.2350933404688*Variables!E19</f>
        <v>33.235093340468801</v>
      </c>
      <c r="W22" s="12">
        <f>33.7893960086528*Variables!E19</f>
        <v>33.789396008652801</v>
      </c>
      <c r="X22" s="12">
        <f>34.4486572916108*Variables!E19</f>
        <v>34.4486572916108</v>
      </c>
      <c r="Y22" s="12">
        <f>35.1330436135281*Variables!E19</f>
        <v>35.133043613528102</v>
      </c>
      <c r="Z22" s="12">
        <f>35.8010079068176*Variables!E19</f>
        <v>35.801007906817603</v>
      </c>
      <c r="AA22" s="12">
        <f>36.4853259230077*Variables!E19</f>
        <v>36.4853259230077</v>
      </c>
      <c r="AB22" s="12">
        <f>37.1773683153332*Variables!E19</f>
        <v>37.177368315333197</v>
      </c>
      <c r="AC22" s="12">
        <f>37.8777342209012*Variables!E19</f>
        <v>37.877734220901203</v>
      </c>
      <c r="AD22" s="12">
        <f>38.5868750808445*Variables!E19</f>
        <v>38.5868750808445</v>
      </c>
      <c r="AE22" s="12">
        <f>39.3148420186509*Variables!E19</f>
        <v>39.3148420186509</v>
      </c>
      <c r="AF22" s="12">
        <f>40.0626445652811*Variables!E19</f>
        <v>40.062644565281097</v>
      </c>
      <c r="AG22" s="12">
        <f>40.8312490643337*Variables!E19</f>
        <v>40.831249064333697</v>
      </c>
      <c r="AH22" s="12">
        <f>41.6216255177821*Variables!E19</f>
        <v>41.6216255177821</v>
      </c>
      <c r="AI22" s="12">
        <f>42.4346253533158*Variables!E19</f>
        <v>42.434625353315802</v>
      </c>
      <c r="AJ22" s="12">
        <f>43.2709244339253*Variables!E19</f>
        <v>43.270924433925302</v>
      </c>
      <c r="AK22" s="12">
        <f>44.1312237694354*Variables!E19</f>
        <v>44.131223769435401</v>
      </c>
      <c r="AL22" s="12">
        <f>45.016056801644*Variables!E19</f>
        <v>45.016056801643998</v>
      </c>
      <c r="AM22" s="12">
        <f>45.9259151159294*Variables!E19</f>
        <v>45.925915115929399</v>
      </c>
      <c r="AN22" s="12">
        <f>46.8611777944702*Variables!E19</f>
        <v>46.861177794470201</v>
      </c>
      <c r="AO22" s="12">
        <f>47.8220890035137*Variables!E19</f>
        <v>47.822089003513703</v>
      </c>
      <c r="AP22" s="12">
        <f>48.8086803528128*Variables!E19</f>
        <v>48.8086803528128</v>
      </c>
      <c r="AQ22" s="12">
        <f>49.8209254488096*Variables!E19</f>
        <v>49.820925448809597</v>
      </c>
      <c r="AR22" s="12">
        <f>50.8587631918994*Variables!E19</f>
        <v>50.858763191899399</v>
      </c>
      <c r="AS22" s="12">
        <f>51.9220906293233*Variables!E19</f>
        <v>51.9220906293233</v>
      </c>
      <c r="AT22" s="12">
        <f>53.0143845878031*Variables!E19</f>
        <v>53.0143845878031</v>
      </c>
      <c r="AU22" s="12">
        <f>54.1296573223158*Variables!E19</f>
        <v>54.129657322315801</v>
      </c>
      <c r="AV22" s="12">
        <f>55.2683922413284*Variables!E19</f>
        <v>55.268392241328399</v>
      </c>
      <c r="AW22" s="12">
        <f>56.431082922855*Variables!E19</f>
        <v>56.431082922854998</v>
      </c>
      <c r="AX22" s="12">
        <f>57.6284318953871*Variables!E19</f>
        <v>57.628431895387102</v>
      </c>
      <c r="AY22" s="12">
        <f>58.8511860965232*Variables!E19</f>
        <v>58.8511860965232</v>
      </c>
      <c r="AZ22" s="12">
        <f>60.0998845718173*Variables!E19</f>
        <v>60.099884571817299</v>
      </c>
      <c r="BA22" s="12">
        <f>61.3750778042374*Variables!E19</f>
        <v>61.375077804237399</v>
      </c>
      <c r="BB22" s="12">
        <f>62.6773279568429*Variables!E19</f>
        <v>62.677327956842902</v>
      </c>
      <c r="BC22" s="12">
        <f>64.0251793523951*Variables!E19</f>
        <v>64.025179352395099</v>
      </c>
      <c r="BD22" s="12">
        <f>65.4020157644392*Variables!E19</f>
        <v>65.402015764439199</v>
      </c>
      <c r="BE22" s="12">
        <f>66.8084605044052*Variables!E19</f>
        <v>66.808460504405204</v>
      </c>
      <c r="BF22" s="12">
        <f>68.2451502877916*Variables!E19</f>
        <v>68.245150287791603</v>
      </c>
      <c r="BG22" s="12">
        <f>69.7127355224144*Variables!E19</f>
        <v>69.712735522414405</v>
      </c>
      <c r="BH22" s="12">
        <f>71.2367629937296*Variables!E19</f>
        <v>71.236762993729599</v>
      </c>
      <c r="BI22" s="12">
        <f>72.7941080463436*Variables!E19</f>
        <v>72.794108046343595</v>
      </c>
      <c r="BJ22" s="12">
        <f>74.3854990537564*Variables!E19</f>
        <v>74.385499053756405</v>
      </c>
      <c r="BK22" s="12">
        <f>76.0116803128317*Variables!E19</f>
        <v>76.0116803128317</v>
      </c>
      <c r="BL22" s="12">
        <f>77.6734123919055*Variables!E19</f>
        <v>77.673412391905501</v>
      </c>
      <c r="BM22" s="12">
        <f>79.391774391204*Variables!E19</f>
        <v>79.391774391203995</v>
      </c>
      <c r="BN22" s="12">
        <f>81.1481515602974*Variables!E19</f>
        <v>81.148151560297407</v>
      </c>
      <c r="BO22" s="12">
        <f>82.9433849054086*Variables!E19</f>
        <v>82.943384905408607</v>
      </c>
      <c r="BP22" s="12">
        <f>84.7783340382665*Variables!E19</f>
        <v>84.778334038266493</v>
      </c>
      <c r="BQ22" s="12">
        <f>86.6538775877136*Variables!E19</f>
        <v>86.653877587713595</v>
      </c>
      <c r="BR22" s="12">
        <f>88.5759722126946*Variables!E19</f>
        <v>88.575972212694595</v>
      </c>
      <c r="BS22" s="12">
        <f>90.5371225935839*Variables!E19</f>
        <v>90.537122593583902</v>
      </c>
      <c r="BT22" s="12">
        <f>92.5416945787793*Variables!E19</f>
        <v>92.5416945787793</v>
      </c>
      <c r="BU22" s="12">
        <f>94.5906495610121*Variables!E19</f>
        <v>94.5906495610121</v>
      </c>
      <c r="BV22" s="12">
        <f>96.6849702190985*Variables!E19</f>
        <v>96.684970219098503</v>
      </c>
      <c r="BW22" s="12">
        <f>98.8083179675739*Variables!E19</f>
        <v>98.808317967573899</v>
      </c>
      <c r="BX22" s="12">
        <f>100.978297634648*Variables!E19</f>
        <v>100.978297634648</v>
      </c>
      <c r="BY22" s="12">
        <f>103.195933327574*Variables!E19</f>
        <v>103.195933327574</v>
      </c>
      <c r="BZ22" s="12">
        <f>105.462271644547*Variables!E19</f>
        <v>105.462271644547</v>
      </c>
      <c r="CA22" s="12"/>
      <c r="CB22" s="12"/>
      <c r="CC22" s="12"/>
    </row>
    <row r="23" spans="1:8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O23" t="s">
        <v>206</v>
      </c>
      <c r="P23" s="12"/>
      <c r="Q23" s="12"/>
      <c r="R23" s="12">
        <f>6.04448378023513*Variables!E20</f>
        <v>6.0444837802351303</v>
      </c>
      <c r="S23" s="12">
        <f>6.09289965769348*Variables!E20</f>
        <v>6.0928996576934802</v>
      </c>
      <c r="T23" s="12">
        <f>6.09262886579589*Variables!E20</f>
        <v>6.0926288657958896</v>
      </c>
      <c r="U23" s="12">
        <f>6.15925174005303*Variables!E20</f>
        <v>6.1592517400530298</v>
      </c>
      <c r="V23" s="12">
        <f>6.28557982512438*Variables!E20</f>
        <v>6.2855798251243797</v>
      </c>
      <c r="W23" s="12">
        <f>6.39041219711317*Variables!E20</f>
        <v>6.3904121971131698</v>
      </c>
      <c r="X23" s="12">
        <f>6.51509484437388*Variables!E20</f>
        <v>6.5150948443738796</v>
      </c>
      <c r="Y23" s="12">
        <f>6.64452925918253*Variables!E20</f>
        <v>6.64452925918253</v>
      </c>
      <c r="Z23" s="12">
        <f>6.77085786138603*Variables!E20</f>
        <v>6.7708578613860304</v>
      </c>
      <c r="AA23" s="12">
        <f>6.90027935788882*Variables!E20</f>
        <v>6.9002793578888202</v>
      </c>
      <c r="AB23" s="12">
        <f>7.03116172535416*Variables!E20</f>
        <v>7.0311617253541598</v>
      </c>
      <c r="AC23" s="12">
        <f>7.16361827545756*Variables!E20</f>
        <v>7.1636182754575604</v>
      </c>
      <c r="AD23" s="12">
        <f>7.29773438690543*Variables!E20</f>
        <v>7.2977343869054296</v>
      </c>
      <c r="AE23" s="12">
        <f>7.43541097624908*Variables!E20</f>
        <v>7.4354109762490799</v>
      </c>
      <c r="AF23" s="12">
        <f>7.57683897081265*Variables!E20</f>
        <v>7.5768389708126502</v>
      </c>
      <c r="AG23" s="12">
        <f>7.72220113011978*Variables!E20</f>
        <v>7.7222011301197799</v>
      </c>
      <c r="AH23" s="12">
        <f>7.8716809055835*Variables!E20</f>
        <v>7.8716809055835002</v>
      </c>
      <c r="AI23" s="12">
        <f>8.02543932328101*Variables!E20</f>
        <v>8.0254393232810095</v>
      </c>
      <c r="AJ23" s="12">
        <f>8.18360420565396*Variables!E20</f>
        <v>8.1836042056539604</v>
      </c>
      <c r="AK23" s="12">
        <f>8.34630813103352*Variables!E20</f>
        <v>8.3463081310335205</v>
      </c>
      <c r="AL23" s="12">
        <f>8.51365198648411*Variables!E20</f>
        <v>8.5136519864841098</v>
      </c>
      <c r="AM23" s="12">
        <f>8.68572874298386*Variables!E20</f>
        <v>8.6857287429838603</v>
      </c>
      <c r="AN23" s="12">
        <f>8.86261009436762*Variables!E20</f>
        <v>8.8626100943676196</v>
      </c>
      <c r="AO23" s="12">
        <f>9.04434221852402*Variables!E20</f>
        <v>9.0443422185240205</v>
      </c>
      <c r="AP23" s="12">
        <f>9.23093109364072*Variables!E20</f>
        <v>9.2309310936407201</v>
      </c>
      <c r="AQ23" s="12">
        <f>9.4223717280418*Variables!E20</f>
        <v>9.4223717280417993</v>
      </c>
      <c r="AR23" s="12">
        <f>9.61865256627777*Variables!E20</f>
        <v>9.6186525662777704</v>
      </c>
      <c r="AS23" s="12">
        <f>9.81975413743041*Variables!E20</f>
        <v>9.8197541374304098</v>
      </c>
      <c r="AT23" s="12">
        <f>10.0263339956*Variables!E20</f>
        <v>10.0263339956</v>
      </c>
      <c r="AU23" s="12">
        <f>10.2372597098066*Variables!E20</f>
        <v>10.237259709806599</v>
      </c>
      <c r="AV23" s="12">
        <f>10.452622704572*Variables!E20</f>
        <v>10.452622704572001</v>
      </c>
      <c r="AW23" s="12">
        <f>10.672516327731*Variables!E20</f>
        <v>10.672516327731</v>
      </c>
      <c r="AX23" s="12">
        <f>10.8989646926651*Variables!E20</f>
        <v>10.8989646926651</v>
      </c>
      <c r="AY23" s="12">
        <f>11.130217815953*Variables!E20</f>
        <v>11.130217815952999</v>
      </c>
      <c r="AZ23" s="12">
        <f>11.3663776444682*Variables!E20</f>
        <v>11.3663776444682</v>
      </c>
      <c r="BA23" s="12">
        <f>11.6075482881828*Variables!E20</f>
        <v>11.6075482881828</v>
      </c>
      <c r="BB23" s="12">
        <f>11.8538360660635*Variables!E20</f>
        <v>11.853836066063501</v>
      </c>
      <c r="BC23" s="12">
        <f>12.1087481691336*Variables!E20</f>
        <v>12.1087481691336</v>
      </c>
      <c r="BD23" s="12">
        <f>12.3691420571659*Variables!E20</f>
        <v>12.369142057165901</v>
      </c>
      <c r="BE23" s="12">
        <f>12.6351356137995*Variables!E20</f>
        <v>12.6351356137995</v>
      </c>
      <c r="BF23" s="12">
        <f>12.9068492577152*Variables!E20</f>
        <v>12.9068492577152</v>
      </c>
      <c r="BG23" s="12">
        <f>13.1844059971501*Variables!E20</f>
        <v>13.184405997150099</v>
      </c>
      <c r="BH23" s="12">
        <f>13.472637362367*Variables!E20</f>
        <v>13.472637362366999</v>
      </c>
      <c r="BI23" s="12">
        <f>13.7671699079262*Variables!E20</f>
        <v>13.767169907926201</v>
      </c>
      <c r="BJ23" s="12">
        <f>14.0681413873082*Variables!E20</f>
        <v>14.0681413873082</v>
      </c>
      <c r="BK23" s="12">
        <f>14.3756925654959*Variables!E20</f>
        <v>14.3756925654959</v>
      </c>
      <c r="BL23" s="12">
        <f>14.689967284811*Variables!E20</f>
        <v>14.689967284811001</v>
      </c>
      <c r="BM23" s="12">
        <f>15.0149521255155*Variables!E20</f>
        <v>15.014952125515499</v>
      </c>
      <c r="BN23" s="12">
        <f>15.3471265769686*Variables!E20</f>
        <v>15.3471265769686</v>
      </c>
      <c r="BO23" s="12">
        <f>15.6866496942899*Variables!E20</f>
        <v>15.686649694289899</v>
      </c>
      <c r="BP23" s="12">
        <f>16.0336840513614*Variables!E20</f>
        <v>16.033684051361401</v>
      </c>
      <c r="BQ23" s="12">
        <f>16.3883958186726*Variables!E20</f>
        <v>16.388395818672599</v>
      </c>
      <c r="BR23" s="12">
        <f>16.7519115480552*Variables!E20</f>
        <v>16.751911548055201</v>
      </c>
      <c r="BS23" s="12">
        <f>17.1228136888096*Variables!E20</f>
        <v>17.1228136888096</v>
      </c>
      <c r="BT23" s="12">
        <f>17.5019279310679*Variables!E20</f>
        <v>17.5019279310679</v>
      </c>
      <c r="BU23" s="12">
        <f>17.8894360980219*Variables!E20</f>
        <v>17.8894360980219</v>
      </c>
      <c r="BV23" s="12">
        <f>18.2855240385898*Variables!E20</f>
        <v>18.285524038589799</v>
      </c>
      <c r="BW23" s="12">
        <f>18.6871017213366*Variables!E20</f>
        <v>18.6871017213366</v>
      </c>
      <c r="BX23" s="12">
        <f>19.0974986555821*Variables!E20</f>
        <v>19.0974986555821</v>
      </c>
      <c r="BY23" s="12">
        <f>19.5169085253886*Variables!E20</f>
        <v>19.516908525388601</v>
      </c>
      <c r="BZ23" s="12">
        <f>19.9455292684128*Variables!E20</f>
        <v>19.945529268412798</v>
      </c>
      <c r="CA23" s="12"/>
      <c r="CB23" s="12"/>
    </row>
    <row r="24" spans="1:81" s="12" customFormat="1">
      <c r="O24" t="s">
        <v>209</v>
      </c>
      <c r="R24" s="12">
        <f>6.8105743832518*Variables!E20</f>
        <v>6.8105743832518</v>
      </c>
      <c r="S24" s="12">
        <f>6.86512659097527*Variables!E20</f>
        <v>6.8651265909752697</v>
      </c>
      <c r="T24" s="12">
        <f>6.86482147834232*Variables!E20</f>
        <v>6.8648214783423196</v>
      </c>
      <c r="U24" s="12">
        <f>6.93988827597986*Variables!E20</f>
        <v>6.9398882759798601</v>
      </c>
      <c r="V24" s="12">
        <f>7.08222744857976*Variables!E20</f>
        <v>7.0822274485797596</v>
      </c>
      <c r="W24" s="12">
        <f>7.20034649615451*Variables!E20</f>
        <v>7.2003464961545101</v>
      </c>
      <c r="X24" s="12">
        <f>7.34083168469062*Variables!E20</f>
        <v>7.3408316846906203</v>
      </c>
      <c r="Y24" s="12">
        <f>7.48667088980016*Variables!E20</f>
        <v>7.4866708898001599</v>
      </c>
      <c r="Z24" s="12">
        <f>7.62901064507463*Variables!E20</f>
        <v>7.6290106450746302</v>
      </c>
      <c r="AA24" s="12">
        <f>7.77483529458501*Variables!E20</f>
        <v>7.7748352945850101</v>
      </c>
      <c r="AB24" s="12">
        <f>7.92230596892011*Variables!E20</f>
        <v>7.9223059689201101</v>
      </c>
      <c r="AC24" s="12">
        <f>8.07155034111578*Variables!E20</f>
        <v>8.0715503411157794</v>
      </c>
      <c r="AD24" s="12">
        <f>8.2226646109555*Variables!E20</f>
        <v>8.2226646109554995</v>
      </c>
      <c r="AE24" s="12">
        <f>8.37779062115729*Variables!E20</f>
        <v>8.3777906211572901</v>
      </c>
      <c r="AF24" s="12">
        <f>8.53714349757642*Variables!E20</f>
        <v>8.5371434975764195</v>
      </c>
      <c r="AG24" s="12">
        <f>8.70092916306345*Variables!E20</f>
        <v>8.7009291630634493</v>
      </c>
      <c r="AH24" s="12">
        <f>8.86935432004978*Variables!E20</f>
        <v>8.86935432004978</v>
      </c>
      <c r="AI24" s="12">
        <f>9.04260040339675*Variables!E20</f>
        <v>9.0426004033967509</v>
      </c>
      <c r="AJ24" s="12">
        <f>9.22081143603142*Variables!E20</f>
        <v>9.2208114360314202</v>
      </c>
      <c r="AK24" s="12">
        <f>9.40413679954186*Variables!E20</f>
        <v>9.4041367995418597</v>
      </c>
      <c r="AL24" s="12">
        <f>9.59269016763147*Variables!E20</f>
        <v>9.5926901676314706</v>
      </c>
      <c r="AM24" s="12">
        <f>9.78657629461594*Variables!E20</f>
        <v>9.7865762946159407</v>
      </c>
      <c r="AN24" s="12">
        <f>9.98587596095773*Variables!E20</f>
        <v>9.9858759609577294</v>
      </c>
      <c r="AO24" s="12">
        <f>10.1906411972283*Variables!E20</f>
        <v>10.190641197228301</v>
      </c>
      <c r="AP24" s="12">
        <f>10.4008787393034*Variables!E20</f>
        <v>10.400878739303399</v>
      </c>
      <c r="AQ24" s="12">
        <f>10.6165829628517*Variables!E20</f>
        <v>10.6165829628517</v>
      </c>
      <c r="AR24" s="12">
        <f>10.8377408478615*Variables!E20</f>
        <v>10.8377408478615</v>
      </c>
      <c r="AS24" s="12">
        <f>11.0643304556295*Variables!E20</f>
        <v>11.0643304556295</v>
      </c>
      <c r="AT24" s="12">
        <f>11.2970926800474*Variables!E20</f>
        <v>11.297092680047401</v>
      </c>
      <c r="AU24" s="12">
        <f>11.5347515634483*Variables!E20</f>
        <v>11.5347515634483</v>
      </c>
      <c r="AV24" s="12">
        <f>11.77741011769*Variables!E20</f>
        <v>11.77741011769</v>
      </c>
      <c r="AW24" s="12">
        <f>12.0251735217088*Variables!E20</f>
        <v>12.025173521708799</v>
      </c>
      <c r="AX24" s="12">
        <f>12.2803224292784*Variables!E20</f>
        <v>12.280322429278399</v>
      </c>
      <c r="AY24" s="12">
        <f>12.5408850603936*Variables!E20</f>
        <v>12.540885060393601</v>
      </c>
      <c r="AZ24" s="12">
        <f>12.8069762828894*Variables!E20</f>
        <v>12.8069762828894</v>
      </c>
      <c r="BA24" s="12">
        <f>13.0787134018549*Variables!E20</f>
        <v>13.0787134018549</v>
      </c>
      <c r="BB24" s="12">
        <f>13.3562162113467*Variables!E20</f>
        <v>13.3562162113467</v>
      </c>
      <c r="BC24" s="12">
        <f>13.6434364111637*Variables!E20</f>
        <v>13.6434364111637</v>
      </c>
      <c r="BD24" s="12">
        <f>13.9368331689128*Variables!E20</f>
        <v>13.9368331689128</v>
      </c>
      <c r="BE24" s="12">
        <f>14.2365393090538*Variables!E20</f>
        <v>14.2365393090538</v>
      </c>
      <c r="BF24" s="12">
        <f>14.5426905123845*Variables!E20</f>
        <v>14.5426905123845</v>
      </c>
      <c r="BG24" s="12">
        <f>14.8554253774652*Variables!E20</f>
        <v>14.855425377465201</v>
      </c>
      <c r="BH24" s="12">
        <f>15.1801877928785*Variables!E20</f>
        <v>15.180187792878501</v>
      </c>
      <c r="BI24" s="12">
        <f>15.5120500135001*Variables!E20</f>
        <v>15.512050013500099</v>
      </c>
      <c r="BJ24" s="12">
        <f>15.8511672519764*Variables!E20</f>
        <v>15.851167251976401</v>
      </c>
      <c r="BK24" s="12">
        <f>16.1976981141409*Variables!E20</f>
        <v>16.197698114140898</v>
      </c>
      <c r="BL24" s="12">
        <f>16.551804673194*Variables!E20</f>
        <v>16.551804673193999</v>
      </c>
      <c r="BM24" s="12">
        <f>16.9179787769751*Variables!E20</f>
        <v>16.917978776975101</v>
      </c>
      <c r="BN24" s="12">
        <f>17.2922537179113*Variables!E20</f>
        <v>17.292253717911301</v>
      </c>
      <c r="BO24" s="12">
        <f>17.6748087101029*Variables!E20</f>
        <v>17.674808710102901</v>
      </c>
      <c r="BP24" s="12">
        <f>18.0658269323881*Variables!E20</f>
        <v>18.065826932388099</v>
      </c>
      <c r="BQ24" s="12">
        <f>18.4654956160541*Variables!E20</f>
        <v>18.465495616054099</v>
      </c>
      <c r="BR24" s="12">
        <f>18.8750840944843*Variables!E20</f>
        <v>18.875084094484301</v>
      </c>
      <c r="BS24" s="12">
        <f>19.2929951536181*Variables!E20</f>
        <v>19.292995153618101</v>
      </c>
      <c r="BT24" s="12">
        <f>19.7201591332938*Variables!E20</f>
        <v>19.720159133293802</v>
      </c>
      <c r="BU24" s="12">
        <f>20.1567809013573*Variables!E20</f>
        <v>20.156780901357301</v>
      </c>
      <c r="BV24" s="12">
        <f>20.6030698616103*Variables!E20</f>
        <v>20.603069861610301</v>
      </c>
      <c r="BW24" s="12">
        <f>21.0555443455264*Variables!E20</f>
        <v>21.0555443455264</v>
      </c>
      <c r="BX24" s="12">
        <f>21.517955851448*Variables!E20</f>
        <v>21.517955851448001</v>
      </c>
      <c r="BY24" s="12">
        <f>21.9905226113634*Variables!E20</f>
        <v>21.990522611363399</v>
      </c>
      <c r="BZ24" s="12">
        <f>22.4734676499648*Variables!E20</f>
        <v>22.4734676499648</v>
      </c>
    </row>
    <row r="25" spans="1:81" s="12" customFormat="1"/>
    <row r="26" spans="1:81" s="12" customFormat="1">
      <c r="O26" t="s">
        <v>207</v>
      </c>
      <c r="AM26"/>
      <c r="BG26"/>
      <c r="BO26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H27" s="12"/>
      <c r="BI27" s="12"/>
      <c r="BJ27" s="12"/>
      <c r="BK27" s="12"/>
      <c r="BL27" s="12"/>
      <c r="BM27" s="12"/>
      <c r="BN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</row>
    <row r="28" spans="1:81">
      <c r="A28" s="12"/>
      <c r="B28" s="12"/>
      <c r="C28" s="12"/>
      <c r="O28" s="12" t="s">
        <v>259</v>
      </c>
      <c r="P28" s="12"/>
      <c r="Q28" s="12"/>
      <c r="R28" s="12">
        <f>($M$49*$I$54+$M$50*$I$55+$M$51*$I$56)*($A$2*(Users!AN45 + Users!AN57)*R$22 + $A$3*Users!AN69*R$23)/60</f>
        <v>3471008.254284997</v>
      </c>
      <c r="S28" s="12">
        <f>($M$49*$I$54+$M$50*$I$55+$M$51*$I$56)*($A$2*(Users!AO45 + Users!AO57)*S$22 + $A$3*Users!AO69*S$23)/60</f>
        <v>3577953.8789236681</v>
      </c>
      <c r="T28" s="12">
        <f>($M$49*$I$54+$M$50*$I$55+$M$51*$I$56)*($A$2*(Users!AP45 + Users!AP57)*T$22 + $A$3*Users!AP69*T$23)/60</f>
        <v>3616399.2674394241</v>
      </c>
      <c r="U28" s="12">
        <f>($M$49*$I$54+$M$50*$I$55+$M$51*$I$56)*($A$2*(Users!AQ45 + Users!AQ57)*U$22 + $A$3*Users!AQ69*U$23)/60</f>
        <v>3718973.0647002449</v>
      </c>
      <c r="V28" s="12">
        <f>($M$49*$I$54+$M$50*$I$55+$M$51*$I$56)*($A$2*(Users!AR45 + Users!AR57)*V$22 + $A$3*Users!AR69*V$23)/60</f>
        <v>3878745.8151369025</v>
      </c>
      <c r="W28" s="12">
        <f>($M$49*$I$54+$M$50*$I$55+$M$51*$I$56)*($A$2*(Users!AS45 + Users!AS57)*W$22 + $A$3*Users!AS69*W$23)/60</f>
        <v>4006531.4291222156</v>
      </c>
      <c r="X28" s="12">
        <f>($M$49*$I$54+$M$50*$I$55+$M$51*$I$56)*($A$2*(Users!AT45 + Users!AT57)*X$22 + $A$3*Users!AT69*X$23)/60</f>
        <v>4162311.7805465143</v>
      </c>
      <c r="Y28" s="12">
        <f>($M$49*$I$54+$M$50*$I$55+$M$51*$I$56)*($A$2*(Users!AU45 + Users!AU57)*Y$22 + $A$3*Users!AU69*Y$23)/60</f>
        <v>4325658.878449033</v>
      </c>
      <c r="Z28" s="12">
        <f>($M$49*$I$54+$M$50*$I$55+$M$51*$I$56)*($A$2*(Users!AV45 + Users!AV57)*Z$22 + $A$3*Users!AV69*Z$23)/60</f>
        <v>4496058.1383537594</v>
      </c>
      <c r="AA28" s="12">
        <f>($M$49*$I$54+$M$50*$I$55+$M$51*$I$56)*($A$2*(Users!AW45 + Users!AW57)*AA$22 + $A$3*Users!AW69*AA$23)/60</f>
        <v>4675928.9567083782</v>
      </c>
      <c r="AB28" s="12">
        <f>($M$49*$I$54+$M$50*$I$55+$M$51*$I$56)*($A$2*(Users!AX45 + Users!AX57)*AB$22 + $A$3*Users!AX69*AB$23)/60</f>
        <v>4864677.5640228409</v>
      </c>
      <c r="AC28" s="12">
        <f>($M$49*$I$54+$M$50*$I$55+$M$51*$I$56)*($A$2*(Users!AY45 + Users!AY57)*AC$22 + $A$3*Users!AY69*AC$23)/60</f>
        <v>5062881.6963727241</v>
      </c>
      <c r="AD28" s="12">
        <f>($M$49*$I$54+$M$50*$I$55+$M$51*$I$56)*($A$2*(Users!AZ45 + Users!AZ57)*AD$22 + $A$3*Users!AZ69*AD$23)/60</f>
        <v>5271136.8542031189</v>
      </c>
      <c r="AE28" s="12">
        <f>($M$49*$I$54+$M$50*$I$55+$M$51*$I$56)*($A$2*(Users!BA45 + Users!BA57)*AE$22 + $A$3*Users!BA69*AE$23)/60</f>
        <v>5488733.1072274512</v>
      </c>
      <c r="AF28" s="12">
        <f>($M$49*$I$54+$M$50*$I$55+$M$51*$I$56)*($A$2*(Users!BB45 + Users!BB57)*AF$22 + $A$3*Users!BB69*AF$23)/60</f>
        <v>5716182.5318000866</v>
      </c>
      <c r="AG28" s="12">
        <f>($M$49*$I$54+$M$50*$I$55+$M$51*$I$56)*($A$2*(Users!BC45 + Users!BC57)*AG$22 + $A$3*Users!BC69*AG$23)/60</f>
        <v>5954016.5268622451</v>
      </c>
      <c r="AH28" s="12">
        <f>($M$49*$I$54+$M$50*$I$55+$M$51*$I$56)*($A$2*(Users!BD45 + Users!BD57)*AH$22 + $A$3*Users!BD69*AH$23)/60</f>
        <v>6202793.2191167567</v>
      </c>
      <c r="AI28" s="12">
        <f>($M$49*$I$54+$M$50*$I$55+$M$51*$I$56)*($A$2*(Users!BE45 + Users!BE57)*AI$22 + $A$3*Users!BE69*AI$23)/60</f>
        <v>6463080.0357165486</v>
      </c>
      <c r="AJ28" s="12">
        <f>($M$49*$I$54+$M$50*$I$55+$M$51*$I$56)*($A$2*(Users!BF45 + Users!BF57)*AJ$22 + $A$3*Users!BF69*AJ$23)/60</f>
        <v>6735444.022624285</v>
      </c>
      <c r="AK28" s="12">
        <f>($M$49*$I$54+$M$50*$I$55+$M$51*$I$56)*($A$2*(Users!BG45 + Users!BG57)*AK$22 + $A$3*Users!BG69*AK$23)/60</f>
        <v>7020481.901986897</v>
      </c>
      <c r="AL28" s="12">
        <f>($M$49*$I$54+$M$50*$I$55+$M$51*$I$56)*($A$2*(Users!BH45 + Users!BH57)*AL$22 + $A$3*Users!BH69*AL$23)/60</f>
        <v>7161242.8815907063</v>
      </c>
      <c r="AM28" s="12">
        <f>($M$49*$I$54+$M$50*$I$55+$M$51*$I$56)*($A$2*(Users!BI45 + Users!BI57)*AM$22 + $A$3*Users!BI69*AM$23)/60</f>
        <v>7305984.9323025858</v>
      </c>
      <c r="AN28" s="12">
        <f>($M$49*$I$54+$M$50*$I$55+$M$51*$I$56)*($A$2*(Users!BJ45 + Users!BJ57)*AN$22 + $A$3*Users!BJ69*AN$23)/60</f>
        <v>7454768.3592613237</v>
      </c>
      <c r="AO28" s="12">
        <f>($M$49*$I$54+$M$50*$I$55+$M$51*$I$56)*($A$2*(Users!BK45 + Users!BK57)*AO$22 + $A$3*Users!BK69*AO$23)/60</f>
        <v>7607632.0049139149</v>
      </c>
      <c r="AP28" s="12">
        <f>($M$49*$I$54+$M$50*$I$55+$M$51*$I$56)*($A$2*(Users!BL45 + Users!BL57)*AP$22 + $A$3*Users!BL69*AP$23)/60</f>
        <v>7764580.8978020446</v>
      </c>
      <c r="AQ28" s="12">
        <f>($M$49*$I$54+$M$50*$I$55+$M$51*$I$56)*($A$2*(Users!BM45 + Users!BM57)*AQ$22 + $A$3*Users!BM69*AQ$23)/60</f>
        <v>7925610.8391865911</v>
      </c>
      <c r="AR28" s="12">
        <f>($M$49*$I$54+$M$50*$I$55+$M$51*$I$56)*($A$2*(Users!BN45 + Users!BN57)*AR$22 + $A$3*Users!BN69*AR$23)/60</f>
        <v>8090712.1092222324</v>
      </c>
      <c r="AS28" s="12">
        <f>($M$49*$I$54+$M$50*$I$55+$M$51*$I$56)*($A$2*(Users!BO45 + Users!BO57)*AS$22 + $A$3*Users!BO69*AS$23)/60</f>
        <v>8259868.3299815319</v>
      </c>
      <c r="AT28" s="12">
        <f>($M$49*$I$54+$M$50*$I$55+$M$51*$I$56)*($A$2*(Users!BP45 + Users!BP57)*AT$22 + $A$3*Users!BP69*AT$23)/60</f>
        <v>8433632.6018997785</v>
      </c>
      <c r="AU28" s="12">
        <f>($M$49*$I$54+$M$50*$I$55+$M$51*$I$56)*($A$2*(Users!BQ45 + Users!BQ57)*AU$22 + $A$3*Users!BQ69*AU$23)/60</f>
        <v>8611052.3827182818</v>
      </c>
      <c r="AV28" s="12">
        <f>($M$49*$I$54+$M$50*$I$55+$M$51*$I$56)*($A$2*(Users!BR45 + Users!BR57)*AV$22 + $A$3*Users!BR69*AV$23)/60</f>
        <v>8792204.5740070585</v>
      </c>
      <c r="AW28" s="12">
        <f>($M$49*$I$54+$M$50*$I$55+$M$51*$I$56)*($A$2*(Users!BS45 + Users!BS57)*AW$22 + $A$3*Users!BS69*AW$23)/60</f>
        <v>8977167.6951276567</v>
      </c>
      <c r="AX28" s="12">
        <f>($M$49*$I$54+$M$50*$I$55+$M$51*$I$56)*($A$2*(Users!BT45 + Users!BT57)*AX$22 + $A$3*Users!BT69*AX$23)/60</f>
        <v>9167644.325368898</v>
      </c>
      <c r="AY28" s="12">
        <f>($M$49*$I$54+$M$50*$I$55+$M$51*$I$56)*($A$2*(Users!BU45 + Users!BU57)*AY$22 + $A$3*Users!BU69*AY$23)/60</f>
        <v>9362162.4693592731</v>
      </c>
      <c r="AZ28" s="12">
        <f>($M$49*$I$54+$M$50*$I$55+$M$51*$I$56)*($A$2*(Users!BV45 + Users!BV57)*AZ$22 + $A$3*Users!BV69*AZ$23)/60</f>
        <v>9560807.8795260396</v>
      </c>
      <c r="BA28" s="12">
        <f>($M$49*$I$54+$M$50*$I$55+$M$51*$I$56)*($A$2*(Users!BW45 + Users!BW57)*BA$22 + $A$3*Users!BW69*BA$23)/60</f>
        <v>9763668.1277827825</v>
      </c>
      <c r="BB28" s="12">
        <f>($M$49*$I$54+$M$50*$I$55+$M$51*$I$56)*($A$2*(Users!BX45 + Users!BX57)*BB$22 + $A$3*Users!BX69*BB$23)/60</f>
        <v>9970832.6441349983</v>
      </c>
      <c r="BC28" s="12">
        <f>($M$49*$I$54+$M$50*$I$55+$M$51*$I$56)*($A$2*(Users!BY45 + Users!BY57)*BC$22 + $A$3*Users!BY69*BC$23)/60</f>
        <v>10185251.495932072</v>
      </c>
      <c r="BD28" s="12">
        <f>($M$49*$I$54+$M$50*$I$55+$M$51*$I$56)*($A$2*(Users!BZ45 + Users!BZ57)*BD$22 + $A$3*Users!BZ69*BD$23)/60</f>
        <v>10404281.34117844</v>
      </c>
      <c r="BE28" s="12">
        <f>($M$49*$I$54+$M$50*$I$55+$M$51*$I$56)*($A$2*(Users!CA45 + Users!CA57)*BE$22 + $A$3*Users!CA69*BE$23)/60</f>
        <v>10628021.337482696</v>
      </c>
      <c r="BF28" s="12">
        <f>($M$49*$I$54+$M$50*$I$55+$M$51*$I$56)*($A$2*(Users!CB45 + Users!CB57)*BF$22 + $A$3*Users!CB69*BF$23)/60</f>
        <v>10856572.774799045</v>
      </c>
      <c r="BG28" s="12">
        <f>($M$49*$I$54+$M$50*$I$55+$M$51*$I$56)*($A$2*(Users!CC45 + Users!CC57)*BG$22 + $A$3*Users!CC69*BG$23)/60</f>
        <v>11090039.121282468</v>
      </c>
      <c r="BH28" s="12">
        <f>($M$49*$I$54+$M$50*$I$55+$M$51*$I$56)*($A$2*(Users!CD45 + Users!CD57)*BH$22 + $A$3*Users!CD69*BH$23)/60</f>
        <v>11332484.409824627</v>
      </c>
      <c r="BI28" s="12">
        <f>($M$49*$I$54+$M$50*$I$55+$M$51*$I$56)*($A$2*(Users!CE45 + Users!CE57)*BI$22 + $A$3*Users!CE69*BI$23)/60</f>
        <v>11580229.924749535</v>
      </c>
      <c r="BJ28" s="12">
        <f>($M$49*$I$54+$M$50*$I$55+$M$51*$I$56)*($A$2*(Users!CF45 + Users!CF57)*BJ$22 + $A$3*Users!CF69*BJ$23)/60</f>
        <v>11833391.537146609</v>
      </c>
      <c r="BK28" s="12">
        <f>($M$49*$I$54+$M$50*$I$55+$M$51*$I$56)*($A$2*(Users!CG45 + Users!CG57)*BK$22 + $A$3*Users!CG69*BK$23)/60</f>
        <v>12092087.651225263</v>
      </c>
      <c r="BL28" s="12">
        <f>($M$49*$I$54+$M$50*$I$55+$M$51*$I$56)*($A$2*(Users!CH45 + Users!CH57)*BL$22 + $A$3*Users!CH69*BL$23)/60</f>
        <v>12356439.259692742</v>
      </c>
      <c r="BM28" s="12">
        <f>($M$49*$I$54+$M$50*$I$55+$M$51*$I$56)*($A$2*(Users!CI45 + Users!CI57)*BM$22 + $A$3*Users!CI69*BM$23)/60</f>
        <v>12629799.667284528</v>
      </c>
      <c r="BN28" s="12">
        <f>($M$49*$I$54+$M$50*$I$55+$M$51*$I$56)*($A$2*(Users!CJ45 + Users!CJ57)*BN$22 + $A$3*Users!CJ69*BN$23)/60</f>
        <v>12909207.602879174</v>
      </c>
      <c r="BO28" s="12">
        <f>($M$49*$I$54+$M$50*$I$55+$M$51*$I$56)*($A$2*(Users!CK45 + Users!CK57)*BO$22 + $A$3*Users!CK69*BO$23)/60</f>
        <v>13194796.855401227</v>
      </c>
      <c r="BP28" s="12">
        <f>($M$49*$I$54+$M$50*$I$55+$M$51*$I$56)*($A$2*(Users!CL45 + Users!CL57)*BP$22 + $A$3*Users!CL69*BP$23)/60</f>
        <v>13486704.17357574</v>
      </c>
      <c r="BQ28" s="12">
        <f>($M$49*$I$54+$M$50*$I$55+$M$51*$I$56)*($A$2*(Users!CM45 + Users!CM57)*BQ$22 + $A$3*Users!CM69*BQ$23)/60</f>
        <v>13785069.331407629</v>
      </c>
      <c r="BR28" s="12">
        <f>($M$49*$I$54+$M$50*$I$55+$M$51*$I$56)*($A$2*(Users!CN45 + Users!CN57)*BR$22 + $A$3*Users!CN69*BR$23)/60</f>
        <v>14090839.925921055</v>
      </c>
      <c r="BS28" s="12">
        <f>($M$49*$I$54+$M$50*$I$55+$M$51*$I$56)*($A$2*(Users!CO45 + Users!CO57)*BS$22 + $A$3*Users!CO69*BS$23)/60</f>
        <v>14402823.586923534</v>
      </c>
      <c r="BT28" s="12">
        <f>($M$49*$I$54+$M$50*$I$55+$M$51*$I$56)*($A$2*(Users!CP45 + Users!CP57)*BT$22 + $A$3*Users!CP69*BT$23)/60</f>
        <v>14721714.842167653</v>
      </c>
      <c r="BU28" s="12">
        <f>($M$49*$I$54+$M$50*$I$55+$M$51*$I$56)*($A$2*(Users!CQ45 + Users!CQ57)*BU$22 + $A$3*Users!CQ69*BU$23)/60</f>
        <v>15047666.631900569</v>
      </c>
      <c r="BV28" s="12">
        <f>($M$49*$I$54+$M$50*$I$55+$M$51*$I$56)*($A$2*(Users!CR45 + Users!CR57)*BV$22 + $A$3*Users!CR69*BV$23)/60</f>
        <v>15380835.282601707</v>
      </c>
      <c r="BW28" s="12">
        <f>($M$49*$I$54+$M$50*$I$55+$M$51*$I$56)*($A$2*(Users!CS45 + Users!CS57)*BW$22 + $A$3*Users!CS69*BW$23)/60</f>
        <v>15718621.619950464</v>
      </c>
      <c r="BX28" s="12">
        <f>($M$49*$I$54+$M$50*$I$55+$M$51*$I$56)*($A$2*(Users!CT45 + Users!CT57)*BX$22 + $A$3*Users!CT69*BX$23)/60</f>
        <v>16063826.254654575</v>
      </c>
      <c r="BY28" s="12">
        <f>($M$49*$I$54+$M$50*$I$55+$M$51*$I$56)*($A$2*(Users!CU45 + Users!CU57)*BY$22 + $A$3*Users!CU69*BY$23)/60</f>
        <v>16416612.103710728</v>
      </c>
      <c r="BZ28" s="12">
        <f>($M$49*$I$54+$M$50*$I$55+$M$51*$I$56)*($A$2*(Users!CV45 + Users!CV57)*BZ$22 + $A$3*Users!CV69*BZ$23)/60</f>
        <v>16777145.66201889</v>
      </c>
      <c r="CA28" s="12"/>
      <c r="CB28" s="12"/>
      <c r="CC28" s="12"/>
    </row>
    <row r="29" spans="1:81" s="12" customFormat="1">
      <c r="O29" s="12" t="s">
        <v>260</v>
      </c>
      <c r="R29" s="12">
        <f>($M$49*$I$54+$M$50*$I$55+$M$51*$I$56)*($A$2*(Users!AN46 + Users!AN58)*R$22 + $A$3*Users!AN70*R$23)/60</f>
        <v>4030374.0621431717</v>
      </c>
      <c r="S29" s="12">
        <f>($M$49*$I$54+$M$50*$I$55+$M$51*$I$56)*($A$2*(Users!AO46 + Users!AO58)*S$22 + $A$3*Users!AO70*S$23)/60</f>
        <v>4154554.3694274575</v>
      </c>
      <c r="T29" s="12">
        <f>($M$49*$I$54+$M$50*$I$55+$M$51*$I$56)*($A$2*(Users!AP46 + Users!AP58)*T$22 + $A$3*Users!AP70*T$23)/60</f>
        <v>4199195.3743837643</v>
      </c>
      <c r="U29" s="12">
        <f>($M$49*$I$54+$M$50*$I$55+$M$51*$I$56)*($A$2*(Users!AQ46 + Users!AQ58)*U$22 + $A$3*Users!AQ70*U$23)/60</f>
        <v>4318299.3181514526</v>
      </c>
      <c r="V29" s="12">
        <f>($M$49*$I$54+$M$50*$I$55+$M$51*$I$56)*($A$2*(Users!AR46 + Users!AR58)*V$22 + $A$3*Users!AR70*V$23)/60</f>
        <v>4503820.037787376</v>
      </c>
      <c r="W29" s="12">
        <f>($M$49*$I$54+$M$50*$I$55+$M$51*$I$56)*($A$2*(Users!AS46 + Users!AS58)*W$22 + $A$3*Users!AS70*W$23)/60</f>
        <v>4652198.7757191099</v>
      </c>
      <c r="X29" s="12">
        <f>($M$49*$I$54+$M$50*$I$55+$M$51*$I$56)*($A$2*(Users!AT46 + Users!AT58)*X$22 + $A$3*Users!AT70*X$23)/60</f>
        <v>4833083.7064872682</v>
      </c>
      <c r="Y29" s="12">
        <f>($M$49*$I$54+$M$50*$I$55+$M$51*$I$56)*($A$2*(Users!AU46 + Users!AU58)*Y$22 + $A$3*Users!AU70*Y$23)/60</f>
        <v>5022754.7928927625</v>
      </c>
      <c r="Z29" s="12">
        <f>($M$49*$I$54+$M$50*$I$55+$M$51*$I$56)*($A$2*(Users!AV46 + Users!AV58)*Z$22 + $A$3*Users!AV70*Z$23)/60</f>
        <v>5220614.5232695397</v>
      </c>
      <c r="AA29" s="12">
        <f>($M$49*$I$54+$M$50*$I$55+$M$51*$I$56)*($A$2*(Users!AW46 + Users!AW58)*AA$22 + $A$3*Users!AW70*AA$23)/60</f>
        <v>5429472.1887441091</v>
      </c>
      <c r="AB29" s="12">
        <f>($M$49*$I$54+$M$50*$I$55+$M$51*$I$56)*($A$2*(Users!AX46 + Users!AX58)*AB$22 + $A$3*Users!AX70*AB$23)/60</f>
        <v>5648638.3316787248</v>
      </c>
      <c r="AC29" s="12">
        <f>($M$49*$I$54+$M$50*$I$55+$M$51*$I$56)*($A$2*(Users!AY46 + Users!AY58)*AC$22 + $A$3*Users!AY70*AC$23)/60</f>
        <v>5878783.7924526632</v>
      </c>
      <c r="AD29" s="12">
        <f>($M$49*$I$54+$M$50*$I$55+$M$51*$I$56)*($A$2*(Users!AZ46 + Users!AZ58)*AD$22 + $A$3*Users!AZ70*AD$23)/60</f>
        <v>6120600.0386085091</v>
      </c>
      <c r="AE29" s="12">
        <f>($M$49*$I$54+$M$50*$I$55+$M$51*$I$56)*($A$2*(Users!BA46 + Users!BA58)*AE$22 + $A$3*Users!BA70*AE$23)/60</f>
        <v>6373262.7319703456</v>
      </c>
      <c r="AF29" s="12">
        <f>($M$49*$I$54+$M$50*$I$55+$M$51*$I$56)*($A$2*(Users!BB46 + Users!BB58)*AF$22 + $A$3*Users!BB70*AF$23)/60</f>
        <v>6637366.4718895052</v>
      </c>
      <c r="AG29" s="12">
        <f>($M$49*$I$54+$M$50*$I$55+$M$51*$I$56)*($A$2*(Users!BC46 + Users!BC58)*AG$22 + $A$3*Users!BC70*AG$23)/60</f>
        <v>6913528.2942104554</v>
      </c>
      <c r="AH29" s="12">
        <f>($M$49*$I$54+$M$50*$I$55+$M$51*$I$56)*($A$2*(Users!BD46 + Users!BD58)*AH$22 + $A$3*Users!BD70*AH$23)/60</f>
        <v>7202396.269816841</v>
      </c>
      <c r="AI29" s="12">
        <f>($M$49*$I$54+$M$50*$I$55+$M$51*$I$56)*($A$2*(Users!BE46 + Users!BE58)*AI$22 + $A$3*Users!BE70*AI$23)/60</f>
        <v>7504629.2688443009</v>
      </c>
      <c r="AJ29" s="12">
        <f>($M$49*$I$54+$M$50*$I$55+$M$51*$I$56)*($A$2*(Users!BF46 + Users!BF58)*AJ$22 + $A$3*Users!BF70*AJ$23)/60</f>
        <v>7820885.7188079925</v>
      </c>
      <c r="AK29" s="12">
        <f>($M$49*$I$54+$M$50*$I$55+$M$51*$I$56)*($A$2*(Users!BG46 + Users!BG58)*AK$22 + $A$3*Users!BG70*AK$23)/60</f>
        <v>8151858.5058341091</v>
      </c>
      <c r="AL29" s="12">
        <f>($M$49*$I$54+$M$50*$I$55+$M$51*$I$56)*($A$2*(Users!BH46 + Users!BH58)*AL$22 + $A$3*Users!BH70*AL$23)/60</f>
        <v>8315303.6375063537</v>
      </c>
      <c r="AM29" s="12">
        <f>($M$49*$I$54+$M$50*$I$55+$M$51*$I$56)*($A$2*(Users!BI46 + Users!BI58)*AM$22 + $A$3*Users!BI70*AM$23)/60</f>
        <v>8483371.4046084359</v>
      </c>
      <c r="AN29" s="12">
        <f>($M$49*$I$54+$M$50*$I$55+$M$51*$I$56)*($A$2*(Users!BJ46 + Users!BJ58)*AN$22 + $A$3*Users!BJ70*AN$23)/60</f>
        <v>8656131.8306751233</v>
      </c>
      <c r="AO29" s="12">
        <f>($M$49*$I$54+$M$50*$I$55+$M$51*$I$56)*($A$2*(Users!BK46 + Users!BK58)*AO$22 + $A$3*Users!BK70*AO$23)/60</f>
        <v>8833630.0177573003</v>
      </c>
      <c r="AP29" s="12">
        <f>($M$49*$I$54+$M$50*$I$55+$M$51*$I$56)*($A$2*(Users!BL46 + Users!BL58)*AP$22 + $A$3*Users!BL70*AP$23)/60</f>
        <v>9015871.8047647178</v>
      </c>
      <c r="AQ29" s="12">
        <f>($M$49*$I$54+$M$50*$I$55+$M$51*$I$56)*($A$2*(Users!BM46 + Users!BM58)*AQ$22 + $A$3*Users!BM70*AQ$23)/60</f>
        <v>9202852.3163159378</v>
      </c>
      <c r="AR29" s="12">
        <f>($M$49*$I$54+$M$50*$I$55+$M$51*$I$56)*($A$2*(Users!BN46 + Users!BN58)*AR$22 + $A$3*Users!BN70*AR$23)/60</f>
        <v>9394560.2661766391</v>
      </c>
      <c r="AS29" s="12">
        <f>($M$49*$I$54+$M$50*$I$55+$M$51*$I$56)*($A$2*(Users!BO46 + Users!BO58)*AS$22 + $A$3*Users!BO70*AS$23)/60</f>
        <v>9590976.6370558478</v>
      </c>
      <c r="AT29" s="12">
        <f>($M$49*$I$54+$M$50*$I$55+$M$51*$I$56)*($A$2*(Users!BP46 + Users!BP58)*AT$22 + $A$3*Users!BP70*AT$23)/60</f>
        <v>9792743.6635680776</v>
      </c>
      <c r="AU29" s="12">
        <f>($M$49*$I$54+$M$50*$I$55+$M$51*$I$56)*($A$2*(Users!BQ46 + Users!BQ58)*AU$22 + $A$3*Users!BQ70*AU$23)/60</f>
        <v>9998755.2977493778</v>
      </c>
      <c r="AV29" s="12">
        <f>($M$49*$I$54+$M$50*$I$55+$M$51*$I$56)*($A$2*(Users!BR46 + Users!BR58)*AV$22 + $A$3*Users!BR70*AV$23)/60</f>
        <v>10209100.834141966</v>
      </c>
      <c r="AW29" s="12">
        <f>($M$49*$I$54+$M$50*$I$55+$M$51*$I$56)*($A$2*(Users!BS46 + Users!BS58)*AW$22 + $A$3*Users!BS70*AW$23)/60</f>
        <v>10423871.445792688</v>
      </c>
      <c r="AX29" s="12">
        <f>($M$49*$I$54+$M$50*$I$55+$M$51*$I$56)*($A$2*(Users!BT46 + Users!BT58)*AX$22 + $A$3*Users!BT70*AX$23)/60</f>
        <v>10645044.088934926</v>
      </c>
      <c r="AY29" s="12">
        <f>($M$49*$I$54+$M$50*$I$55+$M$51*$I$56)*($A$2*(Users!BU46 + Users!BU58)*AY$22 + $A$3*Users!BU70*AY$23)/60</f>
        <v>10870909.550703049</v>
      </c>
      <c r="AZ29" s="12">
        <f>($M$49*$I$54+$M$50*$I$55+$M$51*$I$56)*($A$2*(Users!BV46 + Users!BV58)*AZ$22 + $A$3*Users!BV70*AZ$23)/60</f>
        <v>11101567.402844876</v>
      </c>
      <c r="BA29" s="12">
        <f>($M$49*$I$54+$M$50*$I$55+$M$51*$I$56)*($A$2*(Users!BW46 + Users!BW58)*BA$22 + $A$3*Users!BW70*BA$23)/60</f>
        <v>11337119.329811502</v>
      </c>
      <c r="BB29" s="12">
        <f>($M$49*$I$54+$M$50*$I$55+$M$51*$I$56)*($A$2*(Users!BX46 + Users!BX58)*BB$22 + $A$3*Users!BX70*BB$23)/60</f>
        <v>11577669.173584318</v>
      </c>
      <c r="BC29" s="12">
        <f>($M$49*$I$54+$M$50*$I$55+$M$51*$I$56)*($A$2*(Users!BY46 + Users!BY58)*BC$22 + $A$3*Users!BY70*BC$23)/60</f>
        <v>11826642.415768515</v>
      </c>
      <c r="BD29" s="12">
        <f>($M$49*$I$54+$M$50*$I$55+$M$51*$I$56)*($A$2*(Users!BZ46 + Users!BZ58)*BD$22 + $A$3*Users!BZ70*BD$23)/60</f>
        <v>12080969.730037041</v>
      </c>
      <c r="BE29" s="12">
        <f>($M$49*$I$54+$M$50*$I$55+$M$51*$I$56)*($A$2*(Users!CA46 + Users!CA58)*BE$22 + $A$3*Users!CA70*BE$23)/60</f>
        <v>12340766.253613574</v>
      </c>
      <c r="BF29" s="12">
        <f>($M$49*$I$54+$M$50*$I$55+$M$51*$I$56)*($A$2*(Users!CB46 + Users!CB58)*BF$22 + $A$3*Users!CB70*BF$23)/60</f>
        <v>12606149.599702762</v>
      </c>
      <c r="BG29" s="12">
        <f>($M$49*$I$54+$M$50*$I$55+$M$51*$I$56)*($A$2*(Users!CC46 + Users!CC58)*BG$22 + $A$3*Users!CC70*BG$23)/60</f>
        <v>12877239.910735156</v>
      </c>
      <c r="BH29" s="12">
        <f>($M$49*$I$54+$M$50*$I$55+$M$51*$I$56)*($A$2*(Users!CD46 + Users!CD58)*BH$22 + $A$3*Users!CD70*BH$23)/60</f>
        <v>13158756.153522197</v>
      </c>
      <c r="BI29" s="12">
        <f>($M$49*$I$54+$M$50*$I$55+$M$51*$I$56)*($A$2*(Users!CE46 + Users!CE58)*BI$22 + $A$3*Users!CE70*BI$23)/60</f>
        <v>13446426.773761433</v>
      </c>
      <c r="BJ29" s="12">
        <f>($M$49*$I$54+$M$50*$I$55+$M$51*$I$56)*($A$2*(Users!CF46 + Users!CF58)*BJ$22 + $A$3*Users!CF70*BJ$23)/60</f>
        <v>13740386.315596547</v>
      </c>
      <c r="BK29" s="12">
        <f>($M$49*$I$54+$M$50*$I$55+$M$51*$I$56)*($A$2*(Users!CG46 + Users!CG58)*BK$22 + $A$3*Users!CG70*BK$23)/60</f>
        <v>14040772.26451288</v>
      </c>
      <c r="BL29" s="12">
        <f>($M$49*$I$54+$M$50*$I$55+$M$51*$I$56)*($A$2*(Users!CH46 + Users!CH58)*BL$22 + $A$3*Users!CH70*BL$23)/60</f>
        <v>14347725.111639613</v>
      </c>
      <c r="BM29" s="12">
        <f>($M$49*$I$54+$M$50*$I$55+$M$51*$I$56)*($A$2*(Users!CI46 + Users!CI58)*BM$22 + $A$3*Users!CI70*BM$23)/60</f>
        <v>14665138.559163023</v>
      </c>
      <c r="BN29" s="12">
        <f>($M$49*$I$54+$M$50*$I$55+$M$51*$I$56)*($A$2*(Users!CJ46 + Users!CJ58)*BN$22 + $A$3*Users!CJ70*BN$23)/60</f>
        <v>14989574.116176587</v>
      </c>
      <c r="BO29" s="12">
        <f>($M$49*$I$54+$M$50*$I$55+$M$51*$I$56)*($A$2*(Users!CK46 + Users!CK58)*BO$22 + $A$3*Users!CK70*BO$23)/60</f>
        <v>15321187.132184479</v>
      </c>
      <c r="BP29" s="12">
        <f>($M$49*$I$54+$M$50*$I$55+$M$51*$I$56)*($A$2*(Users!CL46 + Users!CL58)*BP$22 + $A$3*Users!CL70*BP$23)/60</f>
        <v>15660136.393474175</v>
      </c>
      <c r="BQ29" s="12">
        <f>($M$49*$I$54+$M$50*$I$55+$M$51*$I$56)*($A$2*(Users!CM46 + Users!CM58)*BQ$22 + $A$3*Users!CM70*BQ$23)/60</f>
        <v>16006584.199148035</v>
      </c>
      <c r="BR29" s="12">
        <f>($M$49*$I$54+$M$50*$I$55+$M$51*$I$56)*($A$2*(Users!CN46 + Users!CN58)*BR$22 + $A$3*Users!CN70*BR$23)/60</f>
        <v>16361630.854992669</v>
      </c>
      <c r="BS29" s="12">
        <f>($M$49*$I$54+$M$50*$I$55+$M$51*$I$56)*($A$2*(Users!CO46 + Users!CO58)*BS$22 + $A$3*Users!CO70*BS$23)/60</f>
        <v>16723891.835952472</v>
      </c>
      <c r="BT29" s="12">
        <f>($M$49*$I$54+$M$50*$I$55+$M$51*$I$56)*($A$2*(Users!CP46 + Users!CP58)*BT$22 + $A$3*Users!CP70*BT$23)/60</f>
        <v>17094173.595494103</v>
      </c>
      <c r="BU29" s="12">
        <f>($M$49*$I$54+$M$50*$I$55+$M$51*$I$56)*($A$2*(Users!CQ46 + Users!CQ58)*BU$22 + $A$3*Users!CQ70*BU$23)/60</f>
        <v>17472653.720750764</v>
      </c>
      <c r="BV29" s="12">
        <f>($M$49*$I$54+$M$50*$I$55+$M$51*$I$56)*($A$2*(Users!CR46 + Users!CR58)*BV$22 + $A$3*Users!CR70*BV$23)/60</f>
        <v>17859513.73079177</v>
      </c>
      <c r="BW29" s="12">
        <f>($M$49*$I$54+$M$50*$I$55+$M$51*$I$56)*($A$2*(Users!CS46 + Users!CS58)*BW$22 + $A$3*Users!CS70*BW$23)/60</f>
        <v>18251735.58474908</v>
      </c>
      <c r="BX29" s="12">
        <f>($M$49*$I$54+$M$50*$I$55+$M$51*$I$56)*($A$2*(Users!CT46 + Users!CT58)*BX$22 + $A$3*Users!CT70*BX$23)/60</f>
        <v>18652571.222096086</v>
      </c>
      <c r="BY29" s="12">
        <f>($M$49*$I$54+$M$50*$I$55+$M$51*$I$56)*($A$2*(Users!CU46 + Users!CU58)*BY$22 + $A$3*Users!CU70*BY$23)/60</f>
        <v>19062209.814505588</v>
      </c>
      <c r="BZ29" s="12">
        <f>($M$49*$I$54+$M$50*$I$55+$M$51*$I$56)*($A$2*(Users!CV46 + Users!CV58)*BZ$22 + $A$3*Users!CV70*BZ$23)/60</f>
        <v>19480844.688145991</v>
      </c>
    </row>
    <row r="30" spans="1:81" s="12" customFormat="1">
      <c r="O30" s="12" t="s">
        <v>261</v>
      </c>
      <c r="R30" s="12">
        <f>($M$49*$I$54+$M$50*$I$55+$M$51*$I$56)*($A$2*(Users!AN47 + Users!AN59)*R$22 + $A$3*Users!AN71*R$23)/60</f>
        <v>2583574.6088247094</v>
      </c>
      <c r="S30" s="12">
        <f>($M$49*$I$54+$M$50*$I$55+$M$51*$I$56)*($A$2*(Users!AO47 + Users!AO59)*S$22 + $A$3*Users!AO71*S$23)/60</f>
        <v>2663177.4158766014</v>
      </c>
      <c r="T30" s="12">
        <f>($M$49*$I$54+$M$50*$I$55+$M$51*$I$56)*($A$2*(Users!AP47 + Users!AP59)*T$22 + $A$3*Users!AP71*T$23)/60</f>
        <v>2691793.4612210882</v>
      </c>
      <c r="U30" s="12">
        <f>($M$49*$I$54+$M$50*$I$55+$M$51*$I$56)*($A$2*(Users!AQ47 + Users!AQ59)*U$22 + $A$3*Users!AQ71*U$23)/60</f>
        <v>2768142.1872163769</v>
      </c>
      <c r="V30" s="12">
        <f>($M$49*$I$54+$M$50*$I$55+$M$51*$I$56)*($A$2*(Users!AR47 + Users!AR59)*V$22 + $A$3*Users!AR71*V$23)/60</f>
        <v>2887065.794125305</v>
      </c>
      <c r="W30" s="12">
        <f>($M$49*$I$54+$M$50*$I$55+$M$51*$I$56)*($A$2*(Users!AS47 + Users!AS59)*W$22 + $A$3*Users!AS71*W$23)/60</f>
        <v>2982180.4246531818</v>
      </c>
      <c r="X30" s="12">
        <f>($M$49*$I$54+$M$50*$I$55+$M$51*$I$56)*($A$2*(Users!AT47 + Users!AT59)*X$22 + $A$3*Users!AT71*X$23)/60</f>
        <v>3098132.3703152975</v>
      </c>
      <c r="Y30" s="12">
        <f>($M$49*$I$54+$M$50*$I$55+$M$51*$I$56)*($A$2*(Users!AU47 + Users!AU59)*Y$22 + $A$3*Users!AU71*Y$23)/60</f>
        <v>3219716.4702796708</v>
      </c>
      <c r="Z30" s="12">
        <f>($M$49*$I$54+$M$50*$I$55+$M$51*$I$56)*($A$2*(Users!AV47 + Users!AV59)*Z$22 + $A$3*Users!AV71*Z$23)/60</f>
        <v>3346549.7040263484</v>
      </c>
      <c r="AA30" s="12">
        <f>($M$49*$I$54+$M$50*$I$55+$M$51*$I$56)*($A$2*(Users!AW47 + Users!AW59)*AA$22 + $A$3*Users!AW71*AA$23)/60</f>
        <v>3480432.9002405391</v>
      </c>
      <c r="AB30" s="12">
        <f>($M$49*$I$54+$M$50*$I$55+$M$51*$I$56)*($A$2*(Users!AX47 + Users!AX59)*AB$22 + $A$3*Users!AX71*AB$23)/60</f>
        <v>3620924.0986428098</v>
      </c>
      <c r="AC30" s="12">
        <f>($M$49*$I$54+$M$50*$I$55+$M$51*$I$56)*($A$2*(Users!AY47 + Users!AY59)*AC$22 + $A$3*Users!AY71*AC$23)/60</f>
        <v>3768453.3253656575</v>
      </c>
      <c r="AD30" s="12">
        <f>($M$49*$I$54+$M$50*$I$55+$M$51*$I$56)*($A$2*(Users!AZ47 + Users!AZ59)*AD$22 + $A$3*Users!AZ71*AD$23)/60</f>
        <v>3923463.829089805</v>
      </c>
      <c r="AE30" s="12">
        <f>($M$49*$I$54+$M$50*$I$55+$M$51*$I$56)*($A$2*(Users!BA47 + Users!BA59)*AE$22 + $A$3*Users!BA71*AE$23)/60</f>
        <v>4085427.1876024362</v>
      </c>
      <c r="AF30" s="12">
        <f>($M$49*$I$54+$M$50*$I$55+$M$51*$I$56)*($A$2*(Users!BB47 + Users!BB59)*AF$22 + $A$3*Users!BB71*AF$23)/60</f>
        <v>4254724.5545540163</v>
      </c>
      <c r="AG30" s="12">
        <f>($M$49*$I$54+$M$50*$I$55+$M$51*$I$56)*($A$2*(Users!BC47 + Users!BC59)*AG$22 + $A$3*Users!BC71*AG$23)/60</f>
        <v>4431751.4659707136</v>
      </c>
      <c r="AH30" s="12">
        <f>($M$49*$I$54+$M$50*$I$55+$M$51*$I$56)*($A$2*(Users!BD47 + Users!BD59)*AH$22 + $A$3*Users!BD71*AH$23)/60</f>
        <v>4616923.3521460602</v>
      </c>
      <c r="AI30" s="12">
        <f>($M$49*$I$54+$M$50*$I$55+$M$51*$I$56)*($A$2*(Users!BE47 + Users!BE59)*AI$22 + $A$3*Users!BE71*AI$23)/60</f>
        <v>4810662.56597503</v>
      </c>
      <c r="AJ30" s="12">
        <f>($M$49*$I$54+$M$50*$I$55+$M$51*$I$56)*($A$2*(Users!BF47 + Users!BF59)*AJ$22 + $A$3*Users!BF71*AJ$23)/60</f>
        <v>5013391.1766213458</v>
      </c>
      <c r="AK30" s="12">
        <f>($M$49*$I$54+$M$50*$I$55+$M$51*$I$56)*($A$2*(Users!BG47 + Users!BG59)*AK$22 + $A$3*Users!BG71*AK$23)/60</f>
        <v>5225553.3421147205</v>
      </c>
      <c r="AL30" s="12">
        <f>($M$49*$I$54+$M$50*$I$55+$M$51*$I$56)*($A$2*(Users!BH47 + Users!BH59)*AL$22 + $A$3*Users!BH71*AL$23)/60</f>
        <v>5330325.9229257125</v>
      </c>
      <c r="AM30" s="12">
        <f>($M$49*$I$54+$M$50*$I$55+$M$51*$I$56)*($A$2*(Users!BI47 + Users!BI59)*AM$22 + $A$3*Users!BI71*AM$23)/60</f>
        <v>5438061.7332876688</v>
      </c>
      <c r="AN30" s="12">
        <f>($M$49*$I$54+$M$50*$I$55+$M$51*$I$56)*($A$2*(Users!BJ47 + Users!BJ59)*AN$22 + $A$3*Users!BJ71*AN$23)/60</f>
        <v>5548805.6601077747</v>
      </c>
      <c r="AO30" s="12">
        <f>($M$49*$I$54+$M$50*$I$55+$M$51*$I$56)*($A$2*(Users!BK47 + Users!BK59)*AO$22 + $A$3*Users!BK71*AO$23)/60</f>
        <v>5662586.6149738031</v>
      </c>
      <c r="AP30" s="12">
        <f>($M$49*$I$54+$M$50*$I$55+$M$51*$I$56)*($A$2*(Users!BL47 + Users!BL59)*AP$22 + $A$3*Users!BL71*AP$23)/60</f>
        <v>5779408.3407787867</v>
      </c>
      <c r="AQ30" s="12">
        <f>($M$49*$I$54+$M$50*$I$55+$M$51*$I$56)*($A$2*(Users!BM47 + Users!BM59)*AQ$22 + $A$3*Users!BM71*AQ$23)/60</f>
        <v>5899267.7122764057</v>
      </c>
      <c r="AR30" s="12">
        <f>($M$49*$I$54+$M$50*$I$55+$M$51*$I$56)*($A$2*(Users!BN47 + Users!BN59)*AR$22 + $A$3*Users!BN71*AR$23)/60</f>
        <v>6022157.4946968919</v>
      </c>
      <c r="AS30" s="12">
        <f>($M$49*$I$54+$M$50*$I$55+$M$51*$I$56)*($A$2*(Users!BO47 + Users!BO59)*AS$22 + $A$3*Users!BO71*AS$23)/60</f>
        <v>6148065.4974620696</v>
      </c>
      <c r="AT30" s="12">
        <f>($M$49*$I$54+$M$50*$I$55+$M$51*$I$56)*($A$2*(Users!BP47 + Users!BP59)*AT$22 + $A$3*Users!BP71*AT$23)/60</f>
        <v>6277403.4096651534</v>
      </c>
      <c r="AU30" s="12">
        <f>($M$49*$I$54+$M$50*$I$55+$M$51*$I$56)*($A$2*(Users!BQ47 + Users!BQ59)*AU$22 + $A$3*Users!BQ71*AU$23)/60</f>
        <v>6409462.2257915819</v>
      </c>
      <c r="AV30" s="12">
        <f>($M$49*$I$54+$M$50*$I$55+$M$51*$I$56)*($A$2*(Users!BR47 + Users!BR59)*AV$22 + $A$3*Users!BR71*AV$23)/60</f>
        <v>6544299.1859655781</v>
      </c>
      <c r="AW30" s="12">
        <f>($M$49*$I$54+$M$50*$I$55+$M$51*$I$56)*($A$2*(Users!BS47 + Users!BS59)*AW$22 + $A$3*Users!BS71*AW$23)/60</f>
        <v>6681972.7344816923</v>
      </c>
      <c r="AX30" s="12">
        <f>($M$49*$I$54+$M$50*$I$55+$M$51*$I$56)*($A$2*(Users!BT47 + Users!BT59)*AX$22 + $A$3*Users!BT71*AX$23)/60</f>
        <v>6823750.1517085899</v>
      </c>
      <c r="AY30" s="12">
        <f>($M$49*$I$54+$M$50*$I$55+$M$51*$I$56)*($A$2*(Users!BU47 + Users!BU59)*AY$22 + $A$3*Users!BU71*AY$23)/60</f>
        <v>6968535.7877406664</v>
      </c>
      <c r="AZ30" s="12">
        <f>($M$49*$I$54+$M$50*$I$55+$M$51*$I$56)*($A$2*(Users!BV47 + Users!BV59)*AZ$22 + $A$3*Users!BV71*AZ$23)/60</f>
        <v>7116393.4706582623</v>
      </c>
      <c r="BA30" s="12">
        <f>($M$49*$I$54+$M$50*$I$55+$M$51*$I$56)*($A$2*(Users!BW47 + Users!BW59)*BA$22 + $A$3*Users!BW71*BA$23)/60</f>
        <v>7267388.3828394674</v>
      </c>
      <c r="BB30" s="12">
        <f>($M$49*$I$54+$M$50*$I$55+$M$51*$I$56)*($A$2*(Users!BX47 + Users!BX59)*BB$22 + $A$3*Users!BX71*BB$23)/60</f>
        <v>7421587.0896954061</v>
      </c>
      <c r="BC30" s="12">
        <f>($M$49*$I$54+$M$50*$I$55+$M$51*$I$56)*($A$2*(Users!BY47 + Users!BY59)*BC$22 + $A$3*Users!BY71*BC$23)/60</f>
        <v>7581185.4140360039</v>
      </c>
      <c r="BD30" s="12">
        <f>($M$49*$I$54+$M$50*$I$55+$M$51*$I$56)*($A$2*(Users!BZ47 + Users!BZ59)*BD$22 + $A$3*Users!BZ71*BD$23)/60</f>
        <v>7744215.8378486615</v>
      </c>
      <c r="BE30" s="12">
        <f>($M$49*$I$54+$M$50*$I$55+$M$51*$I$56)*($A$2*(Users!CA47 + Users!CA59)*BE$22 + $A$3*Users!CA71*BE$23)/60</f>
        <v>7910752.1670886185</v>
      </c>
      <c r="BF30" s="12">
        <f>($M$49*$I$54+$M$50*$I$55+$M$51*$I$56)*($A$2*(Users!CB47 + Users!CB59)*BF$22 + $A$3*Users!CB71*BF$23)/60</f>
        <v>8080869.7948793191</v>
      </c>
      <c r="BG30" s="12">
        <f>($M$49*$I$54+$M$50*$I$55+$M$51*$I$56)*($A$2*(Users!CC47 + Users!CC59)*BG$22 + $A$3*Users!CC71*BG$23)/60</f>
        <v>8254645.7356437994</v>
      </c>
      <c r="BH30" s="12">
        <f>($M$49*$I$54+$M$50*$I$55+$M$51*$I$56)*($A$2*(Users!CD47 + Users!CD59)*BH$22 + $A$3*Users!CD71*BH$23)/60</f>
        <v>8435104.9698543269</v>
      </c>
      <c r="BI30" s="12">
        <f>($M$49*$I$54+$M$50*$I$55+$M$51*$I$56)*($A$2*(Users!CE47 + Users!CE59)*BI$22 + $A$3*Users!CE71*BI$23)/60</f>
        <v>8619509.3200946432</v>
      </c>
      <c r="BJ30" s="12">
        <f>($M$49*$I$54+$M$50*$I$55+$M$51*$I$56)*($A$2*(Users!CF47 + Users!CF59)*BJ$22 + $A$3*Users!CF71*BJ$23)/60</f>
        <v>8807945.0326605123</v>
      </c>
      <c r="BK30" s="12">
        <f>($M$49*$I$54+$M$50*$I$55+$M$51*$I$56)*($A$2*(Users!CG47 + Users!CG59)*BK$22 + $A$3*Users!CG71*BK$23)/60</f>
        <v>9000500.2393242065</v>
      </c>
      <c r="BL30" s="12">
        <f>($M$49*$I$54+$M$50*$I$55+$M$51*$I$56)*($A$2*(Users!CH47 + Users!CH59)*BL$22 + $A$3*Users!CH71*BL$23)/60</f>
        <v>9197264.9985538665</v>
      </c>
      <c r="BM30" s="12">
        <f>($M$49*$I$54+$M$50*$I$55+$M$51*$I$56)*($A$2*(Users!CI47 + Users!CI59)*BM$22 + $A$3*Users!CI71*BM$23)/60</f>
        <v>9400735.2747308929</v>
      </c>
      <c r="BN30" s="12">
        <f>($M$49*$I$54+$M$50*$I$55+$M$51*$I$56)*($A$2*(Users!CJ47 + Users!CJ59)*BN$22 + $A$3*Users!CJ71*BN$23)/60</f>
        <v>9608706.9057448208</v>
      </c>
      <c r="BO30" s="12">
        <f>($M$49*$I$54+$M$50*$I$55+$M$51*$I$56)*($A$2*(Users!CK47 + Users!CK59)*BO$22 + $A$3*Users!CK71*BO$23)/60</f>
        <v>9821279.4746686574</v>
      </c>
      <c r="BP30" s="12">
        <f>($M$49*$I$54+$M$50*$I$55+$M$51*$I$56)*($A$2*(Users!CL47 + Users!CL59)*BP$22 + $A$3*Users!CL71*BP$23)/60</f>
        <v>10038554.767642902</v>
      </c>
      <c r="BQ30" s="12">
        <f>($M$49*$I$54+$M$50*$I$55+$M$51*$I$56)*($A$2*(Users!CM47 + Users!CM59)*BQ$22 + $A$3*Users!CM71*BQ$23)/60</f>
        <v>10260636.822613766</v>
      </c>
      <c r="BR30" s="12">
        <f>($M$49*$I$54+$M$50*$I$55+$M$51*$I$56)*($A$2*(Users!CN47 + Users!CN59)*BR$22 + $A$3*Users!CN71*BR$23)/60</f>
        <v>10488230.964210775</v>
      </c>
      <c r="BS30" s="12">
        <f>($M$49*$I$54+$M$50*$I$55+$M$51*$I$56)*($A$2*(Users!CO47 + Users!CO59)*BS$22 + $A$3*Users!CO71*BS$23)/60</f>
        <v>10720449.675860081</v>
      </c>
      <c r="BT30" s="12">
        <f>($M$49*$I$54+$M$50*$I$55+$M$51*$I$56)*($A$2*(Users!CP47 + Users!CP59)*BT$22 + $A$3*Users!CP71*BT$23)/60</f>
        <v>10957809.915210668</v>
      </c>
      <c r="BU30" s="12">
        <f>($M$49*$I$54+$M$50*$I$55+$M$51*$I$56)*($A$2*(Users!CQ47 + Users!CQ59)*BU$22 + $A$3*Users!CQ71*BU$23)/60</f>
        <v>11200425.520234171</v>
      </c>
      <c r="BV30" s="12">
        <f>($M$49*$I$54+$M$50*$I$55+$M$51*$I$56)*($A$2*(Users!CR47 + Users!CR59)*BV$22 + $A$3*Users!CR71*BV$23)/60</f>
        <v>11448412.849375559</v>
      </c>
      <c r="BW30" s="12">
        <f>($M$49*$I$54+$M$50*$I$55+$M$51*$I$56)*($A$2*(Users!CS47 + Users!CS59)*BW$22 + $A$3*Users!CS71*BW$23)/60</f>
        <v>11699837.259935461</v>
      </c>
      <c r="BX30" s="12">
        <f>($M$49*$I$54+$M$50*$I$55+$M$51*$I$56)*($A$2*(Users!CT47 + Users!CT59)*BX$22 + $A$3*Users!CT71*BX$23)/60</f>
        <v>11956783.329703266</v>
      </c>
      <c r="BY30" s="12">
        <f>($M$49*$I$54+$M$50*$I$55+$M$51*$I$56)*($A$2*(Users!CU47 + Users!CU59)*BY$22 + $A$3*Users!CU71*BY$23)/60</f>
        <v>12219372.322641829</v>
      </c>
      <c r="BZ30" s="12">
        <f>($M$49*$I$54+$M$50*$I$55+$M$51*$I$56)*($A$2*(Users!CV47 + Users!CV59)*BZ$22 + $A$3*Users!CV71*BZ$23)/60</f>
        <v>12487728.165853752</v>
      </c>
    </row>
    <row r="31" spans="1:81" s="12" customFormat="1">
      <c r="F31" s="17"/>
      <c r="G31" s="17"/>
      <c r="H31" s="17"/>
      <c r="I31" s="17"/>
      <c r="J31" s="17"/>
      <c r="K31" s="17"/>
      <c r="O31" s="12" t="s">
        <v>262</v>
      </c>
      <c r="R31" s="12">
        <f>($M$49*$I$54+$M$50*$I$55+$M$51*$I$56)*($A$2*(Users!AN48 + Users!AN60)*R$22 + $A$3*Users!AN72*R$23)/60</f>
        <v>4359397.4548678286</v>
      </c>
      <c r="S31" s="12">
        <f>($M$49*$I$54+$M$50*$I$55+$M$51*$I$56)*($A$2*(Users!AO48 + Users!AO60)*S$22 + $A$3*Users!AO72*S$23)/60</f>
        <v>4493715.3388093375</v>
      </c>
      <c r="T31" s="12">
        <f>($M$49*$I$54+$M$50*$I$55+$M$51*$I$56)*($A$2*(Users!AP48 + Users!AP60)*T$22 + $A$3*Users!AP72*T$23)/60</f>
        <v>4542000.654362849</v>
      </c>
      <c r="U31" s="12">
        <f>($M$49*$I$54+$M$50*$I$55+$M$51*$I$56)*($A$2*(Users!AQ48 + Users!AQ60)*U$22 + $A$3*Users!AQ72*U$23)/60</f>
        <v>4670827.7610581238</v>
      </c>
      <c r="V31" s="12">
        <f>($M$49*$I$54+$M$50*$I$55+$M$51*$I$56)*($A$2*(Users!AR48 + Users!AR60)*V$22 + $A$3*Users!AR72*V$23)/60</f>
        <v>4871493.6398416003</v>
      </c>
      <c r="W31" s="12">
        <f>($M$49*$I$54+$M$50*$I$55+$M$51*$I$56)*($A$2*(Users!AS48 + Users!AS60)*W$22 + $A$3*Users!AS72*W$23)/60</f>
        <v>5031985.4161687195</v>
      </c>
      <c r="X31" s="12">
        <f>($M$49*$I$54+$M$50*$I$55+$M$51*$I$56)*($A$2*(Users!AT48 + Users!AT60)*X$22 + $A$3*Users!AT72*X$23)/60</f>
        <v>5227637.0590823125</v>
      </c>
      <c r="Y31" s="12">
        <f>($M$49*$I$54+$M$50*$I$55+$M$51*$I$56)*($A$2*(Users!AU48 + Users!AU60)*Y$22 + $A$3*Users!AU72*Y$23)/60</f>
        <v>5432792.1237460738</v>
      </c>
      <c r="Z31" s="12">
        <f>($M$49*$I$54+$M$50*$I$55+$M$51*$I$56)*($A$2*(Users!AV48 + Users!AV60)*Z$22 + $A$3*Users!AV72*Z$23)/60</f>
        <v>5646804.3200648176</v>
      </c>
      <c r="AA31" s="12">
        <f>($M$49*$I$54+$M$50*$I$55+$M$51*$I$56)*($A$2*(Users!AW48 + Users!AW60)*AA$22 + $A$3*Users!AW72*AA$23)/60</f>
        <v>5872712.2782991733</v>
      </c>
      <c r="AB31" s="12">
        <f>($M$49*$I$54+$M$50*$I$55+$M$51*$I$56)*($A$2*(Users!AX48 + Users!AX60)*AB$22 + $A$3*Users!AX72*AB$23)/60</f>
        <v>6109770.256286039</v>
      </c>
      <c r="AC31" s="12">
        <f>($M$49*$I$54+$M$50*$I$55+$M$51*$I$56)*($A$2*(Users!AY48 + Users!AY60)*AC$22 + $A$3*Users!AY72*AC$23)/60</f>
        <v>6358703.8590925671</v>
      </c>
      <c r="AD31" s="12">
        <f>($M$49*$I$54+$M$50*$I$55+$M$51*$I$56)*($A$2*(Users!AZ48 + Users!AZ60)*AD$22 + $A$3*Users!AZ72*AD$23)/60</f>
        <v>6620261.0028671902</v>
      </c>
      <c r="AE31" s="12">
        <f>($M$49*$I$54+$M$50*$I$55+$M$51*$I$56)*($A$2*(Users!BA48 + Users!BA60)*AE$22 + $A$3*Users!BA72*AE$23)/60</f>
        <v>6893550.053808515</v>
      </c>
      <c r="AF31" s="12">
        <f>($M$49*$I$54+$M$50*$I$55+$M$51*$I$56)*($A$2*(Users!BB48 + Users!BB60)*AF$22 + $A$3*Users!BB72*AF$23)/60</f>
        <v>7179214.1519474434</v>
      </c>
      <c r="AG31" s="12">
        <f>($M$49*$I$54+$M$50*$I$55+$M$51*$I$56)*($A$2*(Users!BC48 + Users!BC60)*AG$22 + $A$3*Users!BC72*AG$23)/60</f>
        <v>7477920.7054323172</v>
      </c>
      <c r="AH31" s="12">
        <f>($M$49*$I$54+$M$50*$I$55+$M$51*$I$56)*($A$2*(Users!BD48 + Users!BD60)*AH$22 + $A$3*Users!BD72*AH$23)/60</f>
        <v>7790370.6910253791</v>
      </c>
      <c r="AI31" s="12">
        <f>($M$49*$I$54+$M$50*$I$55+$M$51*$I$56)*($A$2*(Users!BE48 + Users!BE60)*AI$22 + $A$3*Users!BE72*AI$23)/60</f>
        <v>8117276.7663480183</v>
      </c>
      <c r="AJ31" s="12">
        <f>($M$49*$I$54+$M$50*$I$55+$M$51*$I$56)*($A$2*(Users!BF48 + Users!BF60)*AJ$22 + $A$3*Users!BF72*AJ$23)/60</f>
        <v>8459351.1102673821</v>
      </c>
      <c r="AK31" s="12">
        <f>($M$49*$I$54+$M$50*$I$55+$M$51*$I$56)*($A$2*(Users!BG48 + Users!BG60)*AK$22 + $A$3*Users!BG72*AK$23)/60</f>
        <v>8817343.1733229198</v>
      </c>
      <c r="AL31" s="12">
        <f>($M$49*$I$54+$M$50*$I$55+$M$51*$I$56)*($A$2*(Users!BH48 + Users!BH60)*AL$22 + $A$3*Users!BH72*AL$23)/60</f>
        <v>8994131.3026717957</v>
      </c>
      <c r="AM31" s="12">
        <f>($M$49*$I$54+$M$50*$I$55+$M$51*$I$56)*($A$2*(Users!BI48 + Users!BI60)*AM$22 + $A$3*Users!BI72*AM$23)/60</f>
        <v>9175919.4406592958</v>
      </c>
      <c r="AN31" s="12">
        <f>($M$49*$I$54+$M$50*$I$55+$M$51*$I$56)*($A$2*(Users!BJ48 + Users!BJ60)*AN$22 + $A$3*Users!BJ72*AN$23)/60</f>
        <v>9362783.3272575848</v>
      </c>
      <c r="AO31" s="12">
        <f>($M$49*$I$54+$M$50*$I$55+$M$51*$I$56)*($A$2*(Users!BK48 + Users!BK60)*AO$22 + $A$3*Users!BK72*AO$23)/60</f>
        <v>9554771.7464660574</v>
      </c>
      <c r="AP31" s="12">
        <f>($M$49*$I$54+$M$50*$I$55+$M$51*$I$56)*($A$2*(Users!BL48 + Users!BL60)*AP$22 + $A$3*Users!BL72*AP$23)/60</f>
        <v>9751891.0138593782</v>
      </c>
      <c r="AQ31" s="12">
        <f>($M$49*$I$54+$M$50*$I$55+$M$51*$I$56)*($A$2*(Users!BM48 + Users!BM60)*AQ$22 + $A$3*Users!BM72*AQ$23)/60</f>
        <v>9954135.8560497388</v>
      </c>
      <c r="AR31" s="12">
        <f>($M$49*$I$54+$M$50*$I$55+$M$51*$I$56)*($A$2*(Users!BN48 + Users!BN60)*AR$22 + $A$3*Users!BN72*AR$23)/60</f>
        <v>10161494.065440422</v>
      </c>
      <c r="AS31" s="12">
        <f>($M$49*$I$54+$M$50*$I$55+$M$51*$I$56)*($A$2*(Users!BO48 + Users!BO60)*AS$22 + $A$3*Users!BO72*AS$23)/60</f>
        <v>10373945.072245952</v>
      </c>
      <c r="AT31" s="12">
        <f>($M$49*$I$54+$M$50*$I$55+$M$51*$I$56)*($A$2*(Users!BP48 + Users!BP60)*AT$22 + $A$3*Users!BP72*AT$23)/60</f>
        <v>10592183.540510096</v>
      </c>
      <c r="AU31" s="12">
        <f>($M$49*$I$54+$M$50*$I$55+$M$51*$I$56)*($A$2*(Users!BQ48 + Users!BQ60)*AU$22 + $A$3*Users!BQ72*AU$23)/60</f>
        <v>10815013.128998851</v>
      </c>
      <c r="AV31" s="12">
        <f>($M$49*$I$54+$M$50*$I$55+$M$51*$I$56)*($A$2*(Users!BR48 + Users!BR60)*AV$22 + $A$3*Users!BR72*AV$23)/60</f>
        <v>11042530.421898719</v>
      </c>
      <c r="AW31" s="12">
        <f>($M$49*$I$54+$M$50*$I$55+$M$51*$I$56)*($A$2*(Users!BS48 + Users!BS60)*AW$22 + $A$3*Users!BS72*AW$23)/60</f>
        <v>11274834.035254326</v>
      </c>
      <c r="AX31" s="12">
        <f>($M$49*$I$54+$M$50*$I$55+$M$51*$I$56)*($A$2*(Users!BT48 + Users!BT60)*AX$22 + $A$3*Users!BT72*AX$23)/60</f>
        <v>11514062.315988136</v>
      </c>
      <c r="AY31" s="12">
        <f>($M$49*$I$54+$M$50*$I$55+$M$51*$I$56)*($A$2*(Users!BU48 + Users!BU60)*AY$22 + $A$3*Users!BU72*AY$23)/60</f>
        <v>11758366.518028112</v>
      </c>
      <c r="AZ31" s="12">
        <f>($M$49*$I$54+$M$50*$I$55+$M$51*$I$56)*($A$2*(Users!BV48 + Users!BV60)*AZ$22 + $A$3*Users!BV72*AZ$23)/60</f>
        <v>12007854.341755731</v>
      </c>
      <c r="BA31" s="12">
        <f>($M$49*$I$54+$M$50*$I$55+$M$51*$I$56)*($A$2*(Users!BW48 + Users!BW60)*BA$22 + $A$3*Users!BW72*BA$23)/60</f>
        <v>12262635.772728294</v>
      </c>
      <c r="BB31" s="12">
        <f>($M$49*$I$54+$M$50*$I$55+$M$51*$I$56)*($A$2*(Users!BX48 + Users!BX60)*BB$22 + $A$3*Users!BX72*BB$23)/60</f>
        <v>12522823.130165394</v>
      </c>
      <c r="BC31" s="12">
        <f>($M$49*$I$54+$M$50*$I$55+$M$51*$I$56)*($A$2*(Users!BY48 + Users!BY60)*BC$22 + $A$3*Users!BY72*BC$23)/60</f>
        <v>12792121.538097989</v>
      </c>
      <c r="BD31" s="12">
        <f>($M$49*$I$54+$M$50*$I$55+$M$51*$I$56)*($A$2*(Users!BZ48 + Users!BZ60)*BD$22 + $A$3*Users!BZ72*BD$23)/60</f>
        <v>13067211.102845738</v>
      </c>
      <c r="BE31" s="12">
        <f>($M$49*$I$54+$M$50*$I$55+$M$51*$I$56)*($A$2*(Users!CA48 + Users!CA60)*BE$22 + $A$3*Users!CA72*BE$23)/60</f>
        <v>13348216.360968309</v>
      </c>
      <c r="BF31" s="12">
        <f>($M$49*$I$54+$M$50*$I$55+$M$51*$I$56)*($A$2*(Users!CB48 + Users!CB60)*BF$22 + $A$3*Users!CB72*BF$23)/60</f>
        <v>13635264.527135374</v>
      </c>
      <c r="BG31" s="12">
        <f>($M$49*$I$54+$M$50*$I$55+$M$51*$I$56)*($A$2*(Users!CC48 + Users!CC60)*BG$22 + $A$3*Users!CC72*BG$23)/60</f>
        <v>13928485.551718269</v>
      </c>
      <c r="BH31" s="12">
        <f>($M$49*$I$54+$M$50*$I$55+$M$51*$I$56)*($A$2*(Users!CD48 + Users!CD60)*BH$22 + $A$3*Users!CD72*BH$23)/60</f>
        <v>14232983.638840532</v>
      </c>
      <c r="BI31" s="12">
        <f>($M$49*$I$54+$M$50*$I$55+$M$51*$I$56)*($A$2*(Users!CE48 + Users!CE60)*BI$22 + $A$3*Users!CE72*BI$23)/60</f>
        <v>14544138.521830302</v>
      </c>
      <c r="BJ31" s="12">
        <f>($M$49*$I$54+$M$50*$I$55+$M$51*$I$56)*($A$2*(Users!CF48 + Users!CF60)*BJ$22 + $A$3*Users!CF72*BJ$23)/60</f>
        <v>14862095.728469498</v>
      </c>
      <c r="BK31" s="12">
        <f>($M$49*$I$54+$M$50*$I$55+$M$51*$I$56)*($A$2*(Users!CG48 + Users!CG60)*BK$22 + $A$3*Users!CG72*BK$23)/60</f>
        <v>15187003.968000893</v>
      </c>
      <c r="BL31" s="12">
        <f>($M$49*$I$54+$M$50*$I$55+$M$51*$I$56)*($A$2*(Users!CH48 + Users!CH60)*BL$22 + $A$3*Users!CH72*BL$23)/60</f>
        <v>15519015.200679665</v>
      </c>
      <c r="BM31" s="12">
        <f>($M$49*$I$54+$M$50*$I$55+$M$51*$I$56)*($A$2*(Users!CI48 + Users!CI60)*BM$22 + $A$3*Users!CI72*BM$23)/60</f>
        <v>15862340.994747169</v>
      </c>
      <c r="BN31" s="12">
        <f>($M$49*$I$54+$M$50*$I$55+$M$51*$I$56)*($A$2*(Users!CJ48 + Users!CJ60)*BN$22 + $A$3*Users!CJ72*BN$23)/60</f>
        <v>16213262.154844521</v>
      </c>
      <c r="BO31" s="12">
        <f>($M$49*$I$54+$M$50*$I$55+$M$51*$I$56)*($A$2*(Users!CK48 + Users!CK60)*BO$22 + $A$3*Users!CK72*BO$23)/60</f>
        <v>16571946.712579375</v>
      </c>
      <c r="BP31" s="12">
        <f>($M$49*$I$54+$M$50*$I$55+$M$51*$I$56)*($A$2*(Users!CL48 + Users!CL60)*BP$22 + $A$3*Users!CL72*BP$23)/60</f>
        <v>16938566.416907739</v>
      </c>
      <c r="BQ31" s="12">
        <f>($M$49*$I$54+$M$50*$I$55+$M$51*$I$56)*($A$2*(Users!CM48 + Users!CM60)*BQ$22 + $A$3*Users!CM72*BQ$23)/60</f>
        <v>17313296.816372458</v>
      </c>
      <c r="BR31" s="12">
        <f>($M$49*$I$54+$M$50*$I$55+$M$51*$I$56)*($A$2*(Users!CN48 + Users!CN60)*BR$22 + $A$3*Users!CN72*BR$23)/60</f>
        <v>17697328.041262139</v>
      </c>
      <c r="BS31" s="12">
        <f>($M$49*$I$54+$M$50*$I$55+$M$51*$I$56)*($A$2*(Users!CO48 + Users!CO60)*BS$22 + $A$3*Users!CO72*BS$23)/60</f>
        <v>18089162.539510749</v>
      </c>
      <c r="BT31" s="12">
        <f>($M$49*$I$54+$M$50*$I$55+$M$51*$I$56)*($A$2*(Users!CP48 + Users!CP60)*BT$22 + $A$3*Users!CP72*BT$23)/60</f>
        <v>18489672.600175295</v>
      </c>
      <c r="BU31" s="12">
        <f>($M$49*$I$54+$M$50*$I$55+$M$51*$I$56)*($A$2*(Users!CQ48 + Users!CQ60)*BU$22 + $A$3*Users!CQ72*BU$23)/60</f>
        <v>18899050.307882302</v>
      </c>
      <c r="BV31" s="12">
        <f>($M$49*$I$54+$M$50*$I$55+$M$51*$I$56)*($A$2*(Users!CR48 + Users!CR60)*BV$22 + $A$3*Users!CR72*BV$23)/60</f>
        <v>19317492.000181723</v>
      </c>
      <c r="BW31" s="12">
        <f>($M$49*$I$54+$M$50*$I$55+$M$51*$I$56)*($A$2*(Users!CS48 + Users!CS60)*BW$22 + $A$3*Users!CS72*BW$23)/60</f>
        <v>19741733.255589124</v>
      </c>
      <c r="BX31" s="12">
        <f>($M$49*$I$54+$M$50*$I$55+$M$51*$I$56)*($A$2*(Users!CT48 + Users!CT60)*BX$22 + $A$3*Users!CT72*BX$23)/60</f>
        <v>20175291.48872783</v>
      </c>
      <c r="BY31" s="12">
        <f>($M$49*$I$54+$M$50*$I$55+$M$51*$I$56)*($A$2*(Users!CU48 + Users!CU60)*BY$22 + $A$3*Users!CU72*BY$23)/60</f>
        <v>20618371.3144788</v>
      </c>
      <c r="BZ31" s="12">
        <f>($M$49*$I$54+$M$50*$I$55+$M$51*$I$56)*($A$2*(Users!CV48 + Users!CV60)*BZ$22 + $A$3*Users!CV72*BZ$23)/60</f>
        <v>21071181.841374766</v>
      </c>
    </row>
    <row r="32" spans="1:81">
      <c r="O32" s="12" t="s">
        <v>263</v>
      </c>
      <c r="R32" s="12">
        <f>($M$49*$I$54+$M$50*$I$55+$M$51*$I$56)*($A$2*(Users!AN49 + Users!AN61)*R$22 + $A$3*Users!AN73*R$23)/60</f>
        <v>2380460.3296638024</v>
      </c>
      <c r="S32" s="12">
        <f>($M$49*$I$54+$M$50*$I$55+$M$51*$I$56)*($A$2*(Users!AO49 + Users!AO61)*S$22 + $A$3*Users!AO73*S$23)/60</f>
        <v>2453804.9598787245</v>
      </c>
      <c r="T32" s="12">
        <f>($M$49*$I$54+$M$50*$I$55+$M$51*$I$56)*($A$2*(Users!AP49 + Users!AP61)*T$22 + $A$3*Users!AP73*T$23)/60</f>
        <v>2480171.2821446797</v>
      </c>
      <c r="U32" s="12">
        <f>($M$49*$I$54+$M$50*$I$55+$M$51*$I$56)*($A$2*(Users!AQ49 + Users!AQ61)*U$22 + $A$3*Users!AQ73*U$23)/60</f>
        <v>2550517.6591493799</v>
      </c>
      <c r="V32" s="12">
        <f>($M$49*$I$54+$M$50*$I$55+$M$51*$I$56)*($A$2*(Users!AR49 + Users!AR61)*V$22 + $A$3*Users!AR73*V$23)/60</f>
        <v>2660091.7846808354</v>
      </c>
      <c r="W32" s="12">
        <f>($M$49*$I$54+$M$50*$I$55+$M$51*$I$56)*($A$2*(Users!AS49 + Users!AS61)*W$22 + $A$3*Users!AS73*W$23)/60</f>
        <v>2747728.7369750976</v>
      </c>
      <c r="X32" s="12">
        <f>($M$49*$I$54+$M$50*$I$55+$M$51*$I$56)*($A$2*(Users!AT49 + Users!AT61)*X$22 + $A$3*Users!AT73*X$23)/60</f>
        <v>2854564.8259555358</v>
      </c>
      <c r="Y32" s="12">
        <f>($M$49*$I$54+$M$50*$I$55+$M$51*$I$56)*($A$2*(Users!AU49 + Users!AU61)*Y$22 + $A$3*Users!AU73*Y$23)/60</f>
        <v>2966590.2831242508</v>
      </c>
      <c r="Z32" s="12">
        <f>($M$49*$I$54+$M$50*$I$55+$M$51*$I$56)*($A$2*(Users!AV49 + Users!AV61)*Z$22 + $A$3*Users!AV73*Z$23)/60</f>
        <v>3083452.2000921867</v>
      </c>
      <c r="AA32" s="12">
        <f>($M$49*$I$54+$M$50*$I$55+$M$51*$I$56)*($A$2*(Users!AW49 + Users!AW61)*AA$22 + $A$3*Users!AW73*AA$23)/60</f>
        <v>3206809.8288240531</v>
      </c>
      <c r="AB32" s="12">
        <f>($M$49*$I$54+$M$50*$I$55+$M$51*$I$56)*($A$2*(Users!AX49 + Users!AX61)*AB$22 + $A$3*Users!AX73*AB$23)/60</f>
        <v>3336255.9548701933</v>
      </c>
      <c r="AC32" s="12">
        <f>($M$49*$I$54+$M$50*$I$55+$M$51*$I$56)*($A$2*(Users!AY49 + Users!AY61)*AC$22 + $A$3*Users!AY73*AC$23)/60</f>
        <v>3472186.7967665987</v>
      </c>
      <c r="AD32" s="12">
        <f>($M$49*$I$54+$M$50*$I$55+$M$51*$I$56)*($A$2*(Users!AZ49 + Users!AZ61)*AD$22 + $A$3*Users!AZ73*AD$23)/60</f>
        <v>3615010.7560732737</v>
      </c>
      <c r="AE32" s="12">
        <f>($M$49*$I$54+$M$50*$I$55+$M$51*$I$56)*($A$2*(Users!BA49 + Users!BA61)*AE$22 + $A$3*Users!BA73*AE$23)/60</f>
        <v>3764240.9538316503</v>
      </c>
      <c r="AF32" s="12">
        <f>($M$49*$I$54+$M$50*$I$55+$M$51*$I$56)*($A$2*(Users!BB49 + Users!BB61)*AF$22 + $A$3*Users!BB73*AF$23)/60</f>
        <v>3920228.5783299808</v>
      </c>
      <c r="AG32" s="12">
        <f>($M$49*$I$54+$M$50*$I$55+$M$51*$I$56)*($A$2*(Users!BC49 + Users!BC61)*AG$22 + $A$3*Users!BC73*AG$23)/60</f>
        <v>4083338.0695252274</v>
      </c>
      <c r="AH32" s="12">
        <f>($M$49*$I$54+$M$50*$I$55+$M$51*$I$56)*($A$2*(Users!BD49 + Users!BD61)*AH$22 + $A$3*Users!BD73*AH$23)/60</f>
        <v>4253952.1976033626</v>
      </c>
      <c r="AI32" s="12">
        <f>($M$49*$I$54+$M$50*$I$55+$M$51*$I$56)*($A$2*(Users!BE49 + Users!BE61)*AI$22 + $A$3*Users!BE73*AI$23)/60</f>
        <v>4432460.111113905</v>
      </c>
      <c r="AJ32" s="12">
        <f>($M$49*$I$54+$M$50*$I$55+$M$51*$I$56)*($A$2*(Users!BF49 + Users!BF61)*AJ$22 + $A$3*Users!BF73*AJ$23)/60</f>
        <v>4619250.6971813785</v>
      </c>
      <c r="AK32" s="12">
        <f>($M$49*$I$54+$M$50*$I$55+$M$51*$I$56)*($A$2*(Users!BG49 + Users!BG61)*AK$22 + $A$3*Users!BG73*AK$23)/60</f>
        <v>4814733.1952240011</v>
      </c>
      <c r="AL32" s="12">
        <f>($M$49*$I$54+$M$50*$I$55+$M$51*$I$56)*($A$2*(Users!BH49 + Users!BH61)*AL$22 + $A$3*Users!BH73*AL$23)/60</f>
        <v>4911268.8135123849</v>
      </c>
      <c r="AM32" s="12">
        <f>($M$49*$I$54+$M$50*$I$55+$M$51*$I$56)*($A$2*(Users!BI49 + Users!BI61)*AM$22 + $A$3*Users!BI73*AM$23)/60</f>
        <v>5010534.6995351166</v>
      </c>
      <c r="AN32" s="12">
        <f>($M$49*$I$54+$M$50*$I$55+$M$51*$I$56)*($A$2*(Users!BJ49 + Users!BJ61)*AN$22 + $A$3*Users!BJ73*AN$23)/60</f>
        <v>5112572.2113011796</v>
      </c>
      <c r="AO32" s="12">
        <f>($M$49*$I$54+$M$50*$I$55+$M$51*$I$56)*($A$2*(Users!BK49 + Users!BK61)*AO$22 + $A$3*Users!BK73*AO$23)/60</f>
        <v>5217407.9874404501</v>
      </c>
      <c r="AP32" s="12">
        <f>($M$49*$I$54+$M$50*$I$55+$M$51*$I$56)*($A$2*(Users!BL49 + Users!BL61)*AP$22 + $A$3*Users!BL73*AP$23)/60</f>
        <v>5325045.4765889179</v>
      </c>
      <c r="AQ32" s="12">
        <f>($M$49*$I$54+$M$50*$I$55+$M$51*$I$56)*($A$2*(Users!BM49 + Users!BM61)*AQ$22 + $A$3*Users!BM73*AQ$23)/60</f>
        <v>5435481.7991994387</v>
      </c>
      <c r="AR32" s="12">
        <f>($M$49*$I$54+$M$50*$I$55+$M$51*$I$56)*($A$2*(Users!BN49 + Users!BN61)*AR$22 + $A$3*Users!BN73*AR$23)/60</f>
        <v>5548710.2892820453</v>
      </c>
      <c r="AS32" s="12">
        <f>($M$49*$I$54+$M$50*$I$55+$M$51*$I$56)*($A$2*(Users!BO49 + Users!BO61)*AS$22 + $A$3*Users!BO73*AS$23)/60</f>
        <v>5664719.714651824</v>
      </c>
      <c r="AT32" s="12">
        <f>($M$49*$I$54+$M$50*$I$55+$M$51*$I$56)*($A$2*(Users!BP49 + Users!BP61)*AT$22 + $A$3*Users!BP73*AT$23)/60</f>
        <v>5783889.3984183958</v>
      </c>
      <c r="AU32" s="12">
        <f>($M$49*$I$54+$M$50*$I$55+$M$51*$I$56)*($A$2*(Users!BQ49 + Users!BQ61)*AU$22 + $A$3*Users!BQ73*AU$23)/60</f>
        <v>5905566.075336325</v>
      </c>
      <c r="AV32" s="12">
        <f>($M$49*$I$54+$M$50*$I$55+$M$51*$I$56)*($A$2*(Users!BR49 + Users!BR61)*AV$22 + $A$3*Users!BR73*AV$23)/60</f>
        <v>6029802.4854521016</v>
      </c>
      <c r="AW32" s="12">
        <f>($M$49*$I$54+$M$50*$I$55+$M$51*$I$56)*($A$2*(Users!BS49 + Users!BS61)*AW$22 + $A$3*Users!BS73*AW$23)/60</f>
        <v>6156652.478313637</v>
      </c>
      <c r="AX32" s="12">
        <f>($M$49*$I$54+$M$50*$I$55+$M$51*$I$56)*($A$2*(Users!BT49 + Users!BT61)*AX$22 + $A$3*Users!BT73*AX$23)/60</f>
        <v>6287283.7038250025</v>
      </c>
      <c r="AY32" s="12">
        <f>($M$49*$I$54+$M$50*$I$55+$M$51*$I$56)*($A$2*(Users!BU49 + Users!BU61)*AY$22 + $A$3*Users!BU73*AY$23)/60</f>
        <v>6420686.6493804585</v>
      </c>
      <c r="AZ32" s="12">
        <f>($M$49*$I$54+$M$50*$I$55+$M$51*$I$56)*($A$2*(Users!BV49 + Users!BV61)*AZ$22 + $A$3*Users!BV73*AZ$23)/60</f>
        <v>6556920.1250537075</v>
      </c>
      <c r="BA32" s="12">
        <f>($M$49*$I$54+$M$50*$I$55+$M$51*$I$56)*($A$2*(Users!BW49 + Users!BW61)*BA$22 + $A$3*Users!BW73*BA$23)/60</f>
        <v>6696044.1887446484</v>
      </c>
      <c r="BB32" s="12">
        <f>($M$49*$I$54+$M$50*$I$55+$M$51*$I$56)*($A$2*(Users!BX49 + Users!BX61)*BB$22 + $A$3*Users!BX73*BB$23)/60</f>
        <v>6838120.1726555619</v>
      </c>
      <c r="BC32" s="12">
        <f>($M$49*$I$54+$M$50*$I$55+$M$51*$I$56)*($A$2*(Users!BY49 + Users!BY61)*BC$22 + $A$3*Users!BY73*BC$23)/60</f>
        <v>6985171.2694096202</v>
      </c>
      <c r="BD32" s="12">
        <f>($M$49*$I$54+$M$50*$I$55+$M$51*$I$56)*($A$2*(Users!BZ49 + Users!BZ61)*BD$22 + $A$3*Users!BZ73*BD$23)/60</f>
        <v>7135384.6424195254</v>
      </c>
      <c r="BE32" s="12">
        <f>($M$49*$I$54+$M$50*$I$55+$M$51*$I$56)*($A$2*(Users!CA49 + Users!CA61)*BE$22 + $A$3*Users!CA73*BE$23)/60</f>
        <v>7288828.2951979097</v>
      </c>
      <c r="BF32" s="12">
        <f>($M$49*$I$54+$M$50*$I$55+$M$51*$I$56)*($A$2*(Users!CB49 + Users!CB61)*BF$22 + $A$3*Users!CB73*BF$23)/60</f>
        <v>7445571.6936463462</v>
      </c>
      <c r="BG32" s="12">
        <f>($M$49*$I$54+$M$50*$I$55+$M$51*$I$56)*($A$2*(Users!CC49 + Users!CC61)*BG$22 + $A$3*Users!CC73*BG$23)/60</f>
        <v>7605685.7975034164</v>
      </c>
      <c r="BH32" s="12">
        <f>($M$49*$I$54+$M$50*$I$55+$M$51*$I$56)*($A$2*(Users!CD49 + Users!CD61)*BH$22 + $A$3*Users!CD73*BH$23)/60</f>
        <v>7771957.7707192749</v>
      </c>
      <c r="BI32" s="12">
        <f>($M$49*$I$54+$M$50*$I$55+$M$51*$I$56)*($A$2*(Users!CE49 + Users!CE61)*BI$22 + $A$3*Users!CE73*BI$23)/60</f>
        <v>7941864.7046491597</v>
      </c>
      <c r="BJ32" s="12">
        <f>($M$49*$I$54+$M$50*$I$55+$M$51*$I$56)*($A$2*(Users!CF49 + Users!CF61)*BJ$22 + $A$3*Users!CF73*BJ$23)/60</f>
        <v>8115486.0651172586</v>
      </c>
      <c r="BK32" s="12">
        <f>($M$49*$I$54+$M$50*$I$55+$M$51*$I$56)*($A$2*(Users!CG49 + Users!CG61)*BK$22 + $A$3*Users!CG73*BK$23)/60</f>
        <v>8292903.0551927434</v>
      </c>
      <c r="BL32" s="12">
        <f>($M$49*$I$54+$M$50*$I$55+$M$51*$I$56)*($A$2*(Users!CH49 + Users!CH61)*BL$22 + $A$3*Users!CH73*BL$23)/60</f>
        <v>8474198.6531685777</v>
      </c>
      <c r="BM32" s="12">
        <f>($M$49*$I$54+$M$50*$I$55+$M$51*$I$56)*($A$2*(Users!CI49 + Users!CI61)*BM$22 + $A$3*Users!CI73*BM$23)/60</f>
        <v>8661672.596847523</v>
      </c>
      <c r="BN32" s="12">
        <f>($M$49*$I$54+$M$50*$I$55+$M$51*$I$56)*($A$2*(Users!CJ49 + Users!CJ61)*BN$22 + $A$3*Users!CJ73*BN$23)/60</f>
        <v>8853294.0099211484</v>
      </c>
      <c r="BO32" s="12">
        <f>($M$49*$I$54+$M$50*$I$55+$M$51*$I$56)*($A$2*(Users!CK49 + Users!CK61)*BO$22 + $A$3*Users!CK73*BO$23)/60</f>
        <v>9049154.6464862805</v>
      </c>
      <c r="BP32" s="12">
        <f>($M$49*$I$54+$M$50*$I$55+$M$51*$I$56)*($A$2*(Users!CL49 + Users!CL61)*BP$22 + $A$3*Users!CL73*BP$23)/60</f>
        <v>9249348.2905074824</v>
      </c>
      <c r="BQ32" s="12">
        <f>($M$49*$I$54+$M$50*$I$55+$M$51*$I$56)*($A$2*(Users!CM49 + Users!CM61)*BQ$22 + $A$3*Users!CM73*BQ$23)/60</f>
        <v>9453970.8007236067</v>
      </c>
      <c r="BR32" s="12">
        <f>($M$49*$I$54+$M$50*$I$55+$M$51*$I$56)*($A$2*(Users!CN49 + Users!CN61)*BR$22 + $A$3*Users!CN73*BR$23)/60</f>
        <v>9663672.0508771762</v>
      </c>
      <c r="BS32" s="12">
        <f>($M$49*$I$54+$M$50*$I$55+$M$51*$I$56)*($A$2*(Users!CO49 + Users!CO61)*BS$22 + $A$3*Users!CO73*BS$23)/60</f>
        <v>9877634.2987637538</v>
      </c>
      <c r="BT32" s="12">
        <f>($M$49*$I$54+$M$50*$I$55+$M$51*$I$56)*($A$2*(Users!CP49 + Users!CP61)*BT$22 + $A$3*Users!CP73*BT$23)/60</f>
        <v>10096333.860093862</v>
      </c>
      <c r="BU32" s="12">
        <f>($M$49*$I$54+$M$50*$I$55+$M$51*$I$56)*($A$2*(Users!CQ49 + Users!CQ61)*BU$22 + $A$3*Users!CQ73*BU$23)/60</f>
        <v>10319875.623177903</v>
      </c>
      <c r="BV32" s="12">
        <f>($M$49*$I$54+$M$50*$I$55+$M$51*$I$56)*($A$2*(Users!CR49 + Users!CR61)*BV$22 + $A$3*Users!CR73*BV$23)/60</f>
        <v>10548366.798646182</v>
      </c>
      <c r="BW32" s="12">
        <f>($M$49*$I$54+$M$50*$I$55+$M$51*$I$56)*($A$2*(Users!CS49 + Users!CS61)*BW$22 + $A$3*Users!CS73*BW$23)/60</f>
        <v>10780024.840648385</v>
      </c>
      <c r="BX32" s="12">
        <f>($M$49*$I$54+$M$50*$I$55+$M$51*$I$56)*($A$2*(Users!CT49 + Users!CT61)*BX$22 + $A$3*Users!CT73*BX$23)/60</f>
        <v>11016770.442596974</v>
      </c>
      <c r="BY32" s="12">
        <f>($M$49*$I$54+$M$50*$I$55+$M$51*$I$56)*($A$2*(Users!CU49 + Users!CU61)*BY$22 + $A$3*Users!CU73*BY$23)/60</f>
        <v>11258715.334980389</v>
      </c>
      <c r="BZ32" s="12">
        <f>($M$49*$I$54+$M$50*$I$55+$M$51*$I$56)*($A$2*(Users!CV49 + Users!CV61)*BZ$22 + $A$3*Users!CV73*BZ$23)/60</f>
        <v>11505973.702057334</v>
      </c>
      <c r="CA32" s="12"/>
      <c r="CB32" s="12"/>
      <c r="CC32" s="12"/>
    </row>
    <row r="33" spans="1:81">
      <c r="O33" s="12" t="s">
        <v>264</v>
      </c>
      <c r="R33" s="12">
        <f>($M$49*$I$54+$M$50*$I$55+$M$51*$I$56)*($A$2*(Users!AN50 + Users!AN62)*R$22 + $A$3*Users!AN74*R$23)/60</f>
        <v>3573371.8701689607</v>
      </c>
      <c r="S33" s="12">
        <f>($M$49*$I$54+$M$50*$I$55+$M$51*$I$56)*($A$2*(Users!AO50 + Users!AO62)*S$22 + $A$3*Users!AO74*S$23)/60</f>
        <v>3683471.4316579611</v>
      </c>
      <c r="T33" s="12">
        <f>($M$49*$I$54+$M$50*$I$55+$M$51*$I$56)*($A$2*(Users!AP50 + Users!AP62)*T$22 + $A$3*Users!AP74*T$23)/60</f>
        <v>3723050.6143609467</v>
      </c>
      <c r="U33" s="12">
        <f>($M$49*$I$54+$M$50*$I$55+$M$51*$I$56)*($A$2*(Users!AQ50 + Users!AQ62)*U$22 + $A$3*Users!AQ74*U$23)/60</f>
        <v>3828649.4187705126</v>
      </c>
      <c r="V33" s="12">
        <f>($M$49*$I$54+$M$50*$I$55+$M$51*$I$56)*($A$2*(Users!AR50 + Users!AR62)*V$22 + $A$3*Users!AR74*V$23)/60</f>
        <v>3993134.0325207291</v>
      </c>
      <c r="W33" s="12">
        <f>($M$49*$I$54+$M$50*$I$55+$M$51*$I$56)*($A$2*(Users!AS50 + Users!AS62)*W$22 + $A$3*Users!AS74*W$23)/60</f>
        <v>4124688.1761513809</v>
      </c>
      <c r="X33" s="12">
        <f>($M$49*$I$54+$M$50*$I$55+$M$51*$I$56)*($A$2*(Users!AT50 + Users!AT62)*X$22 + $A$3*Users!AT74*X$23)/60</f>
        <v>4285062.6509217648</v>
      </c>
      <c r="Y33" s="12">
        <f>($M$49*$I$54+$M$50*$I$55+$M$51*$I$56)*($A$2*(Users!AU50 + Users!AU62)*Y$22 + $A$3*Users!AU74*Y$23)/60</f>
        <v>4453227.023333732</v>
      </c>
      <c r="Z33" s="12">
        <f>($M$49*$I$54+$M$50*$I$55+$M$51*$I$56)*($A$2*(Users!AV50 + Users!AV62)*Z$22 + $A$3*Users!AV74*Z$23)/60</f>
        <v>4628651.5332839647</v>
      </c>
      <c r="AA33" s="12">
        <f>($M$49*$I$54+$M$50*$I$55+$M$51*$I$56)*($A$2*(Users!AW50 + Users!AW62)*AA$22 + $A$3*Users!AW74*AA$23)/60</f>
        <v>4813826.9277184755</v>
      </c>
      <c r="AB33" s="12">
        <f>($M$49*$I$54+$M$50*$I$55+$M$51*$I$56)*($A$2*(Users!AX50 + Users!AX62)*AB$22 + $A$3*Users!AX74*AB$23)/60</f>
        <v>5008141.9262721175</v>
      </c>
      <c r="AC33" s="12">
        <f>($M$49*$I$54+$M$50*$I$55+$M$51*$I$56)*($A$2*(Users!AY50 + Users!AY62)*AC$22 + $A$3*Users!AY74*AC$23)/60</f>
        <v>5212191.303053624</v>
      </c>
      <c r="AD33" s="12">
        <f>($M$49*$I$54+$M$50*$I$55+$M$51*$I$56)*($A$2*(Users!AZ50 + Users!AZ62)*AD$22 + $A$3*Users!AZ74*AD$23)/60</f>
        <v>5426588.1204308355</v>
      </c>
      <c r="AE33" s="12">
        <f>($M$49*$I$54+$M$50*$I$55+$M$51*$I$56)*($A$2*(Users!BA50 + Users!BA62)*AE$22 + $A$3*Users!BA74*AE$23)/60</f>
        <v>5650601.5115402974</v>
      </c>
      <c r="AF33" s="12">
        <f>($M$49*$I$54+$M$50*$I$55+$M$51*$I$56)*($A$2*(Users!BB50 + Users!BB62)*AF$22 + $A$3*Users!BB74*AF$23)/60</f>
        <v>5884758.6543965852</v>
      </c>
      <c r="AG33" s="12">
        <f>($M$49*$I$54+$M$50*$I$55+$M$51*$I$56)*($A$2*(Users!BC50 + Users!BC62)*AG$22 + $A$3*Users!BC74*AG$23)/60</f>
        <v>6129606.6194441626</v>
      </c>
      <c r="AH33" s="12">
        <f>($M$49*$I$54+$M$50*$I$55+$M$51*$I$56)*($A$2*(Users!BD50 + Users!BD62)*AH$22 + $A$3*Users!BD74*AH$23)/60</f>
        <v>6385719.993118369</v>
      </c>
      <c r="AI33" s="12">
        <f>($M$49*$I$54+$M$50*$I$55+$M$51*$I$56)*($A$2*(Users!BE50 + Users!BE62)*AI$22 + $A$3*Users!BE74*AI$23)/60</f>
        <v>6653682.9365845239</v>
      </c>
      <c r="AJ33" s="12">
        <f>($M$49*$I$54+$M$50*$I$55+$M$51*$I$56)*($A$2*(Users!BF50 + Users!BF62)*AJ$22 + $A$3*Users!BF74*AJ$23)/60</f>
        <v>6934079.2185759814</v>
      </c>
      <c r="AK33" s="12">
        <f>($M$49*$I$54+$M$50*$I$55+$M$51*$I$56)*($A$2*(Users!BG50 + Users!BG62)*AK$22 + $A$3*Users!BG74*AK$23)/60</f>
        <v>7227523.1591916708</v>
      </c>
      <c r="AL33" s="12">
        <f>($M$49*$I$54+$M$50*$I$55+$M$51*$I$56)*($A$2*(Users!BH50 + Users!BH62)*AL$22 + $A$3*Users!BH74*AL$23)/60</f>
        <v>7372435.3253649231</v>
      </c>
      <c r="AM33" s="12">
        <f>($M$49*$I$54+$M$50*$I$55+$M$51*$I$56)*($A$2*(Users!BI50 + Users!BI62)*AM$22 + $A$3*Users!BI74*AM$23)/60</f>
        <v>7521445.9685421297</v>
      </c>
      <c r="AN33" s="12">
        <f>($M$49*$I$54+$M$50*$I$55+$M$51*$I$56)*($A$2*(Users!BJ50 + Users!BJ62)*AN$22 + $A$3*Users!BJ74*AN$23)/60</f>
        <v>7674617.1723228628</v>
      </c>
      <c r="AO33" s="12">
        <f>($M$49*$I$54+$M$50*$I$55+$M$51*$I$56)*($A$2*(Users!BK50 + Users!BK62)*AO$22 + $A$3*Users!BK74*AO$23)/60</f>
        <v>7831988.9246579697</v>
      </c>
      <c r="AP33" s="12">
        <f>($M$49*$I$54+$M$50*$I$55+$M$51*$I$56)*($A$2*(Users!BL50 + Users!BL62)*AP$22 + $A$3*Users!BL74*AP$23)/60</f>
        <v>7993566.4023860143</v>
      </c>
      <c r="AQ33" s="12">
        <f>($M$49*$I$54+$M$50*$I$55+$M$51*$I$56)*($A$2*(Users!BM50 + Users!BM62)*AQ$22 + $A$3*Users!BM74*AQ$23)/60</f>
        <v>8159345.2829427337</v>
      </c>
      <c r="AR33" s="12">
        <f>($M$49*$I$54+$M$50*$I$55+$M$51*$I$56)*($A$2*(Users!BN50 + Users!BN62)*AR$22 + $A$3*Users!BN74*AR$23)/60</f>
        <v>8329315.5598345296</v>
      </c>
      <c r="AS33" s="12">
        <f>($M$49*$I$54+$M$50*$I$55+$M$51*$I$56)*($A$2*(Users!BO50 + Users!BO62)*AS$22 + $A$3*Users!BO74*AS$23)/60</f>
        <v>8503460.3721319828</v>
      </c>
      <c r="AT33" s="12">
        <f>($M$49*$I$54+$M$50*$I$55+$M$51*$I$56)*($A$2*(Users!BP50 + Users!BP62)*AT$22 + $A$3*Users!BP74*AT$23)/60</f>
        <v>8682349.1317730788</v>
      </c>
      <c r="AU33" s="12">
        <f>($M$49*$I$54+$M$50*$I$55+$M$51*$I$56)*($A$2*(Users!BQ50 + Users!BQ62)*AU$22 + $A$3*Users!BQ74*AU$23)/60</f>
        <v>8865001.2050447948</v>
      </c>
      <c r="AV33" s="12">
        <f>($M$49*$I$54+$M$50*$I$55+$M$51*$I$56)*($A$2*(Users!BR50 + Users!BR62)*AV$22 + $A$3*Users!BR74*AV$23)/60</f>
        <v>9051495.7614238095</v>
      </c>
      <c r="AW33" s="12">
        <f>($M$49*$I$54+$M$50*$I$55+$M$51*$I$56)*($A$2*(Users!BS50 + Users!BS62)*AW$22 + $A$3*Users!BS74*AW$23)/60</f>
        <v>9241913.6358886883</v>
      </c>
      <c r="AX33" s="12">
        <f>($M$49*$I$54+$M$50*$I$55+$M$51*$I$56)*($A$2*(Users!BT50 + Users!BT62)*AX$22 + $A$3*Users!BT74*AX$23)/60</f>
        <v>9438007.6185487304</v>
      </c>
      <c r="AY33" s="12">
        <f>($M$49*$I$54+$M$50*$I$55+$M$51*$I$56)*($A$2*(Users!BU50 + Users!BU62)*AY$22 + $A$3*Users!BU74*AY$23)/60</f>
        <v>9638262.3033696581</v>
      </c>
      <c r="AZ33" s="12">
        <f>($M$49*$I$54+$M$50*$I$55+$M$51*$I$56)*($A$2*(Users!BV50 + Users!BV62)*AZ$22 + $A$3*Users!BV74*AZ$23)/60</f>
        <v>9842765.971706314</v>
      </c>
      <c r="BA33" s="12">
        <f>($M$49*$I$54+$M$50*$I$55+$M$51*$I$56)*($A$2*(Users!BW50 + Users!BW62)*BA$22 + $A$3*Users!BW74*BA$23)/60</f>
        <v>10051608.778058402</v>
      </c>
      <c r="BB33" s="12">
        <f>($M$49*$I$54+$M$50*$I$55+$M$51*$I$56)*($A$2*(Users!BX50 + Users!BX62)*BB$22 + $A$3*Users!BX74*BB$23)/60</f>
        <v>10264882.789814582</v>
      </c>
      <c r="BC33" s="12">
        <f>($M$49*$I$54+$M$50*$I$55+$M$51*$I$56)*($A$2*(Users!BY50 + Users!BY62)*BC$22 + $A$3*Users!BY74*BC$23)/60</f>
        <v>10485625.07485516</v>
      </c>
      <c r="BD33" s="12">
        <f>($M$49*$I$54+$M$50*$I$55+$M$51*$I$56)*($A$2*(Users!BZ50 + Users!BZ62)*BD$22 + $A$3*Users!BZ74*BD$23)/60</f>
        <v>10711114.336300911</v>
      </c>
      <c r="BE33" s="12">
        <f>($M$49*$I$54+$M$50*$I$55+$M$51*$I$56)*($A$2*(Users!CA50 + Users!CA62)*BE$22 + $A$3*Users!CA74*BE$23)/60</f>
        <v>10941452.656020651</v>
      </c>
      <c r="BF33" s="12">
        <f>($M$49*$I$54+$M$50*$I$55+$M$51*$I$56)*($A$2*(Users!CB50 + Users!CB62)*BF$22 + $A$3*Users!CB74*BF$23)/60</f>
        <v>11176744.311113862</v>
      </c>
      <c r="BG33" s="12">
        <f>($M$49*$I$54+$M$50*$I$55+$M$51*$I$56)*($A$2*(Users!CC50 + Users!CC62)*BG$22 + $A$3*Users!CC74*BG$23)/60</f>
        <v>11417095.821118219</v>
      </c>
      <c r="BH33" s="12">
        <f>($M$49*$I$54+$M$50*$I$55+$M$51*$I$56)*($A$2*(Users!CD50 + Users!CD62)*BH$22 + $A$3*Users!CD74*BH$23)/60</f>
        <v>11666691.071449883</v>
      </c>
      <c r="BI33" s="12">
        <f>($M$49*$I$54+$M$50*$I$55+$M$51*$I$56)*($A$2*(Users!CE50 + Users!CE62)*BI$22 + $A$3*Users!CE74*BI$23)/60</f>
        <v>11921742.857310751</v>
      </c>
      <c r="BJ33" s="12">
        <f>($M$49*$I$54+$M$50*$I$55+$M$51*$I$56)*($A$2*(Users!CF50 + Users!CF62)*BJ$22 + $A$3*Users!CF74*BJ$23)/60</f>
        <v>12182370.466948252</v>
      </c>
      <c r="BK33" s="12">
        <f>($M$49*$I$54+$M$50*$I$55+$M$51*$I$56)*($A$2*(Users!CG50 + Users!CG62)*BK$22 + $A$3*Users!CG74*BK$23)/60</f>
        <v>12448695.796434134</v>
      </c>
      <c r="BL33" s="12">
        <f>($M$49*$I$54+$M$50*$I$55+$M$51*$I$56)*($A$2*(Users!CH50 + Users!CH62)*BL$22 + $A$3*Users!CH74*BL$23)/60</f>
        <v>12720843.406675471</v>
      </c>
      <c r="BM33" s="12">
        <f>($M$49*$I$54+$M$50*$I$55+$M$51*$I$56)*($A$2*(Users!CI50 + Users!CI62)*BM$22 + $A$3*Users!CI74*BM$23)/60</f>
        <v>13002265.494825367</v>
      </c>
      <c r="BN33" s="12">
        <f>($M$49*$I$54+$M$50*$I$55+$M$51*$I$56)*($A$2*(Users!CJ50 + Users!CJ62)*BN$22 + $A$3*Users!CJ74*BN$23)/60</f>
        <v>13289913.458820645</v>
      </c>
      <c r="BO33" s="12">
        <f>($M$49*$I$54+$M$50*$I$55+$M$51*$I$56)*($A$2*(Users!CK50 + Users!CK62)*BO$22 + $A$3*Users!CK74*BO$23)/60</f>
        <v>13583925.033159327</v>
      </c>
      <c r="BP33" s="12">
        <f>($M$49*$I$54+$M$50*$I$55+$M$51*$I$56)*($A$2*(Users!CL50 + Users!CL62)*BP$22 + $A$3*Users!CL74*BP$23)/60</f>
        <v>13884440.999427503</v>
      </c>
      <c r="BQ33" s="12">
        <f>($M$49*$I$54+$M$50*$I$55+$M$51*$I$56)*($A$2*(Users!CM50 + Users!CM62)*BQ$22 + $A$3*Users!CM74*BQ$23)/60</f>
        <v>14191605.253709752</v>
      </c>
      <c r="BR33" s="12">
        <f>($M$49*$I$54+$M$50*$I$55+$M$51*$I$56)*($A$2*(Users!CN50 + Users!CN62)*BR$22 + $A$3*Users!CN74*BR$23)/60</f>
        <v>14506393.33864451</v>
      </c>
      <c r="BS33" s="12">
        <f>($M$49*$I$54+$M$50*$I$55+$M$51*$I$56)*($A$2*(Users!CO50 + Users!CO62)*BS$22 + $A$3*Users!CO74*BS$23)/60</f>
        <v>14827577.719811657</v>
      </c>
      <c r="BT33" s="12">
        <f>($M$49*$I$54+$M$50*$I$55+$M$51*$I$56)*($A$2*(Users!CP50 + Users!CP62)*BT$22 + $A$3*Users!CP74*BT$23)/60</f>
        <v>15155873.407304035</v>
      </c>
      <c r="BU33" s="12">
        <f>($M$49*$I$54+$M$50*$I$55+$M$51*$I$56)*($A$2*(Users!CQ50 + Users!CQ62)*BU$22 + $A$3*Users!CQ74*BU$23)/60</f>
        <v>15491437.851734532</v>
      </c>
      <c r="BV33" s="12">
        <f>($M$49*$I$54+$M$50*$I$55+$M$51*$I$56)*($A$2*(Users!CR50 + Users!CR62)*BV$22 + $A$3*Users!CR74*BV$23)/60</f>
        <v>15834431.989811812</v>
      </c>
      <c r="BW33" s="12">
        <f>($M$49*$I$54+$M$50*$I$55+$M$51*$I$56)*($A$2*(Users!CS50 + Users!CS62)*BW$22 + $A$3*Users!CS74*BW$23)/60</f>
        <v>16182179.994881911</v>
      </c>
      <c r="BX33" s="12">
        <f>($M$49*$I$54+$M$50*$I$55+$M$51*$I$56)*($A$2*(Users!CT50 + Users!CT62)*BX$22 + $A$3*Users!CT74*BX$23)/60</f>
        <v>16537565.07055288</v>
      </c>
      <c r="BY33" s="12">
        <f>($M$49*$I$54+$M$50*$I$55+$M$51*$I$56)*($A$2*(Users!CU50 + Users!CU62)*BY$22 + $A$3*Users!CU74*BY$23)/60</f>
        <v>16900754.938411776</v>
      </c>
      <c r="BZ33" s="12">
        <f>($M$49*$I$54+$M$50*$I$55+$M$51*$I$56)*($A$2*(Users!CV50 + Users!CV62)*BZ$22 + $A$3*Users!CV74*BZ$23)/60</f>
        <v>17271921.00346503</v>
      </c>
      <c r="CA33" s="12"/>
      <c r="CB33" s="12"/>
      <c r="CC33" s="12"/>
    </row>
    <row r="34" spans="1:8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O34" s="12" t="s">
        <v>265</v>
      </c>
      <c r="R34" s="12">
        <f>($M$49*$I$54+$M$50*$I$55+$M$51*$I$56)*($A$2*(Users!AN51 + Users!AN63)*R$22 + $A$3*Users!AN75*R$23)/60</f>
        <v>17070197.089361627</v>
      </c>
      <c r="S34" s="12">
        <f>($M$49*$I$54+$M$50*$I$55+$M$51*$I$56)*($A$2*(Users!AO51 + Users!AO63)*S$22 + $A$3*Users!AO75*S$23)/60</f>
        <v>17596148.846512686</v>
      </c>
      <c r="T34" s="12">
        <f>($M$49*$I$54+$M$50*$I$55+$M$51*$I$56)*($A$2*(Users!AP51 + Users!AP63)*T$22 + $A$3*Users!AP75*T$23)/60</f>
        <v>17785220.813809466</v>
      </c>
      <c r="U34" s="12">
        <f>($M$49*$I$54+$M$50*$I$55+$M$51*$I$56)*($A$2*(Users!AQ51 + Users!AQ63)*U$22 + $A$3*Users!AQ75*U$23)/60</f>
        <v>18289672.202907968</v>
      </c>
      <c r="V34" s="12">
        <f>($M$49*$I$54+$M$50*$I$55+$M$51*$I$56)*($A$2*(Users!AR51 + Users!AR63)*V$22 + $A$3*Users!AR75*V$23)/60</f>
        <v>19075424.393527564</v>
      </c>
      <c r="W34" s="12">
        <f>($M$49*$I$54+$M$50*$I$55+$M$51*$I$56)*($A$2*(Users!AS51 + Users!AS63)*W$22 + $A$3*Users!AS75*W$23)/60</f>
        <v>19703865.88836455</v>
      </c>
      <c r="X34" s="12">
        <f>($M$49*$I$54+$M$50*$I$55+$M$51*$I$56)*($A$2*(Users!AT51 + Users!AT63)*X$22 + $A$3*Users!AT75*X$23)/60</f>
        <v>20469983.715419549</v>
      </c>
      <c r="Y34" s="12">
        <f>($M$49*$I$54+$M$50*$I$55+$M$51*$I$56)*($A$2*(Users!AU51 + Users!AU63)*Y$22 + $A$3*Users!AU75*Y$23)/60</f>
        <v>21273314.318776358</v>
      </c>
      <c r="Z34" s="12">
        <f>($M$49*$I$54+$M$50*$I$55+$M$51*$I$56)*($A$2*(Users!AV51 + Users!AV63)*Z$22 + $A$3*Users!AV75*Z$23)/60</f>
        <v>22111327.004820589</v>
      </c>
      <c r="AA34" s="12">
        <f>($M$49*$I$54+$M$50*$I$55+$M$51*$I$56)*($A$2*(Users!AW51 + Users!AW63)*AA$22 + $A$3*Users!AW75*AA$23)/60</f>
        <v>22995920.210886177</v>
      </c>
      <c r="AB34" s="12">
        <f>($M$49*$I$54+$M$50*$I$55+$M$51*$I$56)*($A$2*(Users!AX51 + Users!AX63)*AB$22 + $A$3*Users!AX75*AB$23)/60</f>
        <v>23924173.816512976</v>
      </c>
      <c r="AC34" s="12">
        <f>($M$49*$I$54+$M$50*$I$55+$M$51*$I$56)*($A$2*(Users!AY51 + Users!AY63)*AC$22 + $A$3*Users!AY75*AC$23)/60</f>
        <v>24898929.090851948</v>
      </c>
      <c r="AD34" s="12">
        <f>($M$49*$I$54+$M$50*$I$55+$M$51*$I$56)*($A$2*(Users!AZ51 + Users!AZ63)*AD$22 + $A$3*Users!AZ75*AD$23)/60</f>
        <v>25923114.667089727</v>
      </c>
      <c r="AE34" s="12">
        <f>($M$49*$I$54+$M$50*$I$55+$M$51*$I$56)*($A$2*(Users!BA51 + Users!BA63)*AE$22 + $A$3*Users!BA75*AE$23)/60</f>
        <v>26993239.153381702</v>
      </c>
      <c r="AF34" s="12">
        <f>($M$49*$I$54+$M$50*$I$55+$M$51*$I$56)*($A$2*(Users!BB51 + Users!BB63)*AF$22 + $A$3*Users!BB75*AF$23)/60</f>
        <v>28111820.908560079</v>
      </c>
      <c r="AG34" s="12">
        <f>($M$49*$I$54+$M$50*$I$55+$M$51*$I$56)*($A$2*(Users!BC51 + Users!BC63)*AG$22 + $A$3*Users!BC75*AG$23)/60</f>
        <v>29281473.318706147</v>
      </c>
      <c r="AH34" s="12">
        <f>($M$49*$I$54+$M$50*$I$55+$M$51*$I$56)*($A$2*(Users!BD51 + Users!BD63)*AH$22 + $A$3*Users!BD75*AH$23)/60</f>
        <v>30504941.21532708</v>
      </c>
      <c r="AI34" s="12">
        <f>($M$49*$I$54+$M$50*$I$55+$M$51*$I$56)*($A$2*(Users!BE51 + Users!BE63)*AI$22 + $A$3*Users!BE75*AI$23)/60</f>
        <v>31785015.168950181</v>
      </c>
      <c r="AJ34" s="12">
        <f>($M$49*$I$54+$M$50*$I$55+$M$51*$I$56)*($A$2*(Users!BF51 + Users!BF63)*AJ$22 + $A$3*Users!BF75*AJ$23)/60</f>
        <v>33124483.875433303</v>
      </c>
      <c r="AK34" s="12">
        <f>($M$49*$I$54+$M$50*$I$55+$M$51*$I$56)*($A$2*(Users!BG51 + Users!BG63)*AK$22 + $A$3*Users!BG75*AK$23)/60</f>
        <v>34526281.976214752</v>
      </c>
      <c r="AL34" s="12">
        <f>($M$49*$I$54+$M$50*$I$55+$M$51*$I$56)*($A$2*(Users!BH51 + Users!BH63)*AL$22 + $A$3*Users!BH75*AL$23)/60</f>
        <v>35218535.491130002</v>
      </c>
      <c r="AM34" s="12">
        <f>($M$49*$I$54+$M$50*$I$55+$M$51*$I$56)*($A$2*(Users!BI51 + Users!BI63)*AM$22 + $A$3*Users!BI75*AM$23)/60</f>
        <v>35930367.659699462</v>
      </c>
      <c r="AN34" s="12">
        <f>($M$49*$I$54+$M$50*$I$55+$M$51*$I$56)*($A$2*(Users!BJ51 + Users!BJ63)*AN$22 + $A$3*Users!BJ75*AN$23)/60</f>
        <v>36662075.058747254</v>
      </c>
      <c r="AO34" s="12">
        <f>($M$49*$I$54+$M$50*$I$55+$M$51*$I$56)*($A$2*(Users!BK51 + Users!BK63)*AO$22 + $A$3*Users!BK75*AO$23)/60</f>
        <v>37413848.712948948</v>
      </c>
      <c r="AP34" s="12">
        <f>($M$49*$I$54+$M$50*$I$55+$M$51*$I$56)*($A$2*(Users!BL51 + Users!BL63)*AP$22 + $A$3*Users!BL75*AP$23)/60</f>
        <v>38185713.352351643</v>
      </c>
      <c r="AQ34" s="12">
        <f>($M$49*$I$54+$M$50*$I$55+$M$51*$I$56)*($A$2*(Users!BM51 + Users!BM63)*AQ$22 + $A$3*Users!BM75*AQ$23)/60</f>
        <v>38977648.327824287</v>
      </c>
      <c r="AR34" s="12">
        <f>($M$49*$I$54+$M$50*$I$55+$M$51*$I$56)*($A$2*(Users!BN51 + Users!BN63)*AR$22 + $A$3*Users!BN75*AR$23)/60</f>
        <v>39789605.837787881</v>
      </c>
      <c r="AS34" s="12">
        <f>($M$49*$I$54+$M$50*$I$55+$M$51*$I$56)*($A$2*(Users!BO51 + Users!BO63)*AS$22 + $A$3*Users!BO75*AS$23)/60</f>
        <v>40621505.336640447</v>
      </c>
      <c r="AT34" s="12">
        <f>($M$49*$I$54+$M$50*$I$55+$M$51*$I$56)*($A$2*(Users!BP51 + Users!BP63)*AT$22 + $A$3*Users!BP75*AT$23)/60</f>
        <v>41476066.93702618</v>
      </c>
      <c r="AU34" s="12">
        <f>($M$49*$I$54+$M$50*$I$55+$M$51*$I$56)*($A$2*(Users!BQ51 + Users!BQ63)*AU$22 + $A$3*Users!BQ75*AU$23)/60</f>
        <v>42348606.096904129</v>
      </c>
      <c r="AV34" s="12">
        <f>($M$49*$I$54+$M$50*$I$55+$M$51*$I$56)*($A$2*(Users!BR51 + Users!BR63)*AV$22 + $A$3*Users!BR75*AV$23)/60</f>
        <v>43239501.013288043</v>
      </c>
      <c r="AW34" s="12">
        <f>($M$49*$I$54+$M$50*$I$55+$M$51*$I$56)*($A$2*(Users!BS51 + Users!BS63)*AW$22 + $A$3*Users!BS75*AW$23)/60</f>
        <v>44149137.839387283</v>
      </c>
      <c r="AX34" s="12">
        <f>($M$49*$I$54+$M$50*$I$55+$M$51*$I$56)*($A$2*(Users!BT51 + Users!BT63)*AX$22 + $A$3*Users!BT75*AX$23)/60</f>
        <v>45085889.751492791</v>
      </c>
      <c r="AY34" s="12">
        <f>($M$49*$I$54+$M$50*$I$55+$M$51*$I$56)*($A$2*(Users!BU51 + Users!BU63)*AY$22 + $A$3*Users!BU75*AY$23)/60</f>
        <v>46042517.570304044</v>
      </c>
      <c r="AZ34" s="12">
        <f>($M$49*$I$54+$M$50*$I$55+$M$51*$I$56)*($A$2*(Users!BV51 + Users!BV63)*AZ$22 + $A$3*Users!BV75*AZ$23)/60</f>
        <v>47019443.020785943</v>
      </c>
      <c r="BA34" s="12">
        <f>($M$49*$I$54+$M$50*$I$55+$M$51*$I$56)*($A$2*(Users!BW51 + Users!BW63)*BA$22 + $A$3*Users!BW75*BA$23)/60</f>
        <v>48017096.776021034</v>
      </c>
      <c r="BB34" s="12">
        <f>($M$49*$I$54+$M$50*$I$55+$M$51*$I$56)*($A$2*(Users!BX51 + Users!BX63)*BB$22 + $A$3*Users!BX75*BB$23)/60</f>
        <v>49035918.647069313</v>
      </c>
      <c r="BC34" s="12">
        <f>($M$49*$I$54+$M$50*$I$55+$M$51*$I$56)*($A$2*(Users!BY51 + Users!BY63)*BC$22 + $A$3*Users!BY75*BC$23)/60</f>
        <v>50090416.876894079</v>
      </c>
      <c r="BD34" s="12">
        <f>($M$49*$I$54+$M$50*$I$55+$M$51*$I$56)*($A$2*(Users!BZ51 + Users!BZ63)*BD$22 + $A$3*Users!BZ75*BD$23)/60</f>
        <v>51167591.678248167</v>
      </c>
      <c r="BE34" s="12">
        <f>($M$49*$I$54+$M$50*$I$55+$M$51*$I$56)*($A$2*(Users!CA51 + Users!CA63)*BE$22 + $A$3*Users!CA75*BE$23)/60</f>
        <v>52267930.701922856</v>
      </c>
      <c r="BF34" s="12">
        <f>($M$49*$I$54+$M$50*$I$55+$M$51*$I$56)*($A$2*(Users!CB51 + Users!CB63)*BF$22 + $A$3*Users!CB75*BF$23)/60</f>
        <v>53391932.085448973</v>
      </c>
      <c r="BG34" s="12">
        <f>($M$49*$I$54+$M$50*$I$55+$M$51*$I$56)*($A$2*(Users!CC51 + Users!CC63)*BG$22 + $A$3*Users!CC75*BG$23)/60</f>
        <v>54540104.678609863</v>
      </c>
      <c r="BH34" s="12">
        <f>($M$49*$I$54+$M$50*$I$55+$M$51*$I$56)*($A$2*(Users!CD51 + Users!CD63)*BH$22 + $A$3*Users!CD75*BH$23)/60</f>
        <v>55732435.135817103</v>
      </c>
      <c r="BI34" s="12">
        <f>($M$49*$I$54+$M$50*$I$55+$M$51*$I$56)*($A$2*(Users!CE51 + Users!CE63)*BI$22 + $A$3*Users!CE75*BI$23)/60</f>
        <v>56950831.768136486</v>
      </c>
      <c r="BJ34" s="12">
        <f>($M$49*$I$54+$M$50*$I$55+$M$51*$I$56)*($A$2*(Users!CF51 + Users!CF63)*BJ$22 + $A$3*Users!CF75*BJ$23)/60</f>
        <v>58195864.422191307</v>
      </c>
      <c r="BK34" s="12">
        <f>($M$49*$I$54+$M$50*$I$55+$M$51*$I$56)*($A$2*(Users!CG51 + Users!CG63)*BK$22 + $A$3*Users!CG75*BK$23)/60</f>
        <v>59468115.402327411</v>
      </c>
      <c r="BL34" s="12">
        <f>($M$49*$I$54+$M$50*$I$55+$M$51*$I$56)*($A$2*(Users!CH51 + Users!CH63)*BL$22 + $A$3*Users!CH75*BL$23)/60</f>
        <v>60768179.742957801</v>
      </c>
      <c r="BM34" s="12">
        <f>($M$49*$I$54+$M$50*$I$55+$M$51*$I$56)*($A$2*(Users!CI51 + Users!CI63)*BM$22 + $A$3*Users!CI75*BM$23)/60</f>
        <v>62112548.782777674</v>
      </c>
      <c r="BN34" s="12">
        <f>($M$49*$I$54+$M$50*$I$55+$M$51*$I$56)*($A$2*(Users!CJ51 + Users!CJ63)*BN$22 + $A$3*Users!CJ75*BN$23)/60</f>
        <v>63486659.179387704</v>
      </c>
      <c r="BO34" s="12">
        <f>($M$49*$I$54+$M$50*$I$55+$M$51*$I$56)*($A$2*(Users!CK51 + Users!CK63)*BO$22 + $A$3*Users!CK75*BO$23)/60</f>
        <v>64891168.898180969</v>
      </c>
      <c r="BP34" s="12">
        <f>($M$49*$I$54+$M$50*$I$55+$M$51*$I$56)*($A$2*(Users!CL51 + Users!CL63)*BP$22 + $A$3*Users!CL75*BP$23)/60</f>
        <v>66326750.460660554</v>
      </c>
      <c r="BQ34" s="12">
        <f>($M$49*$I$54+$M$50*$I$55+$M$51*$I$56)*($A$2*(Users!CM51 + Users!CM63)*BQ$22 + $A$3*Users!CM75*BQ$23)/60</f>
        <v>67794091.266462788</v>
      </c>
      <c r="BR34" s="12">
        <f>($M$49*$I$54+$M$50*$I$55+$M$51*$I$56)*($A$2*(Users!CN51 + Users!CN63)*BR$22 + $A$3*Users!CN75*BR$23)/60</f>
        <v>69297851.537280902</v>
      </c>
      <c r="BS34" s="12">
        <f>($M$49*$I$54+$M$50*$I$55+$M$51*$I$56)*($A$2*(Users!CO51 + Users!CO63)*BS$22 + $A$3*Users!CO75*BS$23)/60</f>
        <v>70832167.272600263</v>
      </c>
      <c r="BT34" s="12">
        <f>($M$49*$I$54+$M$50*$I$55+$M$51*$I$56)*($A$2*(Users!CP51 + Users!CP63)*BT$22 + $A$3*Users!CP75*BT$23)/60</f>
        <v>72400454.115586281</v>
      </c>
      <c r="BU34" s="12">
        <f>($M$49*$I$54+$M$50*$I$55+$M$51*$I$56)*($A$2*(Users!CQ51 + Users!CQ63)*BU$22 + $A$3*Users!CQ75*BU$23)/60</f>
        <v>74003464.216614455</v>
      </c>
      <c r="BV34" s="12">
        <f>($M$49*$I$54+$M$50*$I$55+$M$51*$I$56)*($A$2*(Users!CR51 + Users!CR63)*BV$22 + $A$3*Users!CR75*BV$23)/60</f>
        <v>75641966.379334509</v>
      </c>
      <c r="BW34" s="12">
        <f>($M$49*$I$54+$M$50*$I$55+$M$51*$I$56)*($A$2*(Users!CS51 + Users!CS63)*BW$22 + $A$3*Users!CS75*BW$23)/60</f>
        <v>77303178.030306146</v>
      </c>
      <c r="BX34" s="12">
        <f>($M$49*$I$54+$M$50*$I$55+$M$51*$I$56)*($A$2*(Users!CT51 + Users!CT63)*BX$22 + $A$3*Users!CT75*BX$23)/60</f>
        <v>79000872.394266695</v>
      </c>
      <c r="BY34" s="12">
        <f>($M$49*$I$54+$M$50*$I$55+$M$51*$I$56)*($A$2*(Users!CU51 + Users!CU63)*BY$22 + $A$3*Users!CU75*BY$23)/60</f>
        <v>80735850.686609253</v>
      </c>
      <c r="BZ34" s="12">
        <f>($M$49*$I$54+$M$50*$I$55+$M$51*$I$56)*($A$2*(Users!CV51 + Users!CV63)*BZ$22 + $A$3*Users!CV75*BZ$23)/60</f>
        <v>82508931.718626827</v>
      </c>
      <c r="CA34" s="12"/>
      <c r="CB34" s="12"/>
      <c r="CC34" s="12"/>
    </row>
    <row r="35" spans="1:8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O35" s="12" t="s">
        <v>92</v>
      </c>
      <c r="P35" s="12"/>
      <c r="Q35" s="12"/>
      <c r="R35" s="12">
        <f>($M$49*$J$54+$M$50*$J$55+$M$51*$J$56)*($A$2*(Users!AN52 + Users!AN64)*R$22 + $A$3*Users!AN76*R$23)/60</f>
        <v>12687616.565179162</v>
      </c>
      <c r="S35" s="12">
        <f>($M$49*$J$54+$M$50*$J$55+$M$51*$J$56)*($A$2*(Users!AO52 + Users!AO64)*S$22 + $A$3*Users!AO76*S$23)/60</f>
        <v>13078536.14223979</v>
      </c>
      <c r="T35" s="12">
        <f>($M$49*$J$54+$M$50*$J$55+$M$51*$J$56)*($A$2*(Users!AP52 + Users!AP64)*T$22 + $A$3*Users!AP76*T$23)/60</f>
        <v>13219066.014960516</v>
      </c>
      <c r="U35" s="12">
        <f>($M$49*$J$54+$M$50*$J$55+$M$51*$J$56)*($A$2*(Users!AQ52 + Users!AQ64)*U$22 + $A$3*Users!AQ76*U$23)/60</f>
        <v>13594005.200908316</v>
      </c>
      <c r="V35" s="12">
        <f>($M$49*$J$54+$M$50*$J$55+$M$51*$J$56)*($A$2*(Users!AR52 + Users!AR64)*V$22 + $A$3*Users!AR76*V$23)/60</f>
        <v>14178024.381099511</v>
      </c>
      <c r="W35" s="12">
        <f>($M$49*$J$54+$M$50*$J$55+$M$51*$J$56)*($A$2*(Users!AS52 + Users!AS64)*W$22 + $A$3*Users!AS76*W$23)/60</f>
        <v>14645120.611939678</v>
      </c>
      <c r="X35" s="12">
        <f>($M$49*$J$54+$M$50*$J$55+$M$51*$J$56)*($A$2*(Users!AT52 + Users!AT64)*X$22 + $A$3*Users!AT76*X$23)/60</f>
        <v>15214546.329905162</v>
      </c>
      <c r="Y35" s="12">
        <f>($M$49*$J$54+$M$50*$J$55+$M$51*$J$56)*($A$2*(Users!AU52 + Users!AU64)*Y$22 + $A$3*Users!AU76*Y$23)/60</f>
        <v>15811630.863675263</v>
      </c>
      <c r="Z35" s="12">
        <f>($M$49*$J$54+$M$50*$J$55+$M$51*$J$56)*($A$2*(Users!AV52 + Users!AV64)*Z$22 + $A$3*Users!AV76*Z$23)/60</f>
        <v>16434493.2466709</v>
      </c>
      <c r="AA35" s="12">
        <f>($M$49*$J$54+$M$50*$J$55+$M$51*$J$56)*($A$2*(Users!AW52 + Users!AW64)*AA$22 + $A$3*Users!AW76*AA$23)/60</f>
        <v>17091977.126673512</v>
      </c>
      <c r="AB35" s="12">
        <f>($M$49*$J$54+$M$50*$J$55+$M$51*$J$56)*($A$2*(Users!AX52 + Users!AX64)*AB$22 + $A$3*Users!AX76*AB$23)/60</f>
        <v>17781912.091207549</v>
      </c>
      <c r="AC35" s="12">
        <f>($M$49*$J$54+$M$50*$J$55+$M$51*$J$56)*($A$2*(Users!AY52 + Users!AY64)*AC$22 + $A$3*Users!AY76*AC$23)/60</f>
        <v>18506409.945623446</v>
      </c>
      <c r="AD35" s="12">
        <f>($M$49*$J$54+$M$50*$J$55+$M$51*$J$56)*($A$2*(Users!AZ52 + Users!AZ64)*AD$22 + $A$3*Users!AZ76*AD$23)/60</f>
        <v>19267647.42957671</v>
      </c>
      <c r="AE35" s="12">
        <f>($M$49*$J$54+$M$50*$J$55+$M$51*$J$56)*($A$2*(Users!BA52 + Users!BA64)*AE$22 + $A$3*Users!BA76*AE$23)/60</f>
        <v>20063029.526690494</v>
      </c>
      <c r="AF35" s="12">
        <f>($M$49*$J$54+$M$50*$J$55+$M$51*$J$56)*($A$2*(Users!BB52 + Users!BB64)*AF$22 + $A$3*Users!BB76*AF$23)/60</f>
        <v>20894428.035577841</v>
      </c>
      <c r="AG35" s="12">
        <f>($M$49*$J$54+$M$50*$J$55+$M$51*$J$56)*($A$2*(Users!BC52 + Users!BC64)*AG$22 + $A$3*Users!BC76*AG$23)/60</f>
        <v>21763785.384926755</v>
      </c>
      <c r="AH35" s="12">
        <f>($M$49*$J$54+$M$50*$J$55+$M$51*$J$56)*($A$2*(Users!BD52 + Users!BD64)*AH$22 + $A$3*Users!BD76*AH$23)/60</f>
        <v>22673141.701720931</v>
      </c>
      <c r="AI35" s="12">
        <f>($M$49*$J$54+$M$50*$J$55+$M$51*$J$56)*($A$2*(Users!BE52 + Users!BE64)*AI$22 + $A$3*Users!BE76*AI$23)/60</f>
        <v>23624571.108986787</v>
      </c>
      <c r="AJ35" s="12">
        <f>($M$49*$J$54+$M$50*$J$55+$M$51*$J$56)*($A$2*(Users!BF52 + Users!BF64)*AJ$22 + $A$3*Users!BF76*AJ$23)/60</f>
        <v>24620146.336381543</v>
      </c>
      <c r="AK35" s="12">
        <f>($M$49*$J$54+$M$50*$J$55+$M$51*$J$56)*($A$2*(Users!BG52 + Users!BG64)*AK$22 + $A$3*Users!BG76*AK$23)/60</f>
        <v>25662048.589261536</v>
      </c>
      <c r="AL35" s="12">
        <f>($M$49*$J$54+$M$50*$J$55+$M$51*$J$56)*($A$2*(Users!BH52 + Users!BH64)*AL$22 + $A$3*Users!BH76*AL$23)/60</f>
        <v>26176573.823924229</v>
      </c>
      <c r="AM35" s="12">
        <f>($M$49*$J$54+$M$50*$J$55+$M$51*$J$56)*($A$2*(Users!BI52 + Users!BI64)*AM$22 + $A$3*Users!BI76*AM$23)/60</f>
        <v>26705651.113793239</v>
      </c>
      <c r="AN35" s="12">
        <f>($M$49*$J$54+$M$50*$J$55+$M$51*$J$56)*($A$2*(Users!BJ52 + Users!BJ64)*AN$22 + $A$3*Users!BJ76*AN$23)/60</f>
        <v>27249500.892938934</v>
      </c>
      <c r="AO35" s="12">
        <f>($M$49*$J$54+$M$50*$J$55+$M$51*$J$56)*($A$2*(Users!BK52 + Users!BK64)*AO$22 + $A$3*Users!BK76*AO$23)/60</f>
        <v>27808265.142606508</v>
      </c>
      <c r="AP35" s="12">
        <f>($M$49*$J$54+$M$50*$J$55+$M$51*$J$56)*($A$2*(Users!BL52 + Users!BL64)*AP$22 + $A$3*Users!BL76*AP$23)/60</f>
        <v>28381962.243682448</v>
      </c>
      <c r="AQ35" s="12">
        <f>($M$49*$J$54+$M$50*$J$55+$M$51*$J$56)*($A$2*(Users!BM52 + Users!BM64)*AQ$22 + $A$3*Users!BM76*AQ$23)/60</f>
        <v>28970576.848467153</v>
      </c>
      <c r="AR35" s="12">
        <f>($M$49*$J$54+$M$50*$J$55+$M$51*$J$56)*($A$2*(Users!BN52 + Users!BN64)*AR$22 + $A$3*Users!BN76*AR$23)/60</f>
        <v>29574073.427897733</v>
      </c>
      <c r="AS35" s="12">
        <f>($M$49*$J$54+$M$50*$J$55+$M$51*$J$56)*($A$2*(Users!BO52 + Users!BO64)*AS$22 + $A$3*Users!BO76*AS$23)/60</f>
        <v>30192392.115546856</v>
      </c>
      <c r="AT35" s="12">
        <f>($M$49*$J$54+$M$50*$J$55+$M$51*$J$56)*($A$2*(Users!BP52 + Users!BP64)*AT$22 + $A$3*Users!BP76*AT$23)/60</f>
        <v>30827554.665824451</v>
      </c>
      <c r="AU35" s="12">
        <f>($M$49*$J$54+$M$50*$J$55+$M$51*$J$56)*($A$2*(Users!BQ52 + Users!BQ64)*AU$22 + $A$3*Users!BQ76*AU$23)/60</f>
        <v>31476079.240009606</v>
      </c>
      <c r="AV35" s="12">
        <f>($M$49*$J$54+$M$50*$J$55+$M$51*$J$56)*($A$2*(Users!BR52 + Users!BR64)*AV$22 + $A$3*Users!BR76*AV$23)/60</f>
        <v>32138246.937299453</v>
      </c>
      <c r="AW35" s="12">
        <f>($M$49*$J$54+$M$50*$J$55+$M$51*$J$56)*($A$2*(Users!BS52 + Users!BS64)*AW$22 + $A$3*Users!BS76*AW$23)/60</f>
        <v>32814344.770423271</v>
      </c>
      <c r="AX35" s="12">
        <f>($M$49*$J$54+$M$50*$J$55+$M$51*$J$56)*($A$2*(Users!BT52 + Users!BT64)*AX$22 + $A$3*Users!BT76*AX$23)/60</f>
        <v>33510596.197121792</v>
      </c>
      <c r="AY35" s="12">
        <f>($M$49*$J$54+$M$50*$J$55+$M$51*$J$56)*($A$2*(Users!BU52 + Users!BU64)*AY$22 + $A$3*Users!BU76*AY$23)/60</f>
        <v>34221620.615710668</v>
      </c>
      <c r="AZ35" s="12">
        <f>($M$49*$J$54+$M$50*$J$55+$M$51*$J$56)*($A$2*(Users!BV52 + Users!BV64)*AZ$22 + $A$3*Users!BV76*AZ$23)/60</f>
        <v>34947731.478027768</v>
      </c>
      <c r="BA35" s="12">
        <f>($M$49*$J$54+$M$50*$J$55+$M$51*$J$56)*($A$2*(Users!BW52 + Users!BW64)*BA$22 + $A$3*Users!BW76*BA$23)/60</f>
        <v>35689248.886700369</v>
      </c>
      <c r="BB35" s="12">
        <f>($M$49*$J$54+$M$50*$J$55+$M$51*$J$56)*($A$2*(Users!BX52 + Users!BX64)*BB$22 + $A$3*Users!BX76*BB$23)/60</f>
        <v>36446499.736260556</v>
      </c>
      <c r="BC35" s="12">
        <f>($M$49*$J$54+$M$50*$J$55+$M$51*$J$56)*($A$2*(Users!BY52 + Users!BY64)*BC$22 + $A$3*Users!BY76*BC$23)/60</f>
        <v>37230267.441966467</v>
      </c>
      <c r="BD35" s="12">
        <f>($M$49*$J$54+$M$50*$J$55+$M$51*$J$56)*($A$2*(Users!BZ52 + Users!BZ64)*BD$22 + $A$3*Users!BZ76*BD$23)/60</f>
        <v>38030889.76528874</v>
      </c>
      <c r="BE35" s="12">
        <f>($M$49*$J$54+$M$50*$J$55+$M$51*$J$56)*($A$2*(Users!CA52 + Users!CA64)*BE$22 + $A$3*Users!CA76*BE$23)/60</f>
        <v>38848729.158179432</v>
      </c>
      <c r="BF35" s="12">
        <f>($M$49*$J$54+$M$50*$J$55+$M$51*$J$56)*($A$2*(Users!CB52 + Users!CB64)*BF$22 + $A$3*Users!CB76*BF$23)/60</f>
        <v>39684155.866978116</v>
      </c>
      <c r="BG35" s="12">
        <f>($M$49*$J$54+$M$50*$J$55+$M$51*$J$56)*($A$2*(Users!CC52 + Users!CC64)*BG$22 + $A$3*Users!CC76*BG$23)/60</f>
        <v>40537548.100026876</v>
      </c>
      <c r="BH35" s="12">
        <f>($M$49*$J$54+$M$50*$J$55+$M$51*$J$56)*($A$2*(Users!CD52 + Users!CD64)*BH$22 + $A$3*Users!CD76*BH$23)/60</f>
        <v>41423761.163697831</v>
      </c>
      <c r="BI35" s="12">
        <f>($M$49*$J$54+$M$50*$J$55+$M$51*$J$56)*($A$2*(Users!CE52 + Users!CE64)*BI$22 + $A$3*Users!CE76*BI$23)/60</f>
        <v>42329348.206088103</v>
      </c>
      <c r="BJ35" s="12">
        <f>($M$49*$J$54+$M$50*$J$55+$M$51*$J$56)*($A$2*(Users!CF52 + Users!CF64)*BJ$22 + $A$3*Users!CF76*BJ$23)/60</f>
        <v>43254732.772129208</v>
      </c>
      <c r="BK35" s="12">
        <f>($M$49*$J$54+$M$50*$J$55+$M$51*$J$56)*($A$2*(Users!CG52 + Users!CG64)*BK$22 + $A$3*Users!CG76*BK$23)/60</f>
        <v>44200347.666095488</v>
      </c>
      <c r="BL35" s="12">
        <f>($M$49*$J$54+$M$50*$J$55+$M$51*$J$56)*($A$2*(Users!CH52 + Users!CH64)*BL$22 + $A$3*Users!CH76*BL$23)/60</f>
        <v>45166635.154027335</v>
      </c>
      <c r="BM35" s="12">
        <f>($M$49*$J$54+$M$50*$J$55+$M$51*$J$56)*($A$2*(Users!CI52 + Users!CI64)*BM$22 + $A$3*Users!CI76*BM$23)/60</f>
        <v>46165852.609458052</v>
      </c>
      <c r="BN35" s="12">
        <f>($M$49*$J$54+$M$50*$J$55+$M$51*$J$56)*($A$2*(Users!CJ52 + Users!CJ64)*BN$22 + $A$3*Users!CJ76*BN$23)/60</f>
        <v>47187175.663852051</v>
      </c>
      <c r="BO35" s="12">
        <f>($M$49*$J$54+$M$50*$J$55+$M$51*$J$56)*($A$2*(Users!CK52 + Users!CK64)*BO$22 + $A$3*Users!CK76*BO$23)/60</f>
        <v>48231093.357410617</v>
      </c>
      <c r="BP35" s="12">
        <f>($M$49*$J$54+$M$50*$J$55+$M$51*$J$56)*($A$2*(Users!CL52 + Users!CL64)*BP$22 + $A$3*Users!CL76*BP$23)/60</f>
        <v>49298105.549328007</v>
      </c>
      <c r="BQ35" s="12">
        <f>($M$49*$J$54+$M$50*$J$55+$M$51*$J$56)*($A$2*(Users!CM52 + Users!CM64)*BQ$22 + $A$3*Users!CM76*BQ$23)/60</f>
        <v>50388723.157138892</v>
      </c>
      <c r="BR35" s="12">
        <f>($M$49*$J$54+$M$50*$J$55+$M$51*$J$56)*($A$2*(Users!CN52 + Users!CN64)*BR$22 + $A$3*Users!CN76*BR$23)/60</f>
        <v>51506409.943191312</v>
      </c>
      <c r="BS35" s="12">
        <f>($M$49*$J$54+$M$50*$J$55+$M$51*$J$56)*($A$2*(Users!CO52 + Users!CO64)*BS$22 + $A$3*Users!CO76*BS$23)/60</f>
        <v>52646807.422947712</v>
      </c>
      <c r="BT35" s="12">
        <f>($M$49*$J$54+$M$50*$J$55+$M$51*$J$56)*($A$2*(Users!CP52 + Users!CP64)*BT$22 + $A$3*Users!CP76*BT$23)/60</f>
        <v>53812454.311724558</v>
      </c>
      <c r="BU35" s="12">
        <f>($M$49*$J$54+$M$50*$J$55+$M$51*$J$56)*($A$2*(Users!CQ52 + Users!CQ64)*BU$22 + $A$3*Users!CQ76*BU$23)/60</f>
        <v>55003909.653773881</v>
      </c>
      <c r="BV35" s="12">
        <f>($M$49*$J$54+$M$50*$J$55+$M$51*$J$56)*($A$2*(Users!CR52 + Users!CR64)*BV$22 + $A$3*Users!CR76*BV$23)/60</f>
        <v>56221744.871081613</v>
      </c>
      <c r="BW35" s="12">
        <f>($M$49*$J$54+$M$50*$J$55+$M$51*$J$56)*($A$2*(Users!CS52 + Users!CS64)*BW$22 + $A$3*Users!CS76*BW$23)/60</f>
        <v>57456459.171730891</v>
      </c>
      <c r="BX35" s="12">
        <f>($M$49*$J$54+$M$50*$J$55+$M$51*$J$56)*($A$2*(Users!CT52 + Users!CT64)*BX$22 + $A$3*Users!CT76*BX$23)/60</f>
        <v>58718289.660391226</v>
      </c>
      <c r="BY35" s="12">
        <f>($M$49*$J$54+$M$50*$J$55+$M$51*$J$56)*($A$2*(Users!CU52 + Users!CU64)*BY$22 + $A$3*Users!CU76*BY$23)/60</f>
        <v>60007831.849442467</v>
      </c>
      <c r="BZ35" s="12">
        <f>($M$49*$J$54+$M$50*$J$55+$M$51*$J$56)*($A$2*(Users!CV52 + Users!CV64)*BZ$22 + $A$3*Users!CV76*BZ$23)/60</f>
        <v>61325694.32961566</v>
      </c>
      <c r="CA35" s="12"/>
      <c r="CB35" s="12"/>
      <c r="CC35" s="12"/>
    </row>
    <row r="36" spans="1:8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AU36" s="22"/>
    </row>
    <row r="37" spans="1:8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O37" s="12" t="s">
        <v>196</v>
      </c>
      <c r="R37">
        <f>SUM(R28:R35)</f>
        <v>50156000.234494261</v>
      </c>
      <c r="S37" s="12">
        <f t="shared" ref="S37:AW37" si="2">SUM(S28:S35)</f>
        <v>51701362.383326232</v>
      </c>
      <c r="T37" s="12">
        <f t="shared" si="2"/>
        <v>52256897.482682735</v>
      </c>
      <c r="U37" s="12">
        <f t="shared" si="2"/>
        <v>53739086.812862381</v>
      </c>
      <c r="V37" s="12">
        <f t="shared" si="2"/>
        <v>56047799.878719822</v>
      </c>
      <c r="W37" s="12">
        <f t="shared" si="2"/>
        <v>57894299.459093928</v>
      </c>
      <c r="X37" s="12">
        <f t="shared" si="2"/>
        <v>60145322.438633405</v>
      </c>
      <c r="Y37" s="12">
        <f t="shared" si="2"/>
        <v>62505684.75427714</v>
      </c>
      <c r="Z37" s="12">
        <f t="shared" si="2"/>
        <v>64967950.670582101</v>
      </c>
      <c r="AA37" s="12">
        <f t="shared" si="2"/>
        <v>67567080.418094426</v>
      </c>
      <c r="AB37" s="12">
        <f t="shared" si="2"/>
        <v>70294494.039493248</v>
      </c>
      <c r="AC37" s="12">
        <f t="shared" si="2"/>
        <v>73158539.809579223</v>
      </c>
      <c r="AD37" s="12">
        <f t="shared" si="2"/>
        <v>76167822.697939172</v>
      </c>
      <c r="AE37" s="12">
        <f t="shared" si="2"/>
        <v>79312084.226052895</v>
      </c>
      <c r="AF37" s="12">
        <f t="shared" si="2"/>
        <v>82598723.887055546</v>
      </c>
      <c r="AG37" s="12">
        <f t="shared" si="2"/>
        <v>86035420.385078028</v>
      </c>
      <c r="AH37" s="12">
        <f t="shared" si="2"/>
        <v>89630238.639874786</v>
      </c>
      <c r="AI37" s="12">
        <f t="shared" si="2"/>
        <v>93391377.962519288</v>
      </c>
      <c r="AJ37" s="12">
        <f t="shared" si="2"/>
        <v>97327032.155893207</v>
      </c>
      <c r="AK37" s="12">
        <f t="shared" si="2"/>
        <v>101445823.8431506</v>
      </c>
      <c r="AL37" s="12">
        <f t="shared" si="2"/>
        <v>103479817.19862612</v>
      </c>
      <c r="AM37" s="12">
        <f t="shared" si="2"/>
        <v>105571336.95242794</v>
      </c>
      <c r="AN37" s="12">
        <f t="shared" si="2"/>
        <v>107721254.51261204</v>
      </c>
      <c r="AO37" s="12">
        <f t="shared" si="2"/>
        <v>109930131.15176496</v>
      </c>
      <c r="AP37" s="12">
        <f t="shared" si="2"/>
        <v>112198039.53221396</v>
      </c>
      <c r="AQ37" s="12">
        <f t="shared" si="2"/>
        <v>114524918.9822623</v>
      </c>
      <c r="AR37" s="12">
        <f t="shared" si="2"/>
        <v>116910629.05033837</v>
      </c>
      <c r="AS37" s="12">
        <f t="shared" si="2"/>
        <v>119354933.0757165</v>
      </c>
      <c r="AT37" s="12">
        <f t="shared" si="2"/>
        <v>121865823.3486852</v>
      </c>
      <c r="AU37" s="12">
        <f t="shared" si="2"/>
        <v>124429535.65255295</v>
      </c>
      <c r="AV37" s="12">
        <f t="shared" si="2"/>
        <v>127047181.21347675</v>
      </c>
      <c r="AW37" s="12">
        <f t="shared" si="2"/>
        <v>129719894.63466924</v>
      </c>
      <c r="AX37" s="12">
        <f t="shared" ref="AX37:BZ37" si="3">SUM(AX28:AX35)</f>
        <v>132472278.15298888</v>
      </c>
      <c r="AY37" s="12">
        <f t="shared" si="3"/>
        <v>135283061.46459594</v>
      </c>
      <c r="AZ37" s="12">
        <f t="shared" si="3"/>
        <v>138153483.69035864</v>
      </c>
      <c r="BA37" s="12">
        <f t="shared" si="3"/>
        <v>141084810.24268648</v>
      </c>
      <c r="BB37" s="12">
        <f t="shared" si="3"/>
        <v>144078333.38338014</v>
      </c>
      <c r="BC37" s="12">
        <f t="shared" si="3"/>
        <v>147176681.5269599</v>
      </c>
      <c r="BD37" s="12">
        <f t="shared" si="3"/>
        <v>150341658.43416721</v>
      </c>
      <c r="BE37" s="12">
        <f t="shared" si="3"/>
        <v>153574696.93047404</v>
      </c>
      <c r="BF37" s="12">
        <f t="shared" si="3"/>
        <v>156877260.65370381</v>
      </c>
      <c r="BG37" s="12">
        <f t="shared" si="3"/>
        <v>160250844.71663809</v>
      </c>
      <c r="BH37" s="12">
        <f t="shared" si="3"/>
        <v>163754174.31372577</v>
      </c>
      <c r="BI37" s="12">
        <f t="shared" si="3"/>
        <v>167334092.0766204</v>
      </c>
      <c r="BJ37" s="12">
        <f t="shared" si="3"/>
        <v>170992272.34025919</v>
      </c>
      <c r="BK37" s="12">
        <f t="shared" si="3"/>
        <v>174730426.04311302</v>
      </c>
      <c r="BL37" s="12">
        <f t="shared" si="3"/>
        <v>178550301.52739507</v>
      </c>
      <c r="BM37" s="12">
        <f t="shared" si="3"/>
        <v>182500353.97983423</v>
      </c>
      <c r="BN37" s="12">
        <f t="shared" si="3"/>
        <v>186537793.09162664</v>
      </c>
      <c r="BO37" s="12">
        <f t="shared" si="3"/>
        <v>190664552.11007094</v>
      </c>
      <c r="BP37" s="12">
        <f t="shared" si="3"/>
        <v>194882607.05152407</v>
      </c>
      <c r="BQ37" s="12">
        <f t="shared" si="3"/>
        <v>199193977.64757693</v>
      </c>
      <c r="BR37" s="12">
        <f t="shared" si="3"/>
        <v>203612356.65638056</v>
      </c>
      <c r="BS37" s="12">
        <f t="shared" si="3"/>
        <v>208120514.35237023</v>
      </c>
      <c r="BT37" s="12">
        <f t="shared" si="3"/>
        <v>212728486.64775646</v>
      </c>
      <c r="BU37" s="12">
        <f t="shared" si="3"/>
        <v>217438483.5260686</v>
      </c>
      <c r="BV37" s="12">
        <f t="shared" si="3"/>
        <v>222252763.90182486</v>
      </c>
      <c r="BW37" s="12">
        <f t="shared" si="3"/>
        <v>227133769.75779146</v>
      </c>
      <c r="BX37" s="12">
        <f t="shared" si="3"/>
        <v>232121969.86298954</v>
      </c>
      <c r="BY37" s="12">
        <f t="shared" si="3"/>
        <v>237219718.36478084</v>
      </c>
      <c r="BZ37" s="12">
        <f t="shared" si="3"/>
        <v>242429421.11115825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AU38" s="22"/>
    </row>
    <row r="39" spans="1:81" s="12" customFormat="1">
      <c r="AU39" s="22"/>
    </row>
    <row r="40" spans="1:81" s="12" customFormat="1">
      <c r="O40" s="12" t="s">
        <v>208</v>
      </c>
      <c r="P40"/>
      <c r="Q40"/>
      <c r="R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 s="22"/>
      <c r="AV40"/>
      <c r="AW40"/>
      <c r="AX40"/>
      <c r="AY40"/>
      <c r="AZ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W40"/>
      <c r="BX40"/>
      <c r="BZ40"/>
    </row>
    <row r="41" spans="1:81" s="12" customFormat="1">
      <c r="O41"/>
      <c r="P41"/>
      <c r="Q41"/>
      <c r="R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 s="22"/>
      <c r="AV41"/>
      <c r="AW41"/>
      <c r="AX41"/>
      <c r="AY41"/>
      <c r="AZ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W41"/>
      <c r="BX41"/>
      <c r="BZ41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O42" s="12" t="s">
        <v>259</v>
      </c>
      <c r="R42">
        <f>($M$49*$I$54+$M$50*$I$55+$M$51*$I$56)*($A$2*(Users!AN45*R$24 + Users!AN57*R$22) + $A$3*Users!AN69*R$23)/60</f>
        <v>1629857.7716707075</v>
      </c>
      <c r="S42" s="12">
        <f>($M$49*$I$54+$M$50*$I$55+$M$51*$I$56)*($A$2*(Users!AO45*S$24 + Users!AO57*S$22) + $A$3*Users!AO69*S$23)/60</f>
        <v>1680075.5022820754</v>
      </c>
      <c r="T42" s="12">
        <f>($M$49*$I$54+$M$50*$I$55+$M$51*$I$56)*($A$2*(Users!AP45*T$24 + Users!AP57*T$22) + $A$3*Users!AP69*T$23)/60</f>
        <v>1698128.042255135</v>
      </c>
      <c r="U42" s="12">
        <f>($M$49*$I$54+$M$50*$I$55+$M$51*$I$56)*($A$2*(Users!AQ45*U$24 + Users!AQ57*U$22) + $A$3*Users!AQ69*U$23)/60</f>
        <v>1746292.9235771361</v>
      </c>
      <c r="V42" s="12">
        <f>($M$49*$I$54+$M$50*$I$55+$M$51*$I$56)*($A$2*(Users!AR45*V$24 + Users!AR57*V$22) + $A$3*Users!AR69*V$23)/60</f>
        <v>1821316.3288597125</v>
      </c>
      <c r="W42" s="12">
        <f>($M$49*$I$54+$M$50*$I$55+$M$51*$I$56)*($A$2*(Users!AS45*W$24 + Users!AS57*W$22) + $A$3*Users!AS69*W$23)/60</f>
        <v>1881319.751728144</v>
      </c>
      <c r="X42" s="12">
        <f>($M$49*$I$54+$M$50*$I$55+$M$51*$I$56)*($A$2*(Users!AT45*X$24 + Users!AT57*X$22) + $A$3*Users!AT69*X$23)/60</f>
        <v>1954468.4733219475</v>
      </c>
      <c r="Y42" s="12">
        <f>($M$49*$I$54+$M$50*$I$55+$M$51*$I$56)*($A$2*(Users!AU45*Y$24 + Users!AU57*Y$22) + $A$3*Users!AU69*Y$23)/60</f>
        <v>2031170.2606679185</v>
      </c>
      <c r="Z42" s="12">
        <f>($M$49*$I$54+$M$50*$I$55+$M$51*$I$56)*($A$2*(Users!AV45*Z$24 + Users!AV57*Z$22) + $A$3*Users!AV69*Z$23)/60</f>
        <v>2111183.4838285954</v>
      </c>
      <c r="AA42" s="12">
        <f>($M$49*$I$54+$M$50*$I$55+$M$51*$I$56)*($A$2*(Users!AW45*AA$24 + Users!AW57*AA$22) + $A$3*Users!AW69*AA$23)/60</f>
        <v>2195644.2023619288</v>
      </c>
      <c r="AB42" s="12">
        <f>($M$49*$I$54+$M$50*$I$55+$M$51*$I$56)*($A$2*(Users!AX45*AB$24 + Users!AX57*AB$22) + $A$3*Users!AX69*AB$23)/60</f>
        <v>2284273.6039612275</v>
      </c>
      <c r="AC42" s="12">
        <f>($M$49*$I$54+$M$50*$I$55+$M$51*$I$56)*($A$2*(Users!AY45*AC$24 + Users!AY57*AC$22) + $A$3*Users!AY69*AC$23)/60</f>
        <v>2377342.9722316423</v>
      </c>
      <c r="AD42" s="12">
        <f>($M$49*$I$54+$M$50*$I$55+$M$51*$I$56)*($A$2*(Users!AZ45*AD$24 + Users!AZ57*AD$22) + $A$3*Users!AZ69*AD$23)/60</f>
        <v>2475131.9322726778</v>
      </c>
      <c r="AE42" s="12">
        <f>($M$49*$I$54+$M$50*$I$55+$M$51*$I$56)*($A$2*(Users!BA45*AE$24 + Users!BA57*AE$22) + $A$3*Users!BA69*AE$23)/60</f>
        <v>2577307.1269413484</v>
      </c>
      <c r="AF42" s="12">
        <f>($M$49*$I$54+$M$50*$I$55+$M$51*$I$56)*($A$2*(Users!BB45*AF$24 + Users!BB57*AF$22) + $A$3*Users!BB69*AF$23)/60</f>
        <v>2684109.0084534688</v>
      </c>
      <c r="AG42" s="12">
        <f>($M$49*$I$54+$M$50*$I$55+$M$51*$I$56)*($A$2*(Users!BC45*AG$24 + Users!BC57*AG$22) + $A$3*Users!BC69*AG$23)/60</f>
        <v>2795787.1022007284</v>
      </c>
      <c r="AH42" s="12">
        <f>($M$49*$I$54+$M$50*$I$55+$M$51*$I$56)*($A$2*(Users!BD45*AH$24 + Users!BD57*AH$22) + $A$3*Users!BD69*AH$23)/60</f>
        <v>2912603.4839483066</v>
      </c>
      <c r="AI42" s="12">
        <f>($M$49*$I$54+$M$50*$I$55+$M$51*$I$56)*($A$2*(Users!BE45*AI$24 + Users!BE57*AI$22) + $A$3*Users!BE69*AI$23)/60</f>
        <v>3034824.5966105643</v>
      </c>
      <c r="AJ42" s="12">
        <f>($M$49*$I$54+$M$50*$I$55+$M$51*$I$56)*($A$2*(Users!BF45*AJ$24 + Users!BF57*AJ$22) + $A$3*Users!BF69*AJ$23)/60</f>
        <v>3162716.7041089484</v>
      </c>
      <c r="AK42" s="12">
        <f>($M$49*$I$54+$M$50*$I$55+$M$51*$I$56)*($A$2*(Users!BG45*AK$24 + Users!BG57*AK$22) + $A$3*Users!BG69*AK$23)/60</f>
        <v>3296560.0052091898</v>
      </c>
      <c r="AL42" s="12">
        <f>($M$49*$I$54+$M$50*$I$55+$M$51*$I$56)*($A$2*(Users!BH45*AL$24 + Users!BH57*AL$22) + $A$3*Users!BH69*AL$23)/60</f>
        <v>3362656.1823853841</v>
      </c>
      <c r="AM42" s="12">
        <f>($M$49*$I$54+$M$50*$I$55+$M$51*$I$56)*($A$2*(Users!BI45*AM$24 + Users!BI57*AM$22) + $A$3*Users!BI69*AM$23)/60</f>
        <v>3430621.7240832723</v>
      </c>
      <c r="AN42" s="12">
        <f>($M$49*$I$54+$M$50*$I$55+$M$51*$I$56)*($A$2*(Users!BJ45*AN$24 + Users!BJ57*AN$22) + $A$3*Users!BJ69*AN$23)/60</f>
        <v>3500484.9473772896</v>
      </c>
      <c r="AO42" s="12">
        <f>($M$49*$I$54+$M$50*$I$55+$M$51*$I$56)*($A$2*(Users!BK45*AO$24 + Users!BK57*AO$22) + $A$3*Users!BK69*AO$23)/60</f>
        <v>3572264.0912514711</v>
      </c>
      <c r="AP42" s="12">
        <f>($M$49*$I$54+$M$50*$I$55+$M$51*$I$56)*($A$2*(Users!BL45*AP$24 + Users!BL57*AP$22) + $A$3*Users!BL69*AP$23)/60</f>
        <v>3645961.5169239761</v>
      </c>
      <c r="AQ42" s="12">
        <f>($M$49*$I$54+$M$50*$I$55+$M$51*$I$56)*($A$2*(Users!BM45*AQ$24 + Users!BM57*AQ$22) + $A$3*Users!BM69*AQ$23)/60</f>
        <v>3721575.2528214068</v>
      </c>
      <c r="AR42" s="12">
        <f>($M$49*$I$54+$M$50*$I$55+$M$51*$I$56)*($A$2*(Users!BN45*AR$24 + Users!BN57*AR$22) + $A$3*Users!BN69*AR$23)/60</f>
        <v>3799100.7348619876</v>
      </c>
      <c r="AS42" s="12">
        <f>($M$49*$I$54+$M$50*$I$55+$M$51*$I$56)*($A$2*(Users!BO45*AS$24 + Users!BO57*AS$22) + $A$3*Users!BO69*AS$23)/60</f>
        <v>3878530.2725735763</v>
      </c>
      <c r="AT42" s="12">
        <f>($M$49*$I$54+$M$50*$I$55+$M$51*$I$56)*($A$2*(Users!BP45*AT$24 + Users!BP57*AT$22) + $A$3*Users!BP69*AT$23)/60</f>
        <v>3960123.5815710528</v>
      </c>
      <c r="AU42" s="12">
        <f>($M$49*$I$54+$M$50*$I$55+$M$51*$I$56)*($A$2*(Users!BQ45*AU$24 + Users!BQ57*AU$22) + $A$3*Users!BQ69*AU$23)/60</f>
        <v>4043433.3830554443</v>
      </c>
      <c r="AV42" s="12">
        <f>($M$49*$I$54+$M$50*$I$55+$M$51*$I$56)*($A$2*(Users!BR45*AV$24 + Users!BR57*AV$22) + $A$3*Users!BR69*AV$23)/60</f>
        <v>4128495.7871746765</v>
      </c>
      <c r="AW42" s="12">
        <f>($M$49*$I$54+$M$50*$I$55+$M$51*$I$56)*($A$2*(Users!BS45*AW$24 + Users!BS57*AW$22) + $A$3*Users!BS69*AW$23)/60</f>
        <v>4215347.6637320798</v>
      </c>
      <c r="AX42" s="12">
        <f>($M$49*$I$54+$M$50*$I$55+$M$51*$I$56)*($A$2*(Users!BT45*AX$24 + Users!BT57*AX$22) + $A$3*Users!BT69*AX$23)/60</f>
        <v>4304788.4813207639</v>
      </c>
      <c r="AY42" s="12">
        <f>($M$49*$I$54+$M$50*$I$55+$M$51*$I$56)*($A$2*(Users!BU45*AY$24 + Users!BU57*AY$22) + $A$3*Users!BU69*AY$23)/60</f>
        <v>4396127.0450715963</v>
      </c>
      <c r="AZ42" s="12">
        <f>($M$49*$I$54+$M$50*$I$55+$M$51*$I$56)*($A$2*(Users!BV45*AZ$24 + Users!BV57*AZ$22) + $A$3*Users!BV69*AZ$23)/60</f>
        <v>4489403.6211694274</v>
      </c>
      <c r="BA42" s="12">
        <f>($M$49*$I$54+$M$50*$I$55+$M$51*$I$56)*($A$2*(Users!BW45*BA$24 + Users!BW57*BA$22) + $A$3*Users!BW69*BA$23)/60</f>
        <v>4584659.3301629545</v>
      </c>
      <c r="BB42" s="12">
        <f>($M$49*$I$54+$M$50*$I$55+$M$51*$I$56)*($A$2*(Users!BX45*BB$24 + Users!BX57*BB$22) + $A$3*Users!BX69*BB$23)/60</f>
        <v>4681936.1650924748</v>
      </c>
      <c r="BC42" s="12">
        <f>($M$49*$I$54+$M$50*$I$55+$M$51*$I$56)*($A$2*(Users!BY45*BC$24 + Users!BY57*BC$22) + $A$3*Users!BY69*BC$23)/60</f>
        <v>4782619.3690470457</v>
      </c>
      <c r="BD42" s="12">
        <f>($M$49*$I$54+$M$50*$I$55+$M$51*$I$56)*($A$2*(Users!BZ45*BD$24 + Users!BZ57*BD$22) + $A$3*Users!BZ69*BD$23)/60</f>
        <v>4885467.7258787854</v>
      </c>
      <c r="BE42" s="12">
        <f>($M$49*$I$54+$M$50*$I$55+$M$51*$I$56)*($A$2*(Users!CA45*BE$24 + Users!CA57*BE$22) + $A$3*Users!CA69*BE$23)/60</f>
        <v>4990527.7963525103</v>
      </c>
      <c r="BF42" s="12">
        <f>($M$49*$I$54+$M$50*$I$55+$M$51*$I$56)*($A$2*(Users!CB45*BF$24 + Users!CB57*BF$22) + $A$3*Users!CB69*BF$23)/60</f>
        <v>5097847.1425040765</v>
      </c>
      <c r="BG42" s="12">
        <f>($M$49*$I$54+$M$50*$I$55+$M$51*$I$56)*($A$2*(Users!CC45*BG$24 + Users!CC57*BG$22) + $A$3*Users!CC69*BG$23)/60</f>
        <v>5207474.3491722904</v>
      </c>
      <c r="BH42" s="12">
        <f>($M$49*$I$54+$M$50*$I$55+$M$51*$I$56)*($A$2*(Users!CD45*BH$24 + Users!CD57*BH$22) + $A$3*Users!CD69*BH$23)/60</f>
        <v>5321317.7366800988</v>
      </c>
      <c r="BI42" s="12">
        <f>($M$49*$I$54+$M$50*$I$55+$M$51*$I$56)*($A$2*(Users!CE45*BI$24 + Users!CE57*BI$22) + $A$3*Users!CE69*BI$23)/60</f>
        <v>5437649.9154925374</v>
      </c>
      <c r="BJ42" s="12">
        <f>($M$49*$I$54+$M$50*$I$55+$M$51*$I$56)*($A$2*(Users!CF45*BJ$24 + Users!CF57*BJ$22) + $A$3*Users!CF69*BJ$23)/60</f>
        <v>5556525.2944100853</v>
      </c>
      <c r="BK42" s="12">
        <f>($M$49*$I$54+$M$50*$I$55+$M$51*$I$56)*($A$2*(Users!CG45*BK$24 + Users!CG57*BK$22) + $A$3*Users!CG69*BK$23)/60</f>
        <v>5677999.4716931852</v>
      </c>
      <c r="BL42" s="12">
        <f>($M$49*$I$54+$M$50*$I$55+$M$51*$I$56)*($A$2*(Users!CH45*BL$24 + Users!CH57*BL$22) + $A$3*Users!CH69*BL$23)/60</f>
        <v>5802129.2610656172</v>
      </c>
      <c r="BM42" s="12">
        <f>($M$49*$I$54+$M$50*$I$55+$M$51*$I$56)*($A$2*(Users!CI45*BM$24 + Users!CI57*BM$22) + $A$3*Users!CI69*BM$23)/60</f>
        <v>5930489.251057147</v>
      </c>
      <c r="BN42" s="12">
        <f>($M$49*$I$54+$M$50*$I$55+$M$51*$I$56)*($A$2*(Users!CJ45*BN$24 + Users!CJ57*BN$22) + $A$3*Users!CJ69*BN$23)/60</f>
        <v>6061688.9376995564</v>
      </c>
      <c r="BO42" s="12">
        <f>($M$49*$I$54+$M$50*$I$55+$M$51*$I$56)*($A$2*(Users!CK45*BO$24 + Users!CK57*BO$22) + $A$3*Users!CK69*BO$23)/60</f>
        <v>6195791.1433494696</v>
      </c>
      <c r="BP42" s="12">
        <f>($M$49*$I$54+$M$50*$I$55+$M$51*$I$56)*($A$2*(Users!CL45*BP$24 + Users!CL57*BP$22) + $A$3*Users!CL69*BP$23)/60</f>
        <v>6332860.080176956</v>
      </c>
      <c r="BQ42" s="12">
        <f>($M$49*$I$54+$M$50*$I$55+$M$51*$I$56)*($A$2*(Users!CM45*BQ$24 + Users!CM57*BQ$22) + $A$3*Users!CM69*BQ$23)/60</f>
        <v>6472961.380912195</v>
      </c>
      <c r="BR42" s="12">
        <f>($M$49*$I$54+$M$50*$I$55+$M$51*$I$56)*($A$2*(Users!CN45*BR$24 + Users!CN57*BR$22) + $A$3*Users!CN69*BR$23)/60</f>
        <v>6616540.002253945</v>
      </c>
      <c r="BS42" s="12">
        <f>($M$49*$I$54+$M$50*$I$55+$M$51*$I$56)*($A$2*(Users!CO45*BS$24 + Users!CO57*BS$22) + $A$3*Users!CO69*BS$23)/60</f>
        <v>6763036.0510292333</v>
      </c>
      <c r="BT42" s="12">
        <f>($M$49*$I$54+$M$50*$I$55+$M$51*$I$56)*($A$2*(Users!CP45*BT$24 + Users!CP57*BT$22) + $A$3*Users!CP69*BT$23)/60</f>
        <v>6912775.6519177817</v>
      </c>
      <c r="BU42" s="12">
        <f>($M$49*$I$54+$M$50*$I$55+$M$51*$I$56)*($A$2*(Users!CQ45*BU$24 + Users!CQ57*BU$22) + $A$3*Users!CQ69*BU$23)/60</f>
        <v>7065830.6200326812</v>
      </c>
      <c r="BV42" s="12">
        <f>($M$49*$I$54+$M$50*$I$55+$M$51*$I$56)*($A$2*(Users!CR45*BV$24 + Users!CR57*BV$22) + $A$3*Users!CR69*BV$23)/60</f>
        <v>7222274.3605371723</v>
      </c>
      <c r="BW42" s="12">
        <f>($M$49*$I$54+$M$50*$I$55+$M$51*$I$56)*($A$2*(Users!CS45*BW$24 + Users!CS57*BW$22) + $A$3*Users!CS69*BW$23)/60</f>
        <v>7380886.3967985082</v>
      </c>
      <c r="BX42" s="12">
        <f>($M$49*$I$54+$M$50*$I$55+$M$51*$I$56)*($A$2*(Users!CT45*BX$24 + Users!CT57*BX$22) + $A$3*Users!CT69*BX$23)/60</f>
        <v>7542981.7925656177</v>
      </c>
      <c r="BY42" s="12">
        <f>($M$49*$I$54+$M$50*$I$55+$M$51*$I$56)*($A$2*(Users!CU45*BY$24 + Users!CU57*BY$22) + $A$3*Users!CU69*BY$23)/60</f>
        <v>7708637.0476661492</v>
      </c>
      <c r="BZ42" s="12">
        <f>($M$49*$I$54+$M$50*$I$55+$M$51*$I$56)*($A$2*(Users!CV45*BZ$24 + Users!CV57*BZ$22) + $A$3*Users!CV69*BZ$23)/60</f>
        <v>7877930.341979471</v>
      </c>
    </row>
    <row r="43" spans="1:81">
      <c r="O43" s="12" t="s">
        <v>260</v>
      </c>
      <c r="R43" s="12">
        <f>($M$49*$I$54+$M$50*$I$55+$M$51*$I$56)*($A$2*(Users!AN46*R$24 + Users!AN58*R$22) + $A$3*Users!AN70*R$23)/60</f>
        <v>1846211.4829785747</v>
      </c>
      <c r="S43" s="12">
        <f>($M$49*$I$54+$M$50*$I$55+$M$51*$I$56)*($A$2*(Users!AO46*S$24 + Users!AO58*S$22) + $A$3*Users!AO70*S$23)/60</f>
        <v>1903095.3120557559</v>
      </c>
      <c r="T43" s="12">
        <f>($M$49*$I$54+$M$50*$I$55+$M$51*$I$56)*($A$2*(Users!AP46*T$24 + Users!AP58*T$22) + $A$3*Users!AP70*T$23)/60</f>
        <v>1923544.2169691145</v>
      </c>
      <c r="U43" s="12">
        <f>($M$49*$I$54+$M$50*$I$55+$M$51*$I$56)*($A$2*(Users!AQ46*U$24 + Users!AQ58*U$22) + $A$3*Users!AQ70*U$23)/60</f>
        <v>1978102.6934930061</v>
      </c>
      <c r="V43" s="12">
        <f>($M$49*$I$54+$M$50*$I$55+$M$51*$I$56)*($A$2*(Users!AR46*V$24 + Users!AR58*V$22) + $A$3*Users!AR70*V$23)/60</f>
        <v>2063084.9997606673</v>
      </c>
      <c r="W43" s="12">
        <f>($M$49*$I$54+$M$50*$I$55+$M$51*$I$56)*($A$2*(Users!AS46*W$24 + Users!AS58*W$22) + $A$3*Users!AS70*W$23)/60</f>
        <v>2131053.512254958</v>
      </c>
      <c r="X43" s="12">
        <f>($M$49*$I$54+$M$50*$I$55+$M$51*$I$56)*($A$2*(Users!AT46*X$24 + Users!AT58*X$22) + $A$3*Users!AT70*X$23)/60</f>
        <v>2213912.2819703356</v>
      </c>
      <c r="Y43" s="12">
        <f>($M$49*$I$54+$M$50*$I$55+$M$51*$I$56)*($A$2*(Users!AU46*Y$24 + Users!AU58*Y$22) + $A$3*Users!AU70*Y$23)/60</f>
        <v>2300795.765317447</v>
      </c>
      <c r="Z43" s="12">
        <f>($M$49*$I$54+$M$50*$I$55+$M$51*$I$56)*($A$2*(Users!AV46*Z$24 + Users!AV58*Z$22) + $A$3*Users!AV70*Z$23)/60</f>
        <v>2391430.2574534984</v>
      </c>
      <c r="AA43" s="12">
        <f>($M$49*$I$54+$M$50*$I$55+$M$51*$I$56)*($A$2*(Users!AW46*AA$24 + Users!AW58*AA$22) + $A$3*Users!AW70*AA$23)/60</f>
        <v>2487102.6229366655</v>
      </c>
      <c r="AB43" s="12">
        <f>($M$49*$I$54+$M$50*$I$55+$M$51*$I$56)*($A$2*(Users!AX46*AB$24 + Users!AX58*AB$22) + $A$3*Users!AX70*AB$23)/60</f>
        <v>2587497.0388214421</v>
      </c>
      <c r="AC43" s="12">
        <f>($M$49*$I$54+$M$50*$I$55+$M$51*$I$56)*($A$2*(Users!AY46*AC$24 + Users!AY58*AC$22) + $A$3*Users!AY70*AC$23)/60</f>
        <v>2692920.7999624345</v>
      </c>
      <c r="AD43" s="12">
        <f>($M$49*$I$54+$M$50*$I$55+$M$51*$I$56)*($A$2*(Users!AZ46*AD$24 + Users!AZ58*AD$22) + $A$3*Users!AZ70*AD$23)/60</f>
        <v>2803690.6499912669</v>
      </c>
      <c r="AE43" s="12">
        <f>($M$49*$I$54+$M$50*$I$55+$M$51*$I$56)*($A$2*(Users!BA46*AE$24 + Users!BA58*AE$22) + $A$3*Users!BA70*AE$23)/60</f>
        <v>2919428.9806306991</v>
      </c>
      <c r="AF43" s="12">
        <f>($M$49*$I$54+$M$50*$I$55+$M$51*$I$56)*($A$2*(Users!BB46*AF$24 + Users!BB58*AF$22) + $A$3*Users!BB70*AF$23)/60</f>
        <v>3040408.1626664866</v>
      </c>
      <c r="AG43" s="12">
        <f>($M$49*$I$54+$M$50*$I$55+$M$51*$I$56)*($A$2*(Users!BC46*AG$24 + Users!BC58*AG$22) + $A$3*Users!BC70*AG$23)/60</f>
        <v>3166910.8444692055</v>
      </c>
      <c r="AH43" s="12">
        <f>($M$49*$I$54+$M$50*$I$55+$M$51*$I$56)*($A$2*(Users!BD46*AH$24 + Users!BD58*AH$22) + $A$3*Users!BD70*AH$23)/60</f>
        <v>3299233.8907687082</v>
      </c>
      <c r="AI43" s="12">
        <f>($M$49*$I$54+$M$50*$I$55+$M$51*$I$56)*($A$2*(Users!BE46*AI$24 + Users!BE58*AI$22) + $A$3*Users!BE70*AI$23)/60</f>
        <v>3437679.1131565352</v>
      </c>
      <c r="AJ43" s="12">
        <f>($M$49*$I$54+$M$50*$I$55+$M$51*$I$56)*($A$2*(Users!BF46*AJ$24 + Users!BF58*AJ$22) + $A$3*Users!BF70*AJ$23)/60</f>
        <v>3582548.1204710896</v>
      </c>
      <c r="AK43" s="12">
        <f>($M$49*$I$54+$M$50*$I$55+$M$51*$I$56)*($A$2*(Users!BG46*AK$24 + Users!BG58*AK$22) + $A$3*Users!BG70*AK$23)/60</f>
        <v>3734158.3061609296</v>
      </c>
      <c r="AL43" s="12">
        <f>($M$49*$I$54+$M$50*$I$55+$M$51*$I$56)*($A$2*(Users!BH46*AL$24 + Users!BH58*AL$22) + $A$3*Users!BH70*AL$23)/60</f>
        <v>3809028.3490595743</v>
      </c>
      <c r="AM43" s="12">
        <f>($M$49*$I$54+$M$50*$I$55+$M$51*$I$56)*($A$2*(Users!BI46*AM$24 + Users!BI58*AM$22) + $A$3*Users!BI70*AM$23)/60</f>
        <v>3886015.9032563283</v>
      </c>
      <c r="AN43" s="12">
        <f>($M$49*$I$54+$M$50*$I$55+$M$51*$I$56)*($A$2*(Users!BJ46*AN$24 + Users!BJ58*AN$22) + $A$3*Users!BJ70*AN$23)/60</f>
        <v>3965153.0447451216</v>
      </c>
      <c r="AO43" s="12">
        <f>($M$49*$I$54+$M$50*$I$55+$M$51*$I$56)*($A$2*(Users!BK46*AO$24 + Users!BK58*AO$22) + $A$3*Users!BK70*AO$23)/60</f>
        <v>4046460.4336242396</v>
      </c>
      <c r="AP43" s="12">
        <f>($M$49*$I$54+$M$50*$I$55+$M$51*$I$56)*($A$2*(Users!BL46*AP$24 + Users!BL58*AP$22) + $A$3*Users!BL70*AP$23)/60</f>
        <v>4129940.7445492032</v>
      </c>
      <c r="AQ43" s="12">
        <f>($M$49*$I$54+$M$50*$I$55+$M$51*$I$56)*($A$2*(Users!BM46*AQ$24 + Users!BM58*AQ$22) + $A$3*Users!BM70*AQ$23)/60</f>
        <v>4215591.7442322299</v>
      </c>
      <c r="AR43" s="12">
        <f>($M$49*$I$54+$M$50*$I$55+$M$51*$I$56)*($A$2*(Users!BN46*AR$24 + Users!BN58*AR$22) + $A$3*Users!BN70*AR$23)/60</f>
        <v>4303408.2627374334</v>
      </c>
      <c r="AS43" s="12">
        <f>($M$49*$I$54+$M$50*$I$55+$M$51*$I$56)*($A$2*(Users!BO46*AS$24 + Users!BO58*AS$22) + $A$3*Users!BO70*AS$23)/60</f>
        <v>4393381.5887292447</v>
      </c>
      <c r="AT43" s="12">
        <f>($M$49*$I$54+$M$50*$I$55+$M$51*$I$56)*($A$2*(Users!BP46*AT$24 + Users!BP58*AT$22) + $A$3*Users!BP70*AT$23)/60</f>
        <v>4485805.9134916104</v>
      </c>
      <c r="AU43" s="12">
        <f>($M$49*$I$54+$M$50*$I$55+$M$51*$I$56)*($A$2*(Users!BQ46*AU$24 + Users!BQ58*AU$22) + $A$3*Users!BQ70*AU$23)/60</f>
        <v>4580174.5846839966</v>
      </c>
      <c r="AV43" s="12">
        <f>($M$49*$I$54+$M$50*$I$55+$M$51*$I$56)*($A$2*(Users!BR46*AV$24 + Users!BR58*AV$22) + $A$3*Users!BR70*AV$23)/60</f>
        <v>4676528.5058569526</v>
      </c>
      <c r="AW43" s="12">
        <f>($M$49*$I$54+$M$50*$I$55+$M$51*$I$56)*($A$2*(Users!BS46*AW$24 + Users!BS58*AW$22) + $A$3*Users!BS70*AW$23)/60</f>
        <v>4774909.4410560727</v>
      </c>
      <c r="AX43" s="12">
        <f>($M$49*$I$54+$M$50*$I$55+$M$51*$I$56)*($A$2*(Users!BT46*AX$24 + Users!BT58*AX$22) + $A$3*Users!BT70*AX$23)/60</f>
        <v>4876222.9834702397</v>
      </c>
      <c r="AY43" s="12">
        <f>($M$49*$I$54+$M$50*$I$55+$M$51*$I$56)*($A$2*(Users!BU46*AY$24 + Users!BU58*AY$22) + $A$3*Users!BU70*AY$23)/60</f>
        <v>4979686.1863132091</v>
      </c>
      <c r="AZ43" s="12">
        <f>($M$49*$I$54+$M$50*$I$55+$M$51*$I$56)*($A$2*(Users!BV46*AZ$24 + Users!BV58*AZ$22) + $A$3*Users!BV70*AZ$23)/60</f>
        <v>5085344.6608610936</v>
      </c>
      <c r="BA43" s="12">
        <f>($M$49*$I$54+$M$50*$I$55+$M$51*$I$56)*($A$2*(Users!BW46*BA$24 + Users!BW58*BA$22) + $A$3*Users!BW70*BA$23)/60</f>
        <v>5193244.9861654574</v>
      </c>
      <c r="BB43" s="12">
        <f>($M$49*$I$54+$M$50*$I$55+$M$51*$I$56)*($A$2*(Users!BX46*BB$24 + Users!BX58*BB$22) + $A$3*Users!BX70*BB$23)/60</f>
        <v>5303434.7295874255</v>
      </c>
      <c r="BC43" s="12">
        <f>($M$49*$I$54+$M$50*$I$55+$M$51*$I$56)*($A$2*(Users!BY46*BC$24 + Users!BY58*BC$22) + $A$3*Users!BY70*BC$23)/60</f>
        <v>5417483.0168152489</v>
      </c>
      <c r="BD43" s="12">
        <f>($M$49*$I$54+$M$50*$I$55+$M$51*$I$56)*($A$2*(Users!BZ46*BD$24 + Users!BZ58*BD$22) + $A$3*Users!BZ70*BD$23)/60</f>
        <v>5533983.8678027522</v>
      </c>
      <c r="BE43" s="12">
        <f>($M$49*$I$54+$M$50*$I$55+$M$51*$I$56)*($A$2*(Users!CA46*BE$24 + Users!CA58*BE$22) + $A$3*Users!CA70*BE$23)/60</f>
        <v>5652990.0239732424</v>
      </c>
      <c r="BF43" s="12">
        <f>($M$49*$I$54+$M$50*$I$55+$M$51*$I$56)*($A$2*(Users!CB46*BF$24 + Users!CB58*BF$22) + $A$3*Users!CB70*BF$23)/60</f>
        <v>5774555.3609337024</v>
      </c>
      <c r="BG43" s="12">
        <f>($M$49*$I$54+$M$50*$I$55+$M$51*$I$56)*($A$2*(Users!CC46*BG$24 + Users!CC58*BG$22) + $A$3*Users!CC70*BG$23)/60</f>
        <v>5898734.912864943</v>
      </c>
      <c r="BH43" s="12">
        <f>($M$49*$I$54+$M$50*$I$55+$M$51*$I$56)*($A$2*(Users!CD46*BH$24 + Users!CD58*BH$22) + $A$3*Users!CD70*BH$23)/60</f>
        <v>6027690.318012136</v>
      </c>
      <c r="BI43" s="12">
        <f>($M$49*$I$54+$M$50*$I$55+$M$51*$I$56)*($A$2*(Users!CE46*BI$24 + Users!CE58*BI$22) + $A$3*Users!CE70*BI$23)/60</f>
        <v>6159464.8863803213</v>
      </c>
      <c r="BJ43" s="12">
        <f>($M$49*$I$54+$M$50*$I$55+$M$51*$I$56)*($A$2*(Users!CF46*BJ$24 + Users!CF58*BJ$22) + $A$3*Users!CF70*BJ$23)/60</f>
        <v>6294120.2492074957</v>
      </c>
      <c r="BK43" s="12">
        <f>($M$49*$I$54+$M$50*$I$55+$M$51*$I$56)*($A$2*(Users!CG46*BK$24 + Users!CG58*BK$22) + $A$3*Users!CG70*BK$23)/60</f>
        <v>6431719.3850851897</v>
      </c>
      <c r="BL43" s="12">
        <f>($M$49*$I$54+$M$50*$I$55+$M$51*$I$56)*($A$2*(Users!CH46*BL$24 + Users!CH58*BL$22) + $A$3*Users!CH70*BL$23)/60</f>
        <v>6572326.6494136481</v>
      </c>
      <c r="BM43" s="12">
        <f>($M$49*$I$54+$M$50*$I$55+$M$51*$I$56)*($A$2*(Users!CI46*BM$24 + Users!CI58*BM$22) + $A$3*Users!CI70*BM$23)/60</f>
        <v>6717725.6477780612</v>
      </c>
      <c r="BN43" s="12">
        <f>($M$49*$I$54+$M$50*$I$55+$M$51*$I$56)*($A$2*(Users!CJ46*BN$24 + Users!CJ58*BN$22) + $A$3*Users!CJ70*BN$23)/60</f>
        <v>6866341.2952612871</v>
      </c>
      <c r="BO43" s="12">
        <f>($M$49*$I$54+$M$50*$I$55+$M$51*$I$56)*($A$2*(Users!CK46*BO$24 + Users!CK58*BO$22) + $A$3*Users!CK70*BO$23)/60</f>
        <v>7018244.7535058884</v>
      </c>
      <c r="BP43" s="12">
        <f>($M$49*$I$54+$M$50*$I$55+$M$51*$I$56)*($A$2*(Users!CL46*BP$24 + Users!CL58*BP$22) + $A$3*Users!CL70*BP$23)/60</f>
        <v>7173508.7584571727</v>
      </c>
      <c r="BQ43" s="12">
        <f>($M$49*$I$54+$M$50*$I$55+$M$51*$I$56)*($A$2*(Users!CM46*BQ$24 + Users!CM58*BQ$22) + $A$3*Users!CM70*BQ$23)/60</f>
        <v>7332207.6551912697</v>
      </c>
      <c r="BR43" s="12">
        <f>($M$49*$I$54+$M$50*$I$55+$M$51*$I$56)*($A$2*(Users!CN46*BR$24 + Users!CN58*BR$22) + $A$3*Users!CN70*BR$23)/60</f>
        <v>7494845.4657038115</v>
      </c>
      <c r="BS43" s="12">
        <f>($M$49*$I$54+$M$50*$I$55+$M$51*$I$56)*($A$2*(Users!CO46*BS$24 + Users!CO58*BS$22) + $A$3*Users!CO70*BS$23)/60</f>
        <v>7660787.9744066903</v>
      </c>
      <c r="BT43" s="12">
        <f>($M$49*$I$54+$M$50*$I$55+$M$51*$I$56)*($A$2*(Users!CP46*BT$24 + Users!CP58*BT$22) + $A$3*Users!CP70*BT$23)/60</f>
        <v>7830404.5970483664</v>
      </c>
      <c r="BU43" s="12">
        <f>($M$49*$I$54+$M$50*$I$55+$M$51*$I$56)*($A$2*(Users!CQ46*BU$24 + Users!CQ58*BU$22) + $A$3*Users!CQ70*BU$23)/60</f>
        <v>8003776.681761614</v>
      </c>
      <c r="BV43" s="12">
        <f>($M$49*$I$54+$M$50*$I$55+$M$51*$I$56)*($A$2*(Users!CR46*BV$24 + Users!CR58*BV$22) + $A$3*Users!CR70*BV$23)/60</f>
        <v>8180987.3777988832</v>
      </c>
      <c r="BW43" s="12">
        <f>($M$49*$I$54+$M$50*$I$55+$M$51*$I$56)*($A$2*(Users!CS46*BW$24 + Users!CS58*BW$22) + $A$3*Users!CS70*BW$23)/60</f>
        <v>8360654.1976736756</v>
      </c>
      <c r="BX43" s="12">
        <f>($M$49*$I$54+$M$50*$I$55+$M$51*$I$56)*($A$2*(Users!CT46*BX$24 + Users!CT58*BX$22) + $A$3*Users!CT70*BX$23)/60</f>
        <v>8544266.7718533408</v>
      </c>
      <c r="BY43" s="12">
        <f>($M$49*$I$54+$M$50*$I$55+$M$51*$I$56)*($A$2*(Users!CU46*BY$24 + Users!CU58*BY$22) + $A$3*Users!CU70*BY$23)/60</f>
        <v>8731911.7550526075</v>
      </c>
      <c r="BZ43" s="12">
        <f>($M$49*$I$54+$M$50*$I$55+$M$51*$I$56)*($A$2*(Users!CV46*BZ$24 + Users!CV58*BZ$22) + $A$3*Users!CV70*BZ$23)/60</f>
        <v>8923677.7050545812</v>
      </c>
    </row>
    <row r="44" spans="1:81">
      <c r="G44" s="12"/>
      <c r="H44" s="12"/>
      <c r="I44" s="12"/>
      <c r="J44" s="12"/>
      <c r="K44" s="12"/>
      <c r="O44" s="12" t="s">
        <v>261</v>
      </c>
      <c r="R44" s="12">
        <f>($M$49*$I$54+$M$50*$I$55+$M$51*$I$56)*($A$2*(Users!AN47*R$24 + Users!AN59*R$22) + $A$3*Users!AN71*R$23)/60</f>
        <v>1283774.5489949796</v>
      </c>
      <c r="S44" s="12">
        <f>($M$49*$I$54+$M$50*$I$55+$M$51*$I$56)*($A$2*(Users!AO47*S$24 + Users!AO59*S$22) + $A$3*Users!AO71*S$23)/60</f>
        <v>1323329.0706150329</v>
      </c>
      <c r="T44" s="12">
        <f>($M$49*$I$54+$M$50*$I$55+$M$51*$I$56)*($A$2*(Users!AP47*T$24 + Users!AP59*T$22) + $A$3*Users!AP71*T$23)/60</f>
        <v>1337548.3428515128</v>
      </c>
      <c r="U44" s="12">
        <f>($M$49*$I$54+$M$50*$I$55+$M$51*$I$56)*($A$2*(Users!AQ47*U$24 + Users!AQ59*U$22) + $A$3*Users!AQ71*U$23)/60</f>
        <v>1375485.9162222038</v>
      </c>
      <c r="V44" s="12">
        <f>($M$49*$I$54+$M$50*$I$55+$M$51*$I$56)*($A$2*(Users!AR47*V$24 + Users!AR59*V$22) + $A$3*Users!AR71*V$23)/60</f>
        <v>1434578.8873726747</v>
      </c>
      <c r="W44" s="12">
        <f>($M$49*$I$54+$M$50*$I$55+$M$51*$I$56)*($A$2*(Users!AS47*W$24 + Users!AS59*W$22) + $A$3*Users!AS71*W$23)/60</f>
        <v>1481841.2120184095</v>
      </c>
      <c r="X44" s="12">
        <f>($M$49*$I$54+$M$50*$I$55+$M$51*$I$56)*($A$2*(Users!AT47*X$24 + Users!AT59*X$22) + $A$3*Users!AT71*X$23)/60</f>
        <v>1539457.5689213702</v>
      </c>
      <c r="Y44" s="12">
        <f>($M$49*$I$54+$M$50*$I$55+$M$51*$I$56)*($A$2*(Users!AU47*Y$24 + Users!AU59*Y$22) + $A$3*Users!AU71*Y$23)/60</f>
        <v>1599872.5352875744</v>
      </c>
      <c r="Z44" s="12">
        <f>($M$49*$I$54+$M$50*$I$55+$M$51*$I$56)*($A$2*(Users!AV47*Z$24 + Users!AV59*Z$22) + $A$3*Users!AV71*Z$23)/60</f>
        <v>1662895.7887653552</v>
      </c>
      <c r="AA44" s="12">
        <f>($M$49*$I$54+$M$50*$I$55+$M$51*$I$56)*($A$2*(Users!AW47*AA$24 + Users!AW59*AA$22) + $A$3*Users!AW71*AA$23)/60</f>
        <v>1729422.1585674116</v>
      </c>
      <c r="AB44" s="12">
        <f>($M$49*$I$54+$M$50*$I$55+$M$51*$I$56)*($A$2*(Users!AX47*AB$24 + Users!AX59*AB$22) + $A$3*Users!AX71*AB$23)/60</f>
        <v>1799232.0352594142</v>
      </c>
      <c r="AC44" s="12">
        <f>($M$49*$I$54+$M$50*$I$55+$M$51*$I$56)*($A$2*(Users!AY47*AC$24 + Users!AY59*AC$22) + $A$3*Users!AY71*AC$23)/60</f>
        <v>1872539.0982150519</v>
      </c>
      <c r="AD44" s="12">
        <f>($M$49*$I$54+$M$50*$I$55+$M$51*$I$56)*($A$2*(Users!AZ47*AD$24 + Users!AZ59*AD$22) + $A$3*Users!AZ71*AD$23)/60</f>
        <v>1949563.597073429</v>
      </c>
      <c r="AE44" s="12">
        <f>($M$49*$I$54+$M$50*$I$55+$M$51*$I$56)*($A$2*(Users!BA47*AE$24 + Users!BA59*AE$22) + $A$3*Users!BA71*AE$23)/60</f>
        <v>2030042.9595884727</v>
      </c>
      <c r="AF44" s="12">
        <f>($M$49*$I$54+$M$50*$I$55+$M$51*$I$56)*($A$2*(Users!BB47*AF$24 + Users!BB59*AF$22) + $A$3*Users!BB71*AF$23)/60</f>
        <v>2114166.5804670546</v>
      </c>
      <c r="AG44" s="12">
        <f>($M$49*$I$54+$M$50*$I$55+$M$51*$I$56)*($A$2*(Users!BC47*AG$24 + Users!BC59*AG$22) + $A$3*Users!BC71*AG$23)/60</f>
        <v>2202131.000998083</v>
      </c>
      <c r="AH44" s="12">
        <f>($M$49*$I$54+$M$50*$I$55+$M$51*$I$56)*($A$2*(Users!BD47*AH$24 + Users!BD59*AH$22) + $A$3*Users!BD71*AH$23)/60</f>
        <v>2294142.6479036277</v>
      </c>
      <c r="AI44" s="12">
        <f>($M$49*$I$54+$M$50*$I$55+$M$51*$I$56)*($A$2*(Users!BE47*AI$24 + Users!BE59*AI$22) + $A$3*Users!BE71*AI$23)/60</f>
        <v>2390411.3877365631</v>
      </c>
      <c r="AJ44" s="12">
        <f>($M$49*$I$54+$M$50*$I$55+$M$51*$I$56)*($A$2*(Users!BF47*AJ$24 + Users!BF59*AJ$22) + $A$3*Users!BF71*AJ$23)/60</f>
        <v>2491146.9460641192</v>
      </c>
      <c r="AK44" s="12">
        <f>($M$49*$I$54+$M$50*$I$55+$M$51*$I$56)*($A$2*(Users!BG47*AK$24 + Users!BG59*AK$22) + $A$3*Users!BG71*AK$23)/60</f>
        <v>2596570.0243796157</v>
      </c>
      <c r="AL44" s="12">
        <f>($M$49*$I$54+$M$50*$I$55+$M$51*$I$56)*($A$2*(Users!BH47*AL$24 + Users!BH59*AL$22) + $A$3*Users!BH71*AL$23)/60</f>
        <v>2648631.3707863525</v>
      </c>
      <c r="AM44" s="12">
        <f>($M$49*$I$54+$M$50*$I$55+$M$51*$I$56)*($A$2*(Users!BI47*AM$24 + Users!BI59*AM$22) + $A$3*Users!BI71*AM$23)/60</f>
        <v>2702165.1417429219</v>
      </c>
      <c r="AN44" s="12">
        <f>($M$49*$I$54+$M$50*$I$55+$M$51*$I$56)*($A$2*(Users!BJ47*AN$24 + Users!BJ59*AN$22) + $A$3*Users!BJ71*AN$23)/60</f>
        <v>2757193.6414896683</v>
      </c>
      <c r="AO44" s="12">
        <f>($M$49*$I$54+$M$50*$I$55+$M$51*$I$56)*($A$2*(Users!BK47*AO$24 + Users!BK59*AO$22) + $A$3*Users!BK71*AO$23)/60</f>
        <v>2813731.2361534438</v>
      </c>
      <c r="AP44" s="12">
        <f>($M$49*$I$54+$M$50*$I$55+$M$51*$I$56)*($A$2*(Users!BL47*AP$24 + Users!BL59*AP$22) + $A$3*Users!BL71*AP$23)/60</f>
        <v>2871779.7855724702</v>
      </c>
      <c r="AQ44" s="12">
        <f>($M$49*$I$54+$M$50*$I$55+$M$51*$I$56)*($A$2*(Users!BM47*AQ$24 + Users!BM59*AQ$22) + $A$3*Users!BM71*AQ$23)/60</f>
        <v>2931337.7368163043</v>
      </c>
      <c r="AR44" s="12">
        <f>($M$49*$I$54+$M$50*$I$55+$M$51*$I$56)*($A$2*(Users!BN47*AR$24 + Users!BN59*AR$22) + $A$3*Users!BN71*AR$23)/60</f>
        <v>2992401.4949381226</v>
      </c>
      <c r="AS44" s="12">
        <f>($M$49*$I$54+$M$50*$I$55+$M$51*$I$56)*($A$2*(Users!BO47*AS$24 + Users!BO59*AS$22) + $A$3*Users!BO71*AS$23)/60</f>
        <v>3054965.0024569733</v>
      </c>
      <c r="AT44" s="12">
        <f>($M$49*$I$54+$M$50*$I$55+$M$51*$I$56)*($A$2*(Users!BP47*AT$24 + Users!BP59*AT$22) + $A$3*Users!BP71*AT$23)/60</f>
        <v>3119232.8270978127</v>
      </c>
      <c r="AU44" s="12">
        <f>($M$49*$I$54+$M$50*$I$55+$M$51*$I$56)*($A$2*(Users!BQ47*AU$24 + Users!BQ59*AU$22) + $A$3*Users!BQ71*AU$23)/60</f>
        <v>3184852.6650287341</v>
      </c>
      <c r="AV44" s="12">
        <f>($M$49*$I$54+$M$50*$I$55+$M$51*$I$56)*($A$2*(Users!BR47*AV$24 + Users!BR59*AV$22) + $A$3*Users!BR71*AV$23)/60</f>
        <v>3251852.9587860582</v>
      </c>
      <c r="AW44" s="12">
        <f>($M$49*$I$54+$M$50*$I$55+$M$51*$I$56)*($A$2*(Users!BS47*AW$24 + Users!BS59*AW$22) + $A$3*Users!BS71*AW$23)/60</f>
        <v>3320262.7492566439</v>
      </c>
      <c r="AX44" s="12">
        <f>($M$49*$I$54+$M$50*$I$55+$M$51*$I$56)*($A$2*(Users!BT47*AX$24 + Users!BT59*AX$22) + $A$3*Users!BT71*AX$23)/60</f>
        <v>3390711.7462534532</v>
      </c>
      <c r="AY44" s="12">
        <f>($M$49*$I$54+$M$50*$I$55+$M$51*$I$56)*($A$2*(Users!BU47*AY$24 + Users!BU59*AY$22) + $A$3*Users!BU71*AY$23)/60</f>
        <v>3462655.522896538</v>
      </c>
      <c r="AZ44" s="12">
        <f>($M$49*$I$54+$M$50*$I$55+$M$51*$I$56)*($A$2*(Users!BV47*AZ$24 + Users!BV59*AZ$22) + $A$3*Users!BV71*AZ$23)/60</f>
        <v>3536125.7952682441</v>
      </c>
      <c r="BA44" s="12">
        <f>($M$49*$I$54+$M$50*$I$55+$M$51*$I$56)*($A$2*(Users!BW47*BA$24 + Users!BW59*BA$22) + $A$3*Users!BW71*BA$23)/60</f>
        <v>3611154.9523995505</v>
      </c>
      <c r="BB44" s="12">
        <f>($M$49*$I$54+$M$50*$I$55+$M$51*$I$56)*($A$2*(Users!BX47*BB$24 + Users!BX59*BB$22) + $A$3*Users!BX71*BB$23)/60</f>
        <v>3687776.0705485852</v>
      </c>
      <c r="BC44" s="12">
        <f>($M$49*$I$54+$M$50*$I$55+$M$51*$I$56)*($A$2*(Users!BY47*BC$24 + Users!BY59*BC$22) + $A$3*Users!BY71*BC$23)/60</f>
        <v>3767080.2509468873</v>
      </c>
      <c r="BD44" s="12">
        <f>($M$49*$I$54+$M$50*$I$55+$M$51*$I$56)*($A$2*(Users!BZ47*BD$24 + Users!BZ59*BD$22) + $A$3*Users!BZ71*BD$23)/60</f>
        <v>3848089.8366920277</v>
      </c>
      <c r="BE44" s="12">
        <f>($M$49*$I$54+$M$50*$I$55+$M$51*$I$56)*($A$2*(Users!CA47*BE$24 + Users!CA59*BE$22) + $A$3*Users!CA71*BE$23)/60</f>
        <v>3930841.5018582051</v>
      </c>
      <c r="BF44" s="12">
        <f>($M$49*$I$54+$M$50*$I$55+$M$51*$I$56)*($A$2*(Users!CB47*BF$24 + Users!CB59*BF$22) + $A$3*Users!CB71*BF$23)/60</f>
        <v>4015372.7091812445</v>
      </c>
      <c r="BG44" s="12">
        <f>($M$49*$I$54+$M$50*$I$55+$M$51*$I$56)*($A$2*(Users!CC47*BG$24 + Users!CC59*BG$22) + $A$3*Users!CC71*BG$23)/60</f>
        <v>4101721.727018428</v>
      </c>
      <c r="BH44" s="12">
        <f>($M$49*$I$54+$M$50*$I$55+$M$51*$I$56)*($A$2*(Users!CD47*BH$24 + Users!CD59*BH$22) + $A$3*Users!CD71*BH$23)/60</f>
        <v>4191391.6638645655</v>
      </c>
      <c r="BI44" s="12">
        <f>($M$49*$I$54+$M$50*$I$55+$M$51*$I$56)*($A$2*(Users!CE47*BI$24 + Users!CE59*BI$22) + $A$3*Users!CE71*BI$23)/60</f>
        <v>4283021.9232555144</v>
      </c>
      <c r="BJ44" s="12">
        <f>($M$49*$I$54+$M$50*$I$55+$M$51*$I$56)*($A$2*(Users!CF47*BJ$24 + Users!CF59*BJ$22) + $A$3*Users!CF71*BJ$23)/60</f>
        <v>4376655.3608529856</v>
      </c>
      <c r="BK44" s="12">
        <f>($M$49*$I$54+$M$50*$I$55+$M$51*$I$56)*($A$2*(Users!CG47*BK$24 + Users!CG59*BK$22) + $A$3*Users!CG71*BK$23)/60</f>
        <v>4472335.7692092881</v>
      </c>
      <c r="BL44" s="12">
        <f>($M$49*$I$54+$M$50*$I$55+$M$51*$I$56)*($A$2*(Users!CH47*BL$24 + Users!CH59*BL$22) + $A$3*Users!CH71*BL$23)/60</f>
        <v>4570107.8982491661</v>
      </c>
      <c r="BM44" s="12">
        <f>($M$49*$I$54+$M$50*$I$55+$M$51*$I$56)*($A$2*(Users!CI47*BM$24 + Users!CI59*BM$22) + $A$3*Users!CI71*BM$23)/60</f>
        <v>4671211.9891241994</v>
      </c>
      <c r="BN44" s="12">
        <f>($M$49*$I$54+$M$50*$I$55+$M$51*$I$56)*($A$2*(Users!CJ47*BN$24 + Users!CJ59*BN$22) + $A$3*Users!CJ71*BN$23)/60</f>
        <v>4774552.7968162661</v>
      </c>
      <c r="BO44" s="12">
        <f>($M$49*$I$54+$M$50*$I$55+$M$51*$I$56)*($A$2*(Users!CK47*BO$24 + Users!CK59*BO$22) + $A$3*Users!CK71*BO$23)/60</f>
        <v>4880179.804012714</v>
      </c>
      <c r="BP44" s="12">
        <f>($M$49*$I$54+$M$50*$I$55+$M$51*$I$56)*($A$2*(Users!CL47*BP$24 + Users!CL59*BP$22) + $A$3*Users!CL71*BP$23)/60</f>
        <v>4988143.5881020166</v>
      </c>
      <c r="BQ44" s="12">
        <f>($M$49*$I$54+$M$50*$I$55+$M$51*$I$56)*($A$2*(Users!CM47*BQ$24 + Users!CM59*BQ$22) + $A$3*Users!CM71*BQ$23)/60</f>
        <v>5098495.8453916963</v>
      </c>
      <c r="BR44" s="12">
        <f>($M$49*$I$54+$M$50*$I$55+$M$51*$I$56)*($A$2*(Users!CN47*BR$24 + Users!CN59*BR$22) + $A$3*Users!CN71*BR$23)/60</f>
        <v>5211587.0506871054</v>
      </c>
      <c r="BS44" s="12">
        <f>($M$49*$I$54+$M$50*$I$55+$M$51*$I$56)*($A$2*(Users!CO47*BS$24 + Users!CO59*BS$22) + $A$3*Users!CO71*BS$23)/60</f>
        <v>5326976.1982648466</v>
      </c>
      <c r="BT44" s="12">
        <f>($M$49*$I$54+$M$50*$I$55+$M$51*$I$56)*($A$2*(Users!CP47*BT$24 + Users!CP59*BT$22) + $A$3*Users!CP71*BT$23)/60</f>
        <v>5444920.1636455404</v>
      </c>
      <c r="BU44" s="12">
        <f>($M$49*$I$54+$M$50*$I$55+$M$51*$I$56)*($A$2*(Users!CQ47*BU$24 + Users!CQ59*BU$22) + $A$3*Users!CQ71*BU$23)/60</f>
        <v>5565475.51275538</v>
      </c>
      <c r="BV44" s="12">
        <f>($M$49*$I$54+$M$50*$I$55+$M$51*$I$56)*($A$2*(Users!CR47*BV$24 + Users!CR59*BV$22) + $A$3*Users!CR71*BV$23)/60</f>
        <v>5688700.0639402168</v>
      </c>
      <c r="BW44" s="12">
        <f>($M$49*$I$54+$M$50*$I$55+$M$51*$I$56)*($A$2*(Users!CS47*BW$24 + Users!CS59*BW$22) + $A$3*Users!CS71*BW$23)/60</f>
        <v>5813632.4959939932</v>
      </c>
      <c r="BX44" s="12">
        <f>($M$49*$I$54+$M$50*$I$55+$M$51*$I$56)*($A$2*(Users!CT47*BX$24 + Users!CT59*BX$22) + $A$3*Users!CT71*BX$23)/60</f>
        <v>5941308.6326557677</v>
      </c>
      <c r="BY44" s="12">
        <f>($M$49*$I$54+$M$50*$I$55+$M$51*$I$56)*($A$2*(Users!CU47*BY$24 + Users!CU59*BY$22) + $A$3*Users!CU71*BY$23)/60</f>
        <v>6071788.7298162319</v>
      </c>
      <c r="BZ44" s="12">
        <f>($M$49*$I$54+$M$50*$I$55+$M$51*$I$56)*($A$2*(Users!CV47*BZ$24 + Users!CV59*BZ$22) + $A$3*Users!CV71*BZ$23)/60</f>
        <v>6205134.3666764218</v>
      </c>
    </row>
    <row r="45" spans="1:81">
      <c r="F45" s="17"/>
      <c r="G45" s="17"/>
      <c r="H45" s="17"/>
      <c r="I45" s="17"/>
      <c r="J45" s="17"/>
      <c r="K45" s="17"/>
      <c r="N45" s="17"/>
      <c r="O45" s="12" t="s">
        <v>262</v>
      </c>
      <c r="R45" s="12">
        <f>($M$49*$I$54+$M$50*$I$55+$M$51*$I$56)*($A$2*(Users!AN48*R$24 + Users!AN60*R$22) + $A$3*Users!AN72*R$23)/60</f>
        <v>1830860.0449673396</v>
      </c>
      <c r="S45" s="12">
        <f>($M$49*$I$54+$M$50*$I$55+$M$51*$I$56)*($A$2*(Users!AO48*S$24 + Users!AO60*S$22) + $A$3*Users!AO72*S$23)/60</f>
        <v>1887270.8791661055</v>
      </c>
      <c r="T45" s="12">
        <f>($M$49*$I$54+$M$50*$I$55+$M$51*$I$56)*($A$2*(Users!AP48*T$24 + Users!AP60*T$22) + $A$3*Users!AP72*T$23)/60</f>
        <v>1907549.749335845</v>
      </c>
      <c r="U45" s="12">
        <f>($M$49*$I$54+$M$50*$I$55+$M$51*$I$56)*($A$2*(Users!AQ48*U$24 + Users!AQ60*U$22) + $A$3*Users!AQ72*U$23)/60</f>
        <v>1961654.5665265203</v>
      </c>
      <c r="V45" s="12">
        <f>($M$49*$I$54+$M$50*$I$55+$M$51*$I$56)*($A$2*(Users!AR48*V$24 + Users!AR60*V$22) + $A$3*Users!AR72*V$23)/60</f>
        <v>2045930.2361933652</v>
      </c>
      <c r="W45" s="12">
        <f>($M$49*$I$54+$M$50*$I$55+$M$51*$I$56)*($A$2*(Users!AS48*W$24 + Users!AS60*W$22) + $A$3*Users!AS72*W$23)/60</f>
        <v>2113333.5835286845</v>
      </c>
      <c r="X45" s="12">
        <f>($M$49*$I$54+$M$50*$I$55+$M$51*$I$56)*($A$2*(Users!AT48*X$24 + Users!AT60*X$22) + $A$3*Users!AT72*X$23)/60</f>
        <v>2195503.3740676795</v>
      </c>
      <c r="Y45" s="12">
        <f>($M$49*$I$54+$M$50*$I$55+$M$51*$I$56)*($A$2*(Users!AU48*Y$24 + Users!AU60*Y$22) + $A$3*Users!AU72*Y$23)/60</f>
        <v>2281664.412331386</v>
      </c>
      <c r="Z45" s="12">
        <f>($M$49*$I$54+$M$50*$I$55+$M$51*$I$56)*($A$2*(Users!AV48*Z$24 + Users!AV60*Z$22) + $A$3*Users!AV72*Z$23)/60</f>
        <v>2371545.2693608776</v>
      </c>
      <c r="AA45" s="12">
        <f>($M$49*$I$54+$M$50*$I$55+$M$51*$I$56)*($A$2*(Users!AW48*AA$24 + Users!AW60*AA$22) + $A$3*Users!AW72*AA$23)/60</f>
        <v>2466422.1093034199</v>
      </c>
      <c r="AB45" s="12">
        <f>($M$49*$I$54+$M$50*$I$55+$M$51*$I$56)*($A$2*(Users!AX48*AB$24 + Users!AX60*AB$22) + $A$3*Users!AX72*AB$23)/60</f>
        <v>2565981.7353137224</v>
      </c>
      <c r="AC45" s="12">
        <f>($M$49*$I$54+$M$50*$I$55+$M$51*$I$56)*($A$2*(Users!AY48*AC$24 + Users!AY60*AC$22) + $A$3*Users!AY72*AC$23)/60</f>
        <v>2670528.8870581263</v>
      </c>
      <c r="AD45" s="12">
        <f>($M$49*$I$54+$M$50*$I$55+$M$51*$I$56)*($A$2*(Users!AZ48*AD$24 + Users!AZ60*AD$22) + $A$3*Users!AZ72*AD$23)/60</f>
        <v>2780377.6744124452</v>
      </c>
      <c r="AE45" s="12">
        <f>($M$49*$I$54+$M$50*$I$55+$M$51*$I$56)*($A$2*(Users!BA48*AE$24 + Users!BA60*AE$22) + $A$3*Users!BA72*AE$23)/60</f>
        <v>2895153.6289510257</v>
      </c>
      <c r="AF45" s="12">
        <f>($M$49*$I$54+$M$50*$I$55+$M$51*$I$56)*($A$2*(Users!BB48*AF$24 + Users!BB60*AF$22) + $A$3*Users!BB72*AF$23)/60</f>
        <v>3015126.8566685808</v>
      </c>
      <c r="AG45" s="12">
        <f>($M$49*$I$54+$M$50*$I$55+$M$51*$I$56)*($A$2*(Users!BC48*AG$24 + Users!BC60*AG$22) + $A$3*Users!BC72*AG$23)/60</f>
        <v>3140577.655685469</v>
      </c>
      <c r="AH45" s="12">
        <f>($M$49*$I$54+$M$50*$I$55+$M$51*$I$56)*($A$2*(Users!BD48*AH$24 + Users!BD60*AH$22) + $A$3*Users!BD72*AH$23)/60</f>
        <v>3271800.4222708363</v>
      </c>
      <c r="AI45" s="12">
        <f>($M$49*$I$54+$M$50*$I$55+$M$51*$I$56)*($A$2*(Users!BE48*AI$24 + Users!BE60*AI$22) + $A$3*Users!BE72*AI$23)/60</f>
        <v>3409094.4584218566</v>
      </c>
      <c r="AJ45" s="12">
        <f>($M$49*$I$54+$M$50*$I$55+$M$51*$I$56)*($A$2*(Users!BF48*AJ$24 + Users!BF60*AJ$22) + $A$3*Users!BF72*AJ$23)/60</f>
        <v>3552758.865068479</v>
      </c>
      <c r="AK45" s="12">
        <f>($M$49*$I$54+$M$50*$I$55+$M$51*$I$56)*($A$2*(Users!BG48*AK$24 + Users!BG60*AK$22) + $A$3*Users!BG72*AK$23)/60</f>
        <v>3703108.3965001544</v>
      </c>
      <c r="AL45" s="12">
        <f>($M$49*$I$54+$M$50*$I$55+$M$51*$I$56)*($A$2*(Users!BH48*AL$24 + Users!BH60*AL$22) + $A$3*Users!BH72*AL$23)/60</f>
        <v>3777355.8873060122</v>
      </c>
      <c r="AM45" s="12">
        <f>($M$49*$I$54+$M$50*$I$55+$M$51*$I$56)*($A$2*(Users!BI48*AM$24 + Users!BI60*AM$22) + $A$3*Users!BI72*AM$23)/60</f>
        <v>3853703.282086153</v>
      </c>
      <c r="AN45" s="12">
        <f>($M$49*$I$54+$M$50*$I$55+$M$51*$I$56)*($A$2*(Users!BJ48*AN$24 + Users!BJ60*AN$22) + $A$3*Users!BJ72*AN$23)/60</f>
        <v>3932182.3901193244</v>
      </c>
      <c r="AO45" s="12">
        <f>($M$49*$I$54+$M$50*$I$55+$M$51*$I$56)*($A$2*(Users!BK48*AO$24 + Users!BK60*AO$22) + $A$3*Users!BK72*AO$23)/60</f>
        <v>4012813.6997129763</v>
      </c>
      <c r="AP45" s="12">
        <f>($M$49*$I$54+$M$50*$I$55+$M$51*$I$56)*($A$2*(Users!BL48*AP$24 + Users!BL60*AP$22) + $A$3*Users!BL72*AP$23)/60</f>
        <v>4095599.8632825902</v>
      </c>
      <c r="AQ45" s="12">
        <f>($M$49*$I$54+$M$50*$I$55+$M$51*$I$56)*($A$2*(Users!BM48*AQ$24 + Users!BM60*AQ$22) + $A$3*Users!BM72*AQ$23)/60</f>
        <v>4180538.6661104062</v>
      </c>
      <c r="AR45" s="12">
        <f>($M$49*$I$54+$M$50*$I$55+$M$51*$I$56)*($A$2*(Users!BN48*AR$24 + Users!BN60*AR$22) + $A$3*Users!BN72*AR$23)/60</f>
        <v>4267624.98124908</v>
      </c>
      <c r="AS45" s="12">
        <f>($M$49*$I$54+$M$50*$I$55+$M$51*$I$56)*($A$2*(Users!BO48*AS$24 + Users!BO60*AS$22) + $A$3*Users!BO72*AS$23)/60</f>
        <v>4356850.1697986936</v>
      </c>
      <c r="AT45" s="12">
        <f>($M$49*$I$54+$M$50*$I$55+$M$51*$I$56)*($A$2*(Users!BP48*AT$24 + Users!BP60*AT$22) + $A$3*Users!BP72*AT$23)/60</f>
        <v>4448505.9768124707</v>
      </c>
      <c r="AU45" s="12">
        <f>($M$49*$I$54+$M$50*$I$55+$M$51*$I$56)*($A$2*(Users!BQ48*AU$24 + Users!BQ60*AU$22) + $A$3*Users!BQ72*AU$23)/60</f>
        <v>4542089.9628160987</v>
      </c>
      <c r="AV45" s="12">
        <f>($M$49*$I$54+$M$50*$I$55+$M$51*$I$56)*($A$2*(Users!BR48*AV$24 + Users!BR60*AV$22) + $A$3*Users!BR72*AV$23)/60</f>
        <v>4637642.6912429007</v>
      </c>
      <c r="AW45" s="12">
        <f>($M$49*$I$54+$M$50*$I$55+$M$51*$I$56)*($A$2*(Users!BS48*AW$24 + Users!BS60*AW$22) + $A$3*Users!BS72*AW$23)/60</f>
        <v>4735205.5788661502</v>
      </c>
      <c r="AX45" s="12">
        <f>($M$49*$I$54+$M$50*$I$55+$M$51*$I$56)*($A$2*(Users!BT48*AX$24 + Users!BT60*AX$22) + $A$3*Users!BT72*AX$23)/60</f>
        <v>4835676.6887743929</v>
      </c>
      <c r="AY45" s="12">
        <f>($M$49*$I$54+$M$50*$I$55+$M$51*$I$56)*($A$2*(Users!BU48*AY$24 + Users!BU60*AY$22) + $A$3*Users!BU72*AY$23)/60</f>
        <v>4938279.5844642911</v>
      </c>
      <c r="AZ45" s="12">
        <f>($M$49*$I$54+$M$50*$I$55+$M$51*$I$56)*($A$2*(Users!BV48*AZ$24 + Users!BV60*AZ$22) + $A$3*Users!BV72*AZ$23)/60</f>
        <v>5043059.4979495136</v>
      </c>
      <c r="BA45" s="12">
        <f>($M$49*$I$54+$M$50*$I$55+$M$51*$I$56)*($A$2*(Users!BW48*BA$24 + Users!BW60*BA$22) + $A$3*Users!BW72*BA$23)/60</f>
        <v>5150062.620972028</v>
      </c>
      <c r="BB45" s="12">
        <f>($M$49*$I$54+$M$50*$I$55+$M$51*$I$56)*($A$2*(Users!BX48*BB$24 + Users!BX60*BB$22) + $A$3*Users!BX72*BB$23)/60</f>
        <v>5259336.1253654724</v>
      </c>
      <c r="BC45" s="12">
        <f>($M$49*$I$54+$M$50*$I$55+$M$51*$I$56)*($A$2*(Users!BY48*BC$24 + Users!BY60*BC$22) + $A$3*Users!BY72*BC$23)/60</f>
        <v>5372436.0893769115</v>
      </c>
      <c r="BD45" s="12">
        <f>($M$49*$I$54+$M$50*$I$55+$M$51*$I$56)*($A$2*(Users!BZ48*BD$24 + Users!BZ60*BD$22) + $A$3*Users!BZ72*BD$23)/60</f>
        <v>5487968.2238285895</v>
      </c>
      <c r="BE45" s="12">
        <f>($M$49*$I$54+$M$50*$I$55+$M$51*$I$56)*($A$2*(Users!CA48*BE$24 + Users!CA60*BE$22) + $A$3*Users!CA72*BE$23)/60</f>
        <v>5605984.8315934669</v>
      </c>
      <c r="BF45" s="12">
        <f>($M$49*$I$54+$M$50*$I$55+$M$51*$I$56)*($A$2*(Users!CB48*BF$24 + Users!CB60*BF$22) + $A$3*Users!CB72*BF$23)/60</f>
        <v>5726539.3402973199</v>
      </c>
      <c r="BG45" s="12">
        <f>($M$49*$I$54+$M$50*$I$55+$M$51*$I$56)*($A$2*(Users!CC48*BG$24 + Users!CC60*BG$22) + $A$3*Users!CC72*BG$23)/60</f>
        <v>5849686.3265061034</v>
      </c>
      <c r="BH45" s="12">
        <f>($M$49*$I$54+$M$50*$I$55+$M$51*$I$56)*($A$2*(Users!CD48*BH$24 + Users!CD60*BH$22) + $A$3*Users!CD72*BH$23)/60</f>
        <v>5977569.4542210586</v>
      </c>
      <c r="BI45" s="12">
        <f>($M$49*$I$54+$M$50*$I$55+$M$51*$I$56)*($A$2*(Users!CE48*BI$24 + Users!CE60*BI$22) + $A$3*Users!CE72*BI$23)/60</f>
        <v>6108248.303525418</v>
      </c>
      <c r="BJ45" s="12">
        <f>($M$49*$I$54+$M$50*$I$55+$M$51*$I$56)*($A$2*(Users!CF48*BJ$24 + Users!CF60*BJ$22) + $A$3*Users!CF72*BJ$23)/60</f>
        <v>6241783.9931870941</v>
      </c>
      <c r="BK45" s="12">
        <f>($M$49*$I$54+$M$50*$I$55+$M$51*$I$56)*($A$2*(Users!CG48*BK$24 + Users!CG60*BK$22) + $A$3*Users!CG72*BK$23)/60</f>
        <v>6378238.9781241724</v>
      </c>
      <c r="BL45" s="12">
        <f>($M$49*$I$54+$M$50*$I$55+$M$51*$I$56)*($A$2*(Users!CH48*BL$24 + Users!CH60*BL$22) + $A$3*Users!CH72*BL$23)/60</f>
        <v>6517677.0786151355</v>
      </c>
      <c r="BM45" s="12">
        <f>($M$49*$I$54+$M$50*$I$55+$M$51*$I$56)*($A$2*(Users!CI48*BM$24 + Users!CI60*BM$22) + $A$3*Users!CI72*BM$23)/60</f>
        <v>6661867.0693816282</v>
      </c>
      <c r="BN45" s="12">
        <f>($M$49*$I$54+$M$50*$I$55+$M$51*$I$56)*($A$2*(Users!CJ48*BN$24 + Users!CJ60*BN$22) + $A$3*Users!CJ72*BN$23)/60</f>
        <v>6809246.9624992944</v>
      </c>
      <c r="BO45" s="12">
        <f>($M$49*$I$54+$M$50*$I$55+$M$51*$I$56)*($A$2*(Users!CK48*BO$24 + Users!CK60*BO$22) + $A$3*Users!CK72*BO$23)/60</f>
        <v>6959887.327894331</v>
      </c>
      <c r="BP45" s="12">
        <f>($M$49*$I$54+$M$50*$I$55+$M$51*$I$56)*($A$2*(Users!CL48*BP$24 + Users!CL60*BP$22) + $A$3*Users!CL72*BP$23)/60</f>
        <v>7113860.2967051947</v>
      </c>
      <c r="BQ45" s="12">
        <f>($M$49*$I$54+$M$50*$I$55+$M$51*$I$56)*($A$2*(Users!CM48*BQ$24 + Users!CM60*BQ$22) + $A$3*Users!CM72*BQ$23)/60</f>
        <v>7271239.5958210723</v>
      </c>
      <c r="BR45" s="12">
        <f>($M$49*$I$54+$M$50*$I$55+$M$51*$I$56)*($A$2*(Users!CN48*BR$24 + Users!CN60*BR$22) + $A$3*Users!CN72*BR$23)/60</f>
        <v>7432525.0562429624</v>
      </c>
      <c r="BS45" s="12">
        <f>($M$49*$I$54+$M$50*$I$55+$M$51*$I$56)*($A$2*(Users!CO48*BS$24 + Users!CO60*BS$22) + $A$3*Users!CO72*BS$23)/60</f>
        <v>7597087.735950483</v>
      </c>
      <c r="BT45" s="12">
        <f>($M$49*$I$54+$M$50*$I$55+$M$51*$I$56)*($A$2*(Users!CP48*BT$24 + Users!CP60*BT$22) + $A$3*Users!CP72*BT$23)/60</f>
        <v>7765293.9789622137</v>
      </c>
      <c r="BU45" s="12">
        <f>($M$49*$I$54+$M$50*$I$55+$M$51*$I$56)*($A$2*(Users!CQ48*BU$24 + Users!CQ60*BU$22) + $A$3*Users!CQ72*BU$23)/60</f>
        <v>7937224.4569928646</v>
      </c>
      <c r="BV45" s="12">
        <f>($M$49*$I$54+$M$50*$I$55+$M$51*$I$56)*($A$2*(Users!CR48*BV$24 + Users!CR60*BV$22) + $A$3*Users!CR72*BV$23)/60</f>
        <v>8112961.6279003043</v>
      </c>
      <c r="BW45" s="12">
        <f>($M$49*$I$54+$M$50*$I$55+$M$51*$I$56)*($A$2*(Users!CS48*BW$24 + Users!CS60*BW$22) + $A$3*Users!CS72*BW$23)/60</f>
        <v>8291134.4997234214</v>
      </c>
      <c r="BX45" s="12">
        <f>($M$49*$I$54+$M$50*$I$55+$M$51*$I$56)*($A$2*(Users!CT48*BX$24 + Users!CT60*BX$22) + $A$3*Users!CT72*BX$23)/60</f>
        <v>8473220.3164992929</v>
      </c>
      <c r="BY45" s="12">
        <f>($M$49*$I$54+$M$50*$I$55+$M$51*$I$56)*($A$2*(Users!CU48*BY$24 + Users!CU60*BY$22) + $A$3*Users!CU72*BY$23)/60</f>
        <v>8659305.0123998076</v>
      </c>
      <c r="BZ45" s="12">
        <f>($M$49*$I$54+$M$50*$I$55+$M$51*$I$56)*($A$2*(Users!CV48*BZ$24 + Users!CV60*BZ$22) + $A$3*Users!CV72*BZ$23)/60</f>
        <v>8849476.4088410065</v>
      </c>
    </row>
    <row r="46" spans="1:81">
      <c r="O46" s="12" t="s">
        <v>263</v>
      </c>
      <c r="R46" s="12">
        <f>($M$49*$I$54+$M$50*$I$55+$M$51*$I$56)*($A$2*(Users!AN49*R$24 + Users!AN61*R$22) + $A$3*Users!AN73*R$23)/60</f>
        <v>942954.34761093138</v>
      </c>
      <c r="S46" s="12">
        <f>($M$49*$I$54+$M$50*$I$55+$M$51*$I$56)*($A$2*(Users!AO49*S$24 + Users!AO61*S$22) + $A$3*Users!AO73*S$23)/60</f>
        <v>972007.8197789992</v>
      </c>
      <c r="T46" s="12">
        <f>($M$49*$I$54+$M$50*$I$55+$M$51*$I$56)*($A$2*(Users!AP49*T$24 + Users!AP61*T$22) + $A$3*Users!AP73*T$23)/60</f>
        <v>982452.11826252111</v>
      </c>
      <c r="U46" s="12">
        <f>($M$49*$I$54+$M$50*$I$55+$M$51*$I$56)*($A$2*(Users!AQ49*U$24 + Users!AQ61*U$22) + $A$3*Users!AQ73*U$23)/60</f>
        <v>1010317.9143056872</v>
      </c>
      <c r="V46" s="12">
        <f>($M$49*$I$54+$M$50*$I$55+$M$51*$I$56)*($A$2*(Users!AR49*V$24 + Users!AR61*V$22) + $A$3*Users!AR73*V$23)/60</f>
        <v>1053722.7115913213</v>
      </c>
      <c r="W46" s="12">
        <f>($M$49*$I$54+$M$50*$I$55+$M$51*$I$56)*($A$2*(Users!AS49*W$24 + Users!AS61*W$22) + $A$3*Users!AS73*W$23)/60</f>
        <v>1088437.6968181157</v>
      </c>
      <c r="X46" s="12">
        <f>($M$49*$I$54+$M$50*$I$55+$M$51*$I$56)*($A$2*(Users!AT49*X$24 + Users!AT61*X$22) + $A$3*Users!AT73*X$23)/60</f>
        <v>1130757.895701699</v>
      </c>
      <c r="Y46" s="12">
        <f>($M$49*$I$54+$M$50*$I$55+$M$51*$I$56)*($A$2*(Users!AU49*Y$24 + Users!AU61*Y$22) + $A$3*Users!AU73*Y$23)/60</f>
        <v>1175133.7210679047</v>
      </c>
      <c r="Z46" s="12">
        <f>($M$49*$I$54+$M$50*$I$55+$M$51*$I$56)*($A$2*(Users!AV49*Z$24 + Users!AV61*Z$22) + $A$3*Users!AV73*Z$23)/60</f>
        <v>1221425.3778965771</v>
      </c>
      <c r="AA46" s="12">
        <f>($M$49*$I$54+$M$50*$I$55+$M$51*$I$56)*($A$2*(Users!AW49*AA$24 + Users!AW61*AA$22) + $A$3*Users!AW73*AA$23)/60</f>
        <v>1270290.1335382366</v>
      </c>
      <c r="AB46" s="12">
        <f>($M$49*$I$54+$M$50*$I$55+$M$51*$I$56)*($A$2*(Users!AX49*AB$24 + Users!AX61*AB$22) + $A$3*Users!AX73*AB$23)/60</f>
        <v>1321566.6811099586</v>
      </c>
      <c r="AC46" s="12">
        <f>($M$49*$I$54+$M$50*$I$55+$M$51*$I$56)*($A$2*(Users!AY49*AC$24 + Users!AY61*AC$22) + $A$3*Users!AY73*AC$23)/60</f>
        <v>1375411.971763775</v>
      </c>
      <c r="AD46" s="12">
        <f>($M$49*$I$54+$M$50*$I$55+$M$51*$I$56)*($A$2*(Users!AZ49*AD$24 + Users!AZ61*AD$22) + $A$3*Users!AZ73*AD$23)/60</f>
        <v>1431987.7826239611</v>
      </c>
      <c r="AE46" s="12">
        <f>($M$49*$I$54+$M$50*$I$55+$M$51*$I$56)*($A$2*(Users!BA49*AE$24 + Users!BA61*AE$22) + $A$3*Users!BA73*AE$23)/60</f>
        <v>1491101.2498880737</v>
      </c>
      <c r="AF46" s="12">
        <f>($M$49*$I$54+$M$50*$I$55+$M$51*$I$56)*($A$2*(Users!BB49*AF$24 + Users!BB61*AF$22) + $A$3*Users!BB73*AF$23)/60</f>
        <v>1552891.4872053138</v>
      </c>
      <c r="AG46" s="12">
        <f>($M$49*$I$54+$M$50*$I$55+$M$51*$I$56)*($A$2*(Users!BC49*AG$24 + Users!BC61*AG$22) + $A$3*Users!BC73*AG$23)/60</f>
        <v>1617502.857511529</v>
      </c>
      <c r="AH46" s="12">
        <f>($M$49*$I$54+$M$50*$I$55+$M$51*$I$56)*($A$2*(Users!BD49*AH$24 + Users!BD61*AH$22) + $A$3*Users!BD73*AH$23)/60</f>
        <v>1685086.9847621813</v>
      </c>
      <c r="AI46" s="12">
        <f>($M$49*$I$54+$M$50*$I$55+$M$51*$I$56)*($A$2*(Users!BE49*AI$24 + Users!BE61*AI$22) + $A$3*Users!BE73*AI$23)/60</f>
        <v>1755798.0195272483</v>
      </c>
      <c r="AJ46" s="12">
        <f>($M$49*$I$54+$M$50*$I$55+$M$51*$I$56)*($A$2*(Users!BF49*AJ$24 + Users!BF61*AJ$22) + $A$3*Users!BF73*AJ$23)/60</f>
        <v>1829790.0088203417</v>
      </c>
      <c r="AK46" s="12">
        <f>($M$49*$I$54+$M$50*$I$55+$M$51*$I$56)*($A$2*(Users!BG49*AK$24 + Users!BG61*AK$22) + $A$3*Users!BG73*AK$23)/60</f>
        <v>1907225.0616603829</v>
      </c>
      <c r="AL46" s="12">
        <f>($M$49*$I$54+$M$50*$I$55+$M$51*$I$56)*($A$2*(Users!BH49*AL$24 + Users!BH61*AL$22) + $A$3*Users!BH73*AL$23)/60</f>
        <v>1945465.0103921467</v>
      </c>
      <c r="AM46" s="12">
        <f>($M$49*$I$54+$M$50*$I$55+$M$51*$I$56)*($A$2*(Users!BI49*AM$24 + Users!BI61*AM$22) + $A$3*Users!BI73*AM$23)/60</f>
        <v>1984786.4801214107</v>
      </c>
      <c r="AN46" s="12">
        <f>($M$49*$I$54+$M$50*$I$55+$M$51*$I$56)*($A$2*(Users!BJ49*AN$24 + Users!BJ61*AN$22) + $A$3*Users!BJ73*AN$23)/60</f>
        <v>2025205.8536939153</v>
      </c>
      <c r="AO46" s="12">
        <f>($M$49*$I$54+$M$50*$I$55+$M$51*$I$56)*($A$2*(Users!BK49*AO$24 + Users!BK61*AO$22) + $A$3*Users!BK73*AO$23)/60</f>
        <v>2066733.6832753688</v>
      </c>
      <c r="AP46" s="12">
        <f>($M$49*$I$54+$M$50*$I$55+$M$51*$I$56)*($A$2*(Users!BL49*AP$24 + Users!BL61*AP$22) + $A$3*Users!BL73*AP$23)/60</f>
        <v>2109371.334948733</v>
      </c>
      <c r="AQ46" s="12">
        <f>($M$49*$I$54+$M$50*$I$55+$M$51*$I$56)*($A$2*(Users!BM49*AQ$24 + Users!BM61*AQ$22) + $A$3*Users!BM73*AQ$23)/60</f>
        <v>2153117.6680600587</v>
      </c>
      <c r="AR46" s="12">
        <f>($M$49*$I$54+$M$50*$I$55+$M$51*$I$56)*($A$2*(Users!BN49*AR$24 + Users!BN61*AR$22) + $A$3*Users!BN73*AR$23)/60</f>
        <v>2197970.0420594555</v>
      </c>
      <c r="AS46" s="12">
        <f>($M$49*$I$54+$M$50*$I$55+$M$51*$I$56)*($A$2*(Users!BO49*AS$24 + Users!BO61*AS$22) + $A$3*Users!BO73*AS$23)/60</f>
        <v>2243924.0076236357</v>
      </c>
      <c r="AT46" s="12">
        <f>($M$49*$I$54+$M$50*$I$55+$M$51*$I$56)*($A$2*(Users!BP49*AT$24 + Users!BP61*AT$22) + $A$3*Users!BP73*AT$23)/60</f>
        <v>2291129.8232429121</v>
      </c>
      <c r="AU46" s="12">
        <f>($M$49*$I$54+$M$50*$I$55+$M$51*$I$56)*($A$2*(Users!BQ49*AU$24 + Users!BQ61*AU$22) + $A$3*Users!BQ73*AU$23)/60</f>
        <v>2339328.7157314192</v>
      </c>
      <c r="AV46" s="12">
        <f>($M$49*$I$54+$M$50*$I$55+$M$51*$I$56)*($A$2*(Users!BR49*AV$24 + Users!BR61*AV$22) + $A$3*Users!BR73*AV$23)/60</f>
        <v>2388541.5766181974</v>
      </c>
      <c r="AW46" s="12">
        <f>($M$49*$I$54+$M$50*$I$55+$M$51*$I$56)*($A$2*(Users!BS49*AW$24 + Users!BS61*AW$22) + $A$3*Users!BS73*AW$23)/60</f>
        <v>2438789.736930998</v>
      </c>
      <c r="AX46" s="12">
        <f>($M$49*$I$54+$M$50*$I$55+$M$51*$I$56)*($A$2*(Users!BT49*AX$24 + Users!BT61*AX$22) + $A$3*Users!BT73*AX$23)/60</f>
        <v>2490535.7292899955</v>
      </c>
      <c r="AY46" s="12">
        <f>($M$49*$I$54+$M$50*$I$55+$M$51*$I$56)*($A$2*(Users!BU49*AY$24 + Users!BU61*AY$22) + $A$3*Users!BU73*AY$23)/60</f>
        <v>2543379.662846908</v>
      </c>
      <c r="AZ46" s="12">
        <f>($M$49*$I$54+$M$50*$I$55+$M$51*$I$56)*($A$2*(Users!BV49*AZ$24 + Users!BV61*AZ$22) + $A$3*Users!BV73*AZ$23)/60</f>
        <v>2597344.8336062878</v>
      </c>
      <c r="BA46" s="12">
        <f>($M$49*$I$54+$M$50*$I$55+$M$51*$I$56)*($A$2*(Users!BW49*BA$24 + Users!BW61*BA$22) + $A$3*Users!BW73*BA$23)/60</f>
        <v>2652455.0318649579</v>
      </c>
      <c r="BB46" s="12">
        <f>($M$49*$I$54+$M$50*$I$55+$M$51*$I$56)*($A$2*(Users!BX49*BB$24 + Users!BX61*BB$22) + $A$3*Users!BX73*BB$23)/60</f>
        <v>2708734.5526998341</v>
      </c>
      <c r="BC46" s="12">
        <f>($M$49*$I$54+$M$50*$I$55+$M$51*$I$56)*($A$2*(Users!BY49*BC$24 + Users!BY61*BC$22) + $A$3*Users!BY73*BC$23)/60</f>
        <v>2766984.8286138116</v>
      </c>
      <c r="BD46" s="12">
        <f>($M$49*$I$54+$M$50*$I$55+$M$51*$I$56)*($A$2*(Users!BZ49*BD$24 + Users!BZ61*BD$22) + $A$3*Users!BZ73*BD$23)/60</f>
        <v>2826487.7539026341</v>
      </c>
      <c r="BE46" s="12">
        <f>($M$49*$I$54+$M$50*$I$55+$M$51*$I$56)*($A$2*(Users!CA49*BE$24 + Users!CA61*BE$22) + $A$3*Users!CA73*BE$23)/60</f>
        <v>2887270.2663006089</v>
      </c>
      <c r="BF46" s="12">
        <f>($M$49*$I$54+$M$50*$I$55+$M$51*$I$56)*($A$2*(Users!CB49*BF$24 + Users!CB61*BF$22) + $A$3*Users!CB73*BF$23)/60</f>
        <v>2949359.8828274836</v>
      </c>
      <c r="BG46" s="12">
        <f>($M$49*$I$54+$M$50*$I$55+$M$51*$I$56)*($A$2*(Users!CC49*BG$24 + Users!CC61*BG$22) + $A$3*Users!CC73*BG$23)/60</f>
        <v>3012784.7122457391</v>
      </c>
      <c r="BH46" s="12">
        <f>($M$49*$I$54+$M$50*$I$55+$M$51*$I$56)*($A$2*(Users!CD49*BH$24 + Users!CD61*BH$22) + $A$3*Users!CD73*BH$23)/60</f>
        <v>3078648.81343489</v>
      </c>
      <c r="BI46" s="12">
        <f>($M$49*$I$54+$M$50*$I$55+$M$51*$I$56)*($A$2*(Users!CE49*BI$24 + Users!CE61*BI$22) + $A$3*Users!CE73*BI$23)/60</f>
        <v>3145952.8050376656</v>
      </c>
      <c r="BJ46" s="12">
        <f>($M$49*$I$54+$M$50*$I$55+$M$51*$I$56)*($A$2*(Users!CF49*BJ$24 + Users!CF61*BJ$22) + $A$3*Users!CF73*BJ$23)/60</f>
        <v>3214728.1652700463</v>
      </c>
      <c r="BK46" s="12">
        <f>($M$49*$I$54+$M$50*$I$55+$M$51*$I$56)*($A$2*(Users!CG49*BK$24 + Users!CG61*BK$22) + $A$3*Users!CG73*BK$23)/60</f>
        <v>3285007.0605101786</v>
      </c>
      <c r="BL46" s="12">
        <f>($M$49*$I$54+$M$50*$I$55+$M$51*$I$56)*($A$2*(Users!CH49*BL$24 + Users!CH61*BL$22) + $A$3*Users!CH73*BL$23)/60</f>
        <v>3356822.3603426185</v>
      </c>
      <c r="BM46" s="12">
        <f>($M$49*$I$54+$M$50*$I$55+$M$51*$I$56)*($A$2*(Users!CI49*BM$24 + Users!CI61*BM$22) + $A$3*Users!CI73*BM$23)/60</f>
        <v>3431085.0430905349</v>
      </c>
      <c r="BN46" s="12">
        <f>($M$49*$I$54+$M$50*$I$55+$M$51*$I$56)*($A$2*(Users!CJ49*BN$24 + Users!CJ61*BN$22) + $A$3*Users!CJ73*BN$23)/60</f>
        <v>3506990.6325689568</v>
      </c>
      <c r="BO46" s="12">
        <f>($M$49*$I$54+$M$50*$I$55+$M$51*$I$56)*($A$2*(Users!CK49*BO$24 + Users!CK61*BO$22) + $A$3*Users!CK73*BO$23)/60</f>
        <v>3584575.4746574638</v>
      </c>
      <c r="BP46" s="12">
        <f>($M$49*$I$54+$M$50*$I$55+$M$51*$I$56)*($A$2*(Users!CL49*BP$24 + Users!CL61*BP$22) + $A$3*Users!CL73*BP$23)/60</f>
        <v>3663876.7193123251</v>
      </c>
      <c r="BQ46" s="12">
        <f>($M$49*$I$54+$M$50*$I$55+$M$51*$I$56)*($A$2*(Users!CM49*BQ$24 + Users!CM61*BQ$22) + $A$3*Users!CM73*BQ$23)/60</f>
        <v>3744932.3383549731</v>
      </c>
      <c r="BR46" s="12">
        <f>($M$49*$I$54+$M$50*$I$55+$M$51*$I$56)*($A$2*(Users!CN49*BR$24 + Users!CN61*BR$22) + $A$3*Users!CN73*BR$23)/60</f>
        <v>3827999.7615200062</v>
      </c>
      <c r="BS46" s="12">
        <f>($M$49*$I$54+$M$50*$I$55+$M$51*$I$56)*($A$2*(Users!CO49*BS$24 + Users!CO61*BS$22) + $A$3*Users!CO73*BS$23)/60</f>
        <v>3912755.0625662305</v>
      </c>
      <c r="BT46" s="12">
        <f>($M$49*$I$54+$M$50*$I$55+$M$51*$I$56)*($A$2*(Users!CP49*BT$24 + Users!CP61*BT$22) + $A$3*Users!CP73*BT$23)/60</f>
        <v>3999386.9209538796</v>
      </c>
      <c r="BU46" s="12">
        <f>($M$49*$I$54+$M$50*$I$55+$M$51*$I$56)*($A$2*(Users!CQ49*BU$24 + Users!CQ61*BU$22) + $A$3*Users!CQ73*BU$23)/60</f>
        <v>4087936.88532252</v>
      </c>
      <c r="BV46" s="12">
        <f>($M$49*$I$54+$M$50*$I$55+$M$51*$I$56)*($A$2*(Users!CR49*BV$24 + Users!CR61*BV$22) + $A$3*Users!CR73*BV$23)/60</f>
        <v>4178447.4242353812</v>
      </c>
      <c r="BW46" s="12">
        <f>($M$49*$I$54+$M$50*$I$55+$M$51*$I$56)*($A$2*(Users!CS49*BW$24 + Users!CS61*BW$22) + $A$3*Users!CS73*BW$23)/60</f>
        <v>4270212.4308363786</v>
      </c>
      <c r="BX46" s="12">
        <f>($M$49*$I$54+$M$50*$I$55+$M$51*$I$56)*($A$2*(Users!CT49*BX$24 + Users!CT61*BX$22) + $A$3*Users!CT73*BX$23)/60</f>
        <v>4363992.7353654234</v>
      </c>
      <c r="BY46" s="12">
        <f>($M$49*$I$54+$M$50*$I$55+$M$51*$I$56)*($A$2*(Users!CU49*BY$24 + Users!CU61*BY$22) + $A$3*Users!CU73*BY$23)/60</f>
        <v>4459832.5968040824</v>
      </c>
      <c r="BZ46" s="12">
        <f>($M$49*$I$54+$M$50*$I$55+$M$51*$I$56)*($A$2*(Users!CV49*BZ$24 + Users!CV61*BZ$22) + $A$3*Users!CV73*BZ$23)/60</f>
        <v>4557777.2461279845</v>
      </c>
    </row>
    <row r="47" spans="1:81">
      <c r="O47" s="12" t="s">
        <v>264</v>
      </c>
      <c r="R47" s="12">
        <f>($M$49*$I$54+$M$50*$I$55+$M$51*$I$56)*($A$2*(Users!AN50*R$24 + Users!AN62*R$22) + $A$3*Users!AN74*R$23)/60</f>
        <v>1321065.8006782483</v>
      </c>
      <c r="S47" s="12">
        <f>($M$49*$I$54+$M$50*$I$55+$M$51*$I$56)*($A$2*(Users!AO50*S$24 + Users!AO62*S$22) + $A$3*Users!AO74*S$23)/60</f>
        <v>1361769.3072365827</v>
      </c>
      <c r="T47" s="12">
        <f>($M$49*$I$54+$M$50*$I$55+$M$51*$I$56)*($A$2*(Users!AP50*T$24 + Users!AP62*T$22) + $A$3*Users!AP74*T$23)/60</f>
        <v>1376401.6227602498</v>
      </c>
      <c r="U47" s="12">
        <f>($M$49*$I$54+$M$50*$I$55+$M$51*$I$56)*($A$2*(Users!AQ50*U$24 + Users!AQ62*U$22) + $A$3*Users!AQ74*U$23)/60</f>
        <v>1415441.2117441383</v>
      </c>
      <c r="V47" s="12">
        <f>($M$49*$I$54+$M$50*$I$55+$M$51*$I$56)*($A$2*(Users!AR50*V$24 + Users!AR62*V$22) + $A$3*Users!AR74*V$23)/60</f>
        <v>1476250.723280621</v>
      </c>
      <c r="W47" s="12">
        <f>($M$49*$I$54+$M$50*$I$55+$M$51*$I$56)*($A$2*(Users!AS50*W$24 + Users!AS62*W$22) + $A$3*Users!AS74*W$23)/60</f>
        <v>1524885.9301391097</v>
      </c>
      <c r="X47" s="12">
        <f>($M$49*$I$54+$M$50*$I$55+$M$51*$I$56)*($A$2*(Users!AT50*X$24 + Users!AT62*X$22) + $A$3*Users!AT74*X$23)/60</f>
        <v>1584175.9345435132</v>
      </c>
      <c r="Y47" s="12">
        <f>($M$49*$I$54+$M$50*$I$55+$M$51*$I$56)*($A$2*(Users!AU50*Y$24 + Users!AU62*Y$22) + $A$3*Users!AU74*Y$23)/60</f>
        <v>1646345.8427863594</v>
      </c>
      <c r="Z47" s="12">
        <f>($M$49*$I$54+$M$50*$I$55+$M$51*$I$56)*($A$2*(Users!AV50*Z$24 + Users!AV62*Z$22) + $A$3*Users!AV74*Z$23)/60</f>
        <v>1711199.8040073169</v>
      </c>
      <c r="AA47" s="12">
        <f>($M$49*$I$54+$M$50*$I$55+$M$51*$I$56)*($A$2*(Users!AW50*AA$24 + Users!AW62*AA$22) + $A$3*Users!AW74*AA$23)/60</f>
        <v>1779658.6405355632</v>
      </c>
      <c r="AB47" s="12">
        <f>($M$49*$I$54+$M$50*$I$55+$M$51*$I$56)*($A$2*(Users!AX50*AB$24 + Users!AX62*AB$22) + $A$3*Users!AX74*AB$23)/60</f>
        <v>1851496.3636930829</v>
      </c>
      <c r="AC47" s="12">
        <f>($M$49*$I$54+$M$50*$I$55+$M$51*$I$56)*($A$2*(Users!AY50*AC$24 + Users!AY62*AC$22) + $A$3*Users!AY74*AC$23)/60</f>
        <v>1926932.8598400699</v>
      </c>
      <c r="AD47" s="12">
        <f>($M$49*$I$54+$M$50*$I$55+$M$51*$I$56)*($A$2*(Users!AZ50*AD$24 + Users!AZ62*AD$22) + $A$3*Users!AZ74*AD$23)/60</f>
        <v>2006194.7764560704</v>
      </c>
      <c r="AE47" s="12">
        <f>($M$49*$I$54+$M$50*$I$55+$M$51*$I$56)*($A$2*(Users!BA50*AE$24 + Users!BA62*AE$22) + $A$3*Users!BA74*AE$23)/60</f>
        <v>2089011.9140619242</v>
      </c>
      <c r="AF47" s="12">
        <f>($M$49*$I$54+$M$50*$I$55+$M$51*$I$56)*($A$2*(Users!BB50*AF$24 + Users!BB62*AF$22) + $A$3*Users!BB74*AF$23)/60</f>
        <v>2175579.1689268216</v>
      </c>
      <c r="AG47" s="12">
        <f>($M$49*$I$54+$M$50*$I$55+$M$51*$I$56)*($A$2*(Users!BC50*AG$24 + Users!BC62*AG$22) + $A$3*Users!BC74*AG$23)/60</f>
        <v>2266098.7914968403</v>
      </c>
      <c r="AH47" s="12">
        <f>($M$49*$I$54+$M$50*$I$55+$M$51*$I$56)*($A$2*(Users!BD50*AH$24 + Users!BD62*AH$22) + $A$3*Users!BD74*AH$23)/60</f>
        <v>2360783.2048045797</v>
      </c>
      <c r="AI47" s="12">
        <f>($M$49*$I$54+$M$50*$I$55+$M$51*$I$56)*($A$2*(Users!BE50*AI$24 + Users!BE62*AI$22) + $A$3*Users!BE74*AI$23)/60</f>
        <v>2459848.371634102</v>
      </c>
      <c r="AJ47" s="12">
        <f>($M$49*$I$54+$M$50*$I$55+$M$51*$I$56)*($A$2*(Users!BF50*AJ$24 + Users!BF62*AJ$22) + $A$3*Users!BF74*AJ$23)/60</f>
        <v>2563510.1096884548</v>
      </c>
      <c r="AK47" s="12">
        <f>($M$49*$I$54+$M$50*$I$55+$M$51*$I$56)*($A$2*(Users!BG50*AK$24 + Users!BG62*AK$22) + $A$3*Users!BG74*AK$23)/60</f>
        <v>2671995.5314269196</v>
      </c>
      <c r="AL47" s="12">
        <f>($M$49*$I$54+$M$50*$I$55+$M$51*$I$56)*($A$2*(Users!BH50*AL$24 + Users!BH62*AL$22) + $A$3*Users!BH74*AL$23)/60</f>
        <v>2725569.1626607263</v>
      </c>
      <c r="AM47" s="12">
        <f>($M$49*$I$54+$M$50*$I$55+$M$51*$I$56)*($A$2*(Users!BI50*AM$24 + Users!BI62*AM$22) + $A$3*Users!BI74*AM$23)/60</f>
        <v>2780657.9896260481</v>
      </c>
      <c r="AN47" s="12">
        <f>($M$49*$I$54+$M$50*$I$55+$M$51*$I$56)*($A$2*(Users!BJ50*AN$24 + Users!BJ62*AN$22) + $A$3*Users!BJ74*AN$23)/60</f>
        <v>2837284.964459728</v>
      </c>
      <c r="AO47" s="12">
        <f>($M$49*$I$54+$M$50*$I$55+$M$51*$I$56)*($A$2*(Users!BK50*AO$24 + Users!BK62*AO$22) + $A$3*Users!BK74*AO$23)/60</f>
        <v>2895464.8705977597</v>
      </c>
      <c r="AP47" s="12">
        <f>($M$49*$I$54+$M$50*$I$55+$M$51*$I$56)*($A$2*(Users!BL50*AP$24 + Users!BL62*AP$22) + $A$3*Users!BL74*AP$23)/60</f>
        <v>2955199.6219031899</v>
      </c>
      <c r="AQ47" s="12">
        <f>($M$49*$I$54+$M$50*$I$55+$M$51*$I$56)*($A$2*(Users!BM50*AQ$24 + Users!BM62*AQ$22) + $A$3*Users!BM74*AQ$23)/60</f>
        <v>3016487.6203358527</v>
      </c>
      <c r="AR47" s="12">
        <f>($M$49*$I$54+$M$50*$I$55+$M$51*$I$56)*($A$2*(Users!BN50*AR$24 + Users!BN62*AR$22) + $A$3*Users!BN74*AR$23)/60</f>
        <v>3079325.166522427</v>
      </c>
      <c r="AS47" s="12">
        <f>($M$49*$I$54+$M$50*$I$55+$M$51*$I$56)*($A$2*(Users!BO50*AS$24 + Users!BO62*AS$22) + $A$3*Users!BO74*AS$23)/60</f>
        <v>3143706.0270234621</v>
      </c>
      <c r="AT47" s="12">
        <f>($M$49*$I$54+$M$50*$I$55+$M$51*$I$56)*($A$2*(Users!BP50*AT$24 + Users!BP62*AT$22) + $A$3*Users!BP74*AT$23)/60</f>
        <v>3209840.7118740589</v>
      </c>
      <c r="AU47" s="12">
        <f>($M$49*$I$54+$M$50*$I$55+$M$51*$I$56)*($A$2*(Users!BQ50*AU$24 + Users!BQ62*AU$22) + $A$3*Users!BQ74*AU$23)/60</f>
        <v>3277366.6834743372</v>
      </c>
      <c r="AV47" s="12">
        <f>($M$49*$I$54+$M$50*$I$55+$M$51*$I$56)*($A$2*(Users!BR50*AV$24 + Users!BR62*AV$22) + $A$3*Users!BR74*AV$23)/60</f>
        <v>3346313.2105631381</v>
      </c>
      <c r="AW47" s="12">
        <f>($M$49*$I$54+$M$50*$I$55+$M$51*$I$56)*($A$2*(Users!BS50*AW$24 + Users!BS62*AW$22) + $A$3*Users!BS74*AW$23)/60</f>
        <v>3416710.1776108248</v>
      </c>
      <c r="AX47" s="12">
        <f>($M$49*$I$54+$M$50*$I$55+$M$51*$I$56)*($A$2*(Users!BT50*AX$24 + Users!BT62*AX$22) + $A$3*Users!BT74*AX$23)/60</f>
        <v>3489205.5863236911</v>
      </c>
      <c r="AY47" s="12">
        <f>($M$49*$I$54+$M$50*$I$55+$M$51*$I$56)*($A$2*(Users!BU50*AY$24 + Users!BU62*AY$22) + $A$3*Users!BU74*AY$23)/60</f>
        <v>3563239.1952382922</v>
      </c>
      <c r="AZ47" s="12">
        <f>($M$49*$I$54+$M$50*$I$55+$M$51*$I$56)*($A$2*(Users!BV50*AZ$24 + Users!BV62*AZ$22) + $A$3*Users!BV74*AZ$23)/60</f>
        <v>3638843.6417298978</v>
      </c>
      <c r="BA47" s="12">
        <f>($M$49*$I$54+$M$50*$I$55+$M$51*$I$56)*($A$2*(Users!BW50*BA$24 + Users!BW62*BA$22) + $A$3*Users!BW74*BA$23)/60</f>
        <v>3716052.2556703109</v>
      </c>
      <c r="BB47" s="12">
        <f>($M$49*$I$54+$M$50*$I$55+$M$51*$I$56)*($A$2*(Users!BX50*BB$24 + Users!BX62*BB$22) + $A$3*Users!BX74*BB$23)/60</f>
        <v>3794899.0741211576</v>
      </c>
      <c r="BC47" s="12">
        <f>($M$49*$I$54+$M$50*$I$55+$M$51*$I$56)*($A$2*(Users!BY50*BC$24 + Users!BY62*BC$22) + $A$3*Users!BY74*BC$23)/60</f>
        <v>3876506.8927658186</v>
      </c>
      <c r="BD47" s="12">
        <f>($M$49*$I$54+$M$50*$I$55+$M$51*$I$56)*($A$2*(Users!BZ50*BD$24 + Users!BZ62*BD$22) + $A$3*Users!BZ74*BD$23)/60</f>
        <v>3959869.655595785</v>
      </c>
      <c r="BE47" s="12">
        <f>($M$49*$I$54+$M$50*$I$55+$M$51*$I$56)*($A$2*(Users!CA50*BE$24 + Users!CA62*BE$22) + $A$3*Users!CA74*BE$23)/60</f>
        <v>4045025.1019985811</v>
      </c>
      <c r="BF47" s="12">
        <f>($M$49*$I$54+$M$50*$I$55+$M$51*$I$56)*($A$2*(Users!CB50*BF$24 + Users!CB62*BF$22) + $A$3*Users!CB74*BF$23)/60</f>
        <v>4132011.7829324962</v>
      </c>
      <c r="BG47" s="12">
        <f>($M$49*$I$54+$M$50*$I$55+$M$51*$I$56)*($A$2*(Users!CC50*BG$24 + Users!CC62*BG$22) + $A$3*Users!CC74*BG$23)/60</f>
        <v>4220869.0783790862</v>
      </c>
      <c r="BH47" s="12">
        <f>($M$49*$I$54+$M$50*$I$55+$M$51*$I$56)*($A$2*(Users!CD50*BH$24 + Users!CD62*BH$22) + $A$3*Users!CD74*BH$23)/60</f>
        <v>4313143.7593260994</v>
      </c>
      <c r="BI47" s="12">
        <f>($M$49*$I$54+$M$50*$I$55+$M$51*$I$56)*($A$2*(Users!CE50*BI$24 + Users!CE62*BI$22) + $A$3*Users!CE74*BI$23)/60</f>
        <v>4407435.7065246394</v>
      </c>
      <c r="BJ47" s="12">
        <f>($M$49*$I$54+$M$50*$I$55+$M$51*$I$56)*($A$2*(Users!CF50*BJ$24 + Users!CF62*BJ$22) + $A$3*Users!CF74*BJ$23)/60</f>
        <v>4503789.0205132952</v>
      </c>
      <c r="BK47" s="12">
        <f>($M$49*$I$54+$M$50*$I$55+$M$51*$I$56)*($A$2*(Users!CG50*BK$24 + Users!CG62*BK$22) + $A$3*Users!CG74*BK$23)/60</f>
        <v>4602248.7659361949</v>
      </c>
      <c r="BL47" s="12">
        <f>($M$49*$I$54+$M$50*$I$55+$M$51*$I$56)*($A$2*(Users!CH50*BL$24 + Users!CH62*BL$22) + $A$3*Users!CH74*BL$23)/60</f>
        <v>4702860.9926197669</v>
      </c>
      <c r="BM47" s="12">
        <f>($M$49*$I$54+$M$50*$I$55+$M$51*$I$56)*($A$2*(Users!CI50*BM$24 + Users!CI62*BM$22) + $A$3*Users!CI74*BM$23)/60</f>
        <v>4806901.9684034307</v>
      </c>
      <c r="BN47" s="12">
        <f>($M$49*$I$54+$M$50*$I$55+$M$51*$I$56)*($A$2*(Users!CJ50*BN$24 + Users!CJ62*BN$22) + $A$3*Users!CJ74*BN$23)/60</f>
        <v>4913244.6334479554</v>
      </c>
      <c r="BO47" s="12">
        <f>($M$49*$I$54+$M$50*$I$55+$M$51*$I$56)*($A$2*(Users!CK50*BO$24 + Users!CK62*BO$22) + $A$3*Users!CK74*BO$23)/60</f>
        <v>5021939.9078202825</v>
      </c>
      <c r="BP47" s="12">
        <f>($M$49*$I$54+$M$50*$I$55+$M$51*$I$56)*($A$2*(Users!CL50*BP$24 + Users!CL62*BP$22) + $A$3*Users!CL74*BP$23)/60</f>
        <v>5133039.8380875112</v>
      </c>
      <c r="BQ47" s="12">
        <f>($M$49*$I$54+$M$50*$I$55+$M$51*$I$56)*($A$2*(Users!CM50*BQ$24 + Users!CM62*BQ$22) + $A$3*Users!CM74*BQ$23)/60</f>
        <v>5246597.622238297</v>
      </c>
      <c r="BR47" s="12">
        <f>($M$49*$I$54+$M$50*$I$55+$M$51*$I$56)*($A$2*(Users!CN50*BR$24 + Users!CN62*BR$22) + $A$3*Users!CN74*BR$23)/60</f>
        <v>5362973.9157161573</v>
      </c>
      <c r="BS47" s="12">
        <f>($M$49*$I$54+$M$50*$I$55+$M$51*$I$56)*($A$2*(Users!CO50*BS$24 + Users!CO62*BS$22) + $A$3*Users!CO74*BS$23)/60</f>
        <v>5481714.9024055293</v>
      </c>
      <c r="BT47" s="12">
        <f>($M$49*$I$54+$M$50*$I$55+$M$51*$I$56)*($A$2*(Users!CP50*BT$24 + Users!CP62*BT$22) + $A$3*Users!CP74*BT$23)/60</f>
        <v>5603084.9195808955</v>
      </c>
      <c r="BU47" s="12">
        <f>($M$49*$I$54+$M$50*$I$55+$M$51*$I$56)*($A$2*(Users!CQ50*BU$24 + Users!CQ62*BU$22) + $A$3*Users!CQ74*BU$23)/60</f>
        <v>5727142.1763028884</v>
      </c>
      <c r="BV47" s="12">
        <f>($M$49*$I$54+$M$50*$I$55+$M$51*$I$56)*($A$2*(Users!CR50*BV$24 + Users!CR62*BV$22) + $A$3*Users!CR74*BV$23)/60</f>
        <v>5853946.170432278</v>
      </c>
      <c r="BW47" s="12">
        <f>($M$49*$I$54+$M$50*$I$55+$M$51*$I$56)*($A$2*(Users!CS50*BW$24 + Users!CS62*BW$22) + $A$3*Users!CS74*BW$23)/60</f>
        <v>5982507.6561783608</v>
      </c>
      <c r="BX47" s="12">
        <f>($M$49*$I$54+$M$50*$I$55+$M$51*$I$56)*($A$2*(Users!CT50*BX$24 + Users!CT62*BX$22) + $A$3*Users!CT74*BX$23)/60</f>
        <v>6113892.5460241949</v>
      </c>
      <c r="BY47" s="12">
        <f>($M$49*$I$54+$M$50*$I$55+$M$51*$I$56)*($A$2*(Users!CU50*BY$24 + Users!CU62*BY$22) + $A$3*Users!CU74*BY$23)/60</f>
        <v>6248162.8461815007</v>
      </c>
      <c r="BZ47" s="12">
        <f>($M$49*$I$54+$M$50*$I$55+$M$51*$I$56)*($A$2*(Users!CV50*BZ$24 + Users!CV62*BZ$22) + $A$3*Users!CV74*BZ$23)/60</f>
        <v>6385381.9246120276</v>
      </c>
    </row>
    <row r="48" spans="1:81">
      <c r="E48" s="12"/>
      <c r="F48" s="12"/>
      <c r="G48" s="12"/>
      <c r="H48" s="12"/>
      <c r="I48" s="12"/>
      <c r="J48" s="12"/>
      <c r="K48" s="12"/>
      <c r="M48" t="s">
        <v>192</v>
      </c>
      <c r="O48" s="12" t="s">
        <v>265</v>
      </c>
      <c r="R48" s="12">
        <f>($M$49*$I$54+$M$50*$I$55+$M$51*$I$56)*($A$2*(Users!AN51*R$24 + Users!AN63*R$22) + $A$3*Users!AN75*R$23)/60</f>
        <v>7283186.0331589552</v>
      </c>
      <c r="S48" s="12">
        <f>($M$49*$I$54+$M$50*$I$55+$M$51*$I$56)*($A$2*(Users!AO51*S$24 + Users!AO63*S$22) + $A$3*Users!AO75*S$23)/60</f>
        <v>7507589.0949247312</v>
      </c>
      <c r="T48" s="12">
        <f>($M$49*$I$54+$M$50*$I$55+$M$51*$I$56)*($A$2*(Users!AP51*T$24 + Users!AP63*T$22) + $A$3*Users!AP75*T$23)/60</f>
        <v>7588258.7148634447</v>
      </c>
      <c r="U48" s="12">
        <f>($M$49*$I$54+$M$50*$I$55+$M$51*$I$56)*($A$2*(Users!AQ51*U$24 + Users!AQ63*U$22) + $A$3*Users!AQ75*U$23)/60</f>
        <v>7803488.4097671704</v>
      </c>
      <c r="V48" s="12">
        <f>($M$49*$I$54+$M$50*$I$55+$M$51*$I$56)*($A$2*(Users!AR51*V$24 + Users!AR63*V$22) + $A$3*Users!AR75*V$23)/60</f>
        <v>8138738.1640779283</v>
      </c>
      <c r="W48" s="12">
        <f>($M$49*$I$54+$M$50*$I$55+$M$51*$I$56)*($A$2*(Users!AS51*W$24 + Users!AS63*W$22) + $A$3*Users!AS75*W$23)/60</f>
        <v>8406869.5918460842</v>
      </c>
      <c r="X48" s="12">
        <f>($M$49*$I$54+$M$50*$I$55+$M$51*$I$56)*($A$2*(Users!AT51*X$24 + Users!AT63*X$22) + $A$3*Users!AT75*X$23)/60</f>
        <v>8733742.1304905526</v>
      </c>
      <c r="Y48" s="12">
        <f>($M$49*$I$54+$M$50*$I$55+$M$51*$I$56)*($A$2*(Users!AU51*Y$24 + Users!AU63*Y$22) + $A$3*Users!AU75*Y$23)/60</f>
        <v>9076491.9065914862</v>
      </c>
      <c r="Z48" s="12">
        <f>($M$49*$I$54+$M$50*$I$55+$M$51*$I$56)*($A$2*(Users!AV51*Z$24 + Users!AV63*Z$22) + $A$3*Users!AV75*Z$23)/60</f>
        <v>9434039.1720774341</v>
      </c>
      <c r="AA48" s="12">
        <f>($M$49*$I$54+$M$50*$I$55+$M$51*$I$56)*($A$2*(Users!AW51*AA$24 + Users!AW63*AA$22) + $A$3*Users!AW75*AA$23)/60</f>
        <v>9811460.5251946282</v>
      </c>
      <c r="AB48" s="12">
        <f>($M$49*$I$54+$M$50*$I$55+$M$51*$I$56)*($A$2*(Users!AX51*AB$24 + Users!AX63*AB$22) + $A$3*Users!AX75*AB$23)/60</f>
        <v>10207510.064654483</v>
      </c>
      <c r="AC48" s="12">
        <f>($M$49*$I$54+$M$50*$I$55+$M$51*$I$56)*($A$2*(Users!AY51*AC$24 + Users!AY63*AC$22) + $A$3*Users!AY75*AC$23)/60</f>
        <v>10623400.04897329</v>
      </c>
      <c r="AD48" s="12">
        <f>($M$49*$I$54+$M$50*$I$55+$M$51*$I$56)*($A$2*(Users!AZ51*AD$24 + Users!AZ63*AD$22) + $A$3*Users!AZ75*AD$23)/60</f>
        <v>11060380.011487406</v>
      </c>
      <c r="AE48" s="12">
        <f>($M$49*$I$54+$M$50*$I$55+$M$51*$I$56)*($A$2*(Users!BA51*AE$24 + Users!BA63*AE$22) + $A$3*Users!BA75*AE$23)/60</f>
        <v>11516960.311732471</v>
      </c>
      <c r="AF48" s="12">
        <f>($M$49*$I$54+$M$50*$I$55+$M$51*$I$56)*($A$2*(Users!BB51*AF$24 + Users!BB63*AF$22) + $A$3*Users!BB75*AF$23)/60</f>
        <v>11994215.435010381</v>
      </c>
      <c r="AG48" s="12">
        <f>($M$49*$I$54+$M$50*$I$55+$M$51*$I$56)*($A$2*(Users!BC51*AG$24 + Users!BC63*AG$22) + $A$3*Users!BC75*AG$23)/60</f>
        <v>12493260.411036788</v>
      </c>
      <c r="AH48" s="12">
        <f>($M$49*$I$54+$M$50*$I$55+$M$51*$I$56)*($A$2*(Users!BD51*AH$24 + Users!BD63*AH$22) + $A$3*Users!BD75*AH$23)/60</f>
        <v>13015266.352153974</v>
      </c>
      <c r="AI48" s="12">
        <f>($M$49*$I$54+$M$50*$I$55+$M$51*$I$56)*($A$2*(Users!BE51*AI$24 + Users!BE63*AI$22) + $A$3*Users!BE75*AI$23)/60</f>
        <v>13561423.885756699</v>
      </c>
      <c r="AJ48" s="12">
        <f>($M$49*$I$54+$M$50*$I$55+$M$51*$I$56)*($A$2*(Users!BF51*AJ$24 + Users!BF63*AJ$22) + $A$3*Users!BF75*AJ$23)/60</f>
        <v>14132922.83939158</v>
      </c>
      <c r="AK48" s="12">
        <f>($M$49*$I$54+$M$50*$I$55+$M$51*$I$56)*($A$2*(Users!BG51*AK$24 + Users!BG63*AK$22) + $A$3*Users!BG75*AK$23)/60</f>
        <v>14731015.309881154</v>
      </c>
      <c r="AL48" s="12">
        <f>($M$49*$I$54+$M$50*$I$55+$M$51*$I$56)*($A$2*(Users!BH51*AL$24 + Users!BH63*AL$22) + $A$3*Users!BH75*AL$23)/60</f>
        <v>15026372.832986623</v>
      </c>
      <c r="AM48" s="12">
        <f>($M$49*$I$54+$M$50*$I$55+$M$51*$I$56)*($A$2*(Users!BI51*AM$24 + Users!BI63*AM$22) + $A$3*Users!BI75*AM$23)/60</f>
        <v>15330083.802516641</v>
      </c>
      <c r="AN48" s="12">
        <f>($M$49*$I$54+$M$50*$I$55+$M$51*$I$56)*($A$2*(Users!BJ51*AN$24 + Users!BJ63*AN$22) + $A$3*Users!BJ75*AN$23)/60</f>
        <v>15642274.75621248</v>
      </c>
      <c r="AO48" s="12">
        <f>($M$49*$I$54+$M$50*$I$55+$M$51*$I$56)*($A$2*(Users!BK51*AO$24 + Users!BK63*AO$22) + $A$3*Users!BK75*AO$23)/60</f>
        <v>15963027.196838425</v>
      </c>
      <c r="AP48" s="12">
        <f>($M$49*$I$54+$M$50*$I$55+$M$51*$I$56)*($A$2*(Users!BL51*AP$24 + Users!BL63*AP$22) + $A$3*Users!BL75*AP$23)/60</f>
        <v>16292351.675739152</v>
      </c>
      <c r="AQ48" s="12">
        <f>($M$49*$I$54+$M$50*$I$55+$M$51*$I$56)*($A$2*(Users!BM51*AQ$24 + Users!BM63*AQ$22) + $A$3*Users!BM75*AQ$23)/60</f>
        <v>16630239.382737435</v>
      </c>
      <c r="AR48" s="12">
        <f>($M$49*$I$54+$M$50*$I$55+$M$51*$I$56)*($A$2*(Users!BN51*AR$24 + Users!BN63*AR$22) + $A$3*Users!BN75*AR$23)/60</f>
        <v>16976669.922767371</v>
      </c>
      <c r="AS48" s="12">
        <f>($M$49*$I$54+$M$50*$I$55+$M$51*$I$56)*($A$2*(Users!BO51*AS$24 + Users!BO63*AS$22) + $A$3*Users!BO75*AS$23)/60</f>
        <v>17331608.930168193</v>
      </c>
      <c r="AT48" s="12">
        <f>($M$49*$I$54+$M$50*$I$55+$M$51*$I$56)*($A$2*(Users!BP51*AT$24 + Users!BP63*AT$22) + $A$3*Users!BP75*AT$23)/60</f>
        <v>17696216.970709354</v>
      </c>
      <c r="AU48" s="12">
        <f>($M$49*$I$54+$M$50*$I$55+$M$51*$I$56)*($A$2*(Users!BQ51*AU$24 + Users!BQ63*AU$22) + $A$3*Users!BQ75*AU$23)/60</f>
        <v>18068495.333363295</v>
      </c>
      <c r="AV48" s="12">
        <f>($M$49*$I$54+$M$50*$I$55+$M$51*$I$56)*($A$2*(Users!BR51*AV$24 + Users!BR63*AV$22) + $A$3*Users!BR75*AV$23)/60</f>
        <v>18448605.380016662</v>
      </c>
      <c r="AW48" s="12">
        <f>($M$49*$I$54+$M$50*$I$55+$M$51*$I$56)*($A$2*(Users!BS51*AW$24 + Users!BS63*AW$22) + $A$3*Users!BS75*AW$23)/60</f>
        <v>18836711.867153954</v>
      </c>
      <c r="AX48" s="12">
        <f>($M$49*$I$54+$M$50*$I$55+$M$51*$I$56)*($A$2*(Users!BT51*AX$24 + Users!BT63*AX$22) + $A$3*Users!BT75*AX$23)/60</f>
        <v>19236387.30189357</v>
      </c>
      <c r="AY48" s="12">
        <f>($M$49*$I$54+$M$50*$I$55+$M$51*$I$56)*($A$2*(Users!BU51*AY$24 + Users!BU63*AY$22) + $A$3*Users!BU75*AY$23)/60</f>
        <v>19644543.009318843</v>
      </c>
      <c r="AZ48" s="12">
        <f>($M$49*$I$54+$M$50*$I$55+$M$51*$I$56)*($A$2*(Users!BV51*AZ$24 + Users!BV63*AZ$22) + $A$3*Users!BV75*AZ$23)/60</f>
        <v>20061358.922992244</v>
      </c>
      <c r="BA48" s="12">
        <f>($M$49*$I$54+$M$50*$I$55+$M$51*$I$56)*($A$2*(Users!BW51*BA$24 + Users!BW63*BA$22) + $A$3*Users!BW75*BA$23)/60</f>
        <v>20487018.794288341</v>
      </c>
      <c r="BB48" s="12">
        <f>($M$49*$I$54+$M$50*$I$55+$M$51*$I$56)*($A$2*(Users!BX51*BB$24 + Users!BX63*BB$22) + $A$3*Users!BX75*BB$23)/60</f>
        <v>20921710.273399659</v>
      </c>
      <c r="BC48" s="12">
        <f>($M$49*$I$54+$M$50*$I$55+$M$51*$I$56)*($A$2*(Users!BY51*BC$24 + Users!BY63*BC$22) + $A$3*Users!BY75*BC$23)/60</f>
        <v>21371623.460649092</v>
      </c>
      <c r="BD48" s="12">
        <f>($M$49*$I$54+$M$50*$I$55+$M$51*$I$56)*($A$2*(Users!BZ51*BD$24 + Users!BZ63*BD$22) + $A$3*Users!BZ75*BD$23)/60</f>
        <v>21831211.85482071</v>
      </c>
      <c r="BE48" s="12">
        <f>($M$49*$I$54+$M$50*$I$55+$M$51*$I$56)*($A$2*(Users!CA51*BE$24 + Users!CA63*BE$22) + $A$3*Users!CA75*BE$23)/60</f>
        <v>22300683.517450862</v>
      </c>
      <c r="BF48" s="12">
        <f>($M$49*$I$54+$M$50*$I$55+$M$51*$I$56)*($A$2*(Users!CB51*BF$24 + Users!CB63*BF$22) + $A$3*Users!CB75*BF$23)/60</f>
        <v>22780250.984357879</v>
      </c>
      <c r="BG48" s="12">
        <f>($M$49*$I$54+$M$50*$I$55+$M$51*$I$56)*($A$2*(Users!CC51*BG$24 + Users!CC63*BG$22) + $A$3*Users!CC75*BG$23)/60</f>
        <v>23270131.361859601</v>
      </c>
      <c r="BH48" s="12">
        <f>($M$49*$I$54+$M$50*$I$55+$M$51*$I$56)*($A$2*(Users!CD51*BH$24 + Users!CD63*BH$22) + $A$3*Users!CD75*BH$23)/60</f>
        <v>23778852.174359974</v>
      </c>
      <c r="BI48" s="12">
        <f>($M$49*$I$54+$M$50*$I$55+$M$51*$I$56)*($A$2*(Users!CE51*BI$24 + Users!CE63*BI$22) + $A$3*Users!CE75*BI$23)/60</f>
        <v>24298694.405173291</v>
      </c>
      <c r="BJ48" s="12">
        <f>($M$49*$I$54+$M$50*$I$55+$M$51*$I$56)*($A$2*(Users!CF51*BJ$24 + Users!CF63*BJ$22) + $A$3*Users!CF75*BJ$23)/60</f>
        <v>24829901.185585342</v>
      </c>
      <c r="BK48" s="12">
        <f>($M$49*$I$54+$M$50*$I$55+$M$51*$I$56)*($A$2*(Users!CG51*BK$24 + Users!CG63*BK$22) + $A$3*Users!CG75*BK$23)/60</f>
        <v>25372720.962105382</v>
      </c>
      <c r="BL48" s="12">
        <f>($M$49*$I$54+$M$50*$I$55+$M$51*$I$56)*($A$2*(Users!CH51*BL$24 + Users!CH63*BL$22) + $A$3*Users!CH75*BL$23)/60</f>
        <v>25927407.612664808</v>
      </c>
      <c r="BM48" s="12">
        <f>($M$49*$I$54+$M$50*$I$55+$M$51*$I$56)*($A$2*(Users!CI51*BM$24 + Users!CI63*BM$22) + $A$3*Users!CI75*BM$23)/60</f>
        <v>26500997.347040474</v>
      </c>
      <c r="BN48" s="12">
        <f>($M$49*$I$54+$M$50*$I$55+$M$51*$I$56)*($A$2*(Users!CJ51*BN$24 + Users!CJ63*BN$22) + $A$3*Users!CJ75*BN$23)/60</f>
        <v>27087276.556133263</v>
      </c>
      <c r="BO48" s="12">
        <f>($M$49*$I$54+$M$50*$I$55+$M$51*$I$56)*($A$2*(Users!CK51*BO$24 + Users!CK63*BO$22) + $A$3*Users!CK75*BO$23)/60</f>
        <v>27686525.968064509</v>
      </c>
      <c r="BP48" s="12">
        <f>($M$49*$I$54+$M$50*$I$55+$M$51*$I$56)*($A$2*(Users!CL51*BP$24 + Users!CL63*BP$22) + $A$3*Users!CL75*BP$23)/60</f>
        <v>28299032.521479025</v>
      </c>
      <c r="BQ48" s="12">
        <f>($M$49*$I$54+$M$50*$I$55+$M$51*$I$56)*($A$2*(Users!CM51*BQ$24 + Users!CM63*BQ$22) + $A$3*Users!CM75*BQ$23)/60</f>
        <v>28925089.502939641</v>
      </c>
      <c r="BR48" s="12">
        <f>($M$49*$I$54+$M$50*$I$55+$M$51*$I$56)*($A$2*(Users!CN51*BR$24 + Users!CN63*BR$22) + $A$3*Users!CN75*BR$23)/60</f>
        <v>29566685.246931802</v>
      </c>
      <c r="BS48" s="12">
        <f>($M$49*$I$54+$M$50*$I$55+$M$51*$I$56)*($A$2*(Users!CO51*BS$24 + Users!CO63*BS$22) + $A$3*Users!CO75*BS$23)/60</f>
        <v>30221317.81358787</v>
      </c>
      <c r="BT48" s="12">
        <f>($M$49*$I$54+$M$50*$I$55+$M$51*$I$56)*($A$2*(Users!CP51*BT$24 + Users!CP63*BT$22) + $A$3*Users!CP75*BT$23)/60</f>
        <v>30890444.524370972</v>
      </c>
      <c r="BU48" s="12">
        <f>($M$49*$I$54+$M$50*$I$55+$M$51*$I$56)*($A$2*(Users!CQ51*BU$24 + Users!CQ63*BU$22) + $A$3*Users!CQ75*BU$23)/60</f>
        <v>31574386.292453792</v>
      </c>
      <c r="BV48" s="12">
        <f>($M$49*$I$54+$M$50*$I$55+$M$51*$I$56)*($A$2*(Users!CR51*BV$24 + Users!CR63*BV$22) + $A$3*Users!CR75*BV$23)/60</f>
        <v>32273471.13631076</v>
      </c>
      <c r="BW48" s="12">
        <f>($M$49*$I$54+$M$50*$I$55+$M$51*$I$56)*($A$2*(Users!CS51*BW$24 + Users!CS63*BW$22) + $A$3*Users!CS75*BW$23)/60</f>
        <v>32982245.231368948</v>
      </c>
      <c r="BX48" s="12">
        <f>($M$49*$I$54+$M$50*$I$55+$M$51*$I$56)*($A$2*(Users!CT51*BX$24 + Users!CT63*BX$22) + $A$3*Users!CT75*BX$23)/60</f>
        <v>33706585.074397229</v>
      </c>
      <c r="BY48" s="12">
        <f>($M$49*$I$54+$M$50*$I$55+$M$51*$I$56)*($A$2*(Users!CU51*BY$24 + Users!CU63*BY$22) + $A$3*Users!CU75*BY$23)/60</f>
        <v>34446832.51269415</v>
      </c>
      <c r="BZ48" s="12">
        <f>($M$49*$I$54+$M$50*$I$55+$M$51*$I$56)*($A$2*(Users!CV51*BZ$24 + Users!CV63*BZ$22) + $A$3*Users!CV75*BZ$23)/60</f>
        <v>35203336.90104109</v>
      </c>
    </row>
    <row r="49" spans="1:78">
      <c r="F49" s="16"/>
      <c r="G49" s="16"/>
      <c r="H49" s="16"/>
      <c r="I49" s="16"/>
      <c r="J49" s="16"/>
      <c r="K49" s="16"/>
      <c r="M49">
        <f>1 - M50 - M51</f>
        <v>2.399999999999991E-2</v>
      </c>
      <c r="O49" s="12" t="s">
        <v>92</v>
      </c>
      <c r="R49" s="12">
        <f>($M$49*$J$54+$M$50*$J$55+$M$51*$J$56)*($A$2*(Users!AN52*R$24 + Users!AN64*R$22) + $A$3*Users!AN76*R$23)/60</f>
        <v>4948887.9661038034</v>
      </c>
      <c r="S49" s="12">
        <f>($M$49*$J$54+$M$50*$J$55+$M$51*$J$56)*($A$2*(Users!AO52*S$24 + Users!AO64*S$22) + $A$3*Users!AO76*S$23)/60</f>
        <v>5101368.7083055545</v>
      </c>
      <c r="T49" s="12">
        <f>($M$49*$J$54+$M$50*$J$55+$M$51*$J$56)*($A$2*(Users!AP52*T$24 + Users!AP64*T$22) + $A$3*Users!AP76*T$23)/60</f>
        <v>5156183.3058631709</v>
      </c>
      <c r="U49" s="12">
        <f>($M$49*$J$54+$M$50*$J$55+$M$51*$J$56)*($A$2*(Users!AQ52*U$24 + Users!AQ64*U$22) + $A$3*Users!AQ76*U$23)/60</f>
        <v>5302430.7918133894</v>
      </c>
      <c r="V49" s="12">
        <f>($M$49*$J$54+$M$50*$J$55+$M$51*$J$56)*($A$2*(Users!AR52*V$24 + Users!AR64*V$22) + $A$3*Users!AR76*V$23)/60</f>
        <v>5530231.2993377261</v>
      </c>
      <c r="W49" s="12">
        <f>($M$49*$J$54+$M$50*$J$55+$M$51*$J$56)*($A$2*(Users!AS52*W$24 + Users!AS64*W$22) + $A$3*Users!AS76*W$23)/60</f>
        <v>5712425.2444291599</v>
      </c>
      <c r="X49" s="12">
        <f>($M$49*$J$54+$M$50*$J$55+$M$51*$J$56)*($A$2*(Users!AT52*X$24 + Users!AT64*X$22) + $A$3*Users!AT76*X$23)/60</f>
        <v>5934533.4764010636</v>
      </c>
      <c r="Y49" s="12">
        <f>($M$49*$J$54+$M$50*$J$55+$M$51*$J$56)*($A$2*(Users!AU52*Y$24 + Users!AU64*Y$22) + $A$3*Users!AU76*Y$23)/60</f>
        <v>6167430.2106885137</v>
      </c>
      <c r="Z49" s="12">
        <f>($M$49*$J$54+$M$50*$J$55+$M$51*$J$56)*($A$2*(Users!AV52*Z$24 + Users!AV64*Z$22) + $A$3*Users!AV76*Z$23)/60</f>
        <v>6410381.763953899</v>
      </c>
      <c r="AA49" s="12">
        <f>($M$49*$J$54+$M$50*$J$55+$M$51*$J$56)*($A$2*(Users!AW52*AA$24 + Users!AW64*AA$22) + $A$3*Users!AW76*AA$23)/60</f>
        <v>6666837.6589548625</v>
      </c>
      <c r="AB49" s="12">
        <f>($M$49*$J$54+$M$50*$J$55+$M$51*$J$56)*($A$2*(Users!AX52*AB$24 + Users!AX64*AB$22) + $A$3*Users!AX76*AB$23)/60</f>
        <v>6935951.3120855521</v>
      </c>
      <c r="AC49" s="12">
        <f>($M$49*$J$54+$M$50*$J$55+$M$51*$J$56)*($A$2*(Users!AY52*AC$24 + Users!AY64*AC$22) + $A$3*Users!AY76*AC$23)/60</f>
        <v>7218546.4468586985</v>
      </c>
      <c r="AD49" s="12">
        <f>($M$49*$J$54+$M$50*$J$55+$M$51*$J$56)*($A$2*(Users!AZ52*AD$24 + Users!AZ64*AD$22) + $A$3*Users!AZ76*AD$23)/60</f>
        <v>7515472.1148381848</v>
      </c>
      <c r="AE49" s="12">
        <f>($M$49*$J$54+$M$50*$J$55+$M$51*$J$56)*($A$2*(Users!BA52*AE$24 + Users!BA64*AE$22) + $A$3*Users!BA76*AE$23)/60</f>
        <v>7825716.1128845764</v>
      </c>
      <c r="AF49" s="12">
        <f>($M$49*$J$54+$M$50*$J$55+$M$51*$J$56)*($A$2*(Users!BB52*AF$24 + Users!BB64*AF$22) + $A$3*Users!BB76*AF$23)/60</f>
        <v>8150008.5483102603</v>
      </c>
      <c r="AG49" s="12">
        <f>($M$49*$J$54+$M$50*$J$55+$M$51*$J$56)*($A$2*(Users!BC52*AG$24 + Users!BC64*AG$22) + $A$3*Users!BC76*AG$23)/60</f>
        <v>8489107.0781511143</v>
      </c>
      <c r="AH49" s="12">
        <f>($M$49*$J$54+$M$50*$J$55+$M$51*$J$56)*($A$2*(Users!BD52*AH$24 + Users!BD64*AH$22) + $A$3*Users!BD76*AH$23)/60</f>
        <v>8843807.4673033394</v>
      </c>
      <c r="AI49" s="12">
        <f>($M$49*$J$54+$M$50*$J$55+$M$51*$J$56)*($A$2*(Users!BE52*AI$24 + Users!BE64*AI$22) + $A$3*Users!BE76*AI$23)/60</f>
        <v>9214918.7410423029</v>
      </c>
      <c r="AJ49" s="12">
        <f>($M$49*$J$54+$M$50*$J$55+$M$51*$J$56)*($A$2*(Users!BF52*AJ$24 + Users!BF64*AJ$22) + $A$3*Users!BF76*AJ$23)/60</f>
        <v>9603249.3811506201</v>
      </c>
      <c r="AK49" s="12">
        <f>($M$49*$J$54+$M$50*$J$55+$M$51*$J$56)*($A$2*(Users!BG52*AK$24 + Users!BG64*AK$22) + $A$3*Users!BG76*AK$23)/60</f>
        <v>10009650.181068037</v>
      </c>
      <c r="AL49" s="12">
        <f>($M$49*$J$54+$M$50*$J$55+$M$51*$J$56)*($A$2*(Users!BH52*AL$24 + Users!BH64*AL$22) + $A$3*Users!BH76*AL$23)/60</f>
        <v>10210344.1198388</v>
      </c>
      <c r="AM49" s="12">
        <f>($M$49*$J$54+$M$50*$J$55+$M$51*$J$56)*($A$2*(Users!BI52*AM$24 + Users!BI64*AM$22) + $A$3*Users!BI76*AM$23)/60</f>
        <v>10416714.183082797</v>
      </c>
      <c r="AN49" s="12">
        <f>($M$49*$J$54+$M$50*$J$55+$M$51*$J$56)*($A$2*(Users!BJ52*AN$24 + Users!BJ64*AN$22) + $A$3*Users!BJ76*AN$23)/60</f>
        <v>10628846.352553373</v>
      </c>
      <c r="AO49" s="12">
        <f>($M$49*$J$54+$M$50*$J$55+$M$51*$J$56)*($A$2*(Users!BK52*AO$24 + Users!BK64*AO$22) + $A$3*Users!BK76*AO$23)/60</f>
        <v>10846796.00896544</v>
      </c>
      <c r="AP49" s="12">
        <f>($M$49*$J$54+$M$50*$J$55+$M$51*$J$56)*($A$2*(Users!BL52*AP$24 + Users!BL64*AP$22) + $A$3*Users!BL76*AP$23)/60</f>
        <v>11070570.321904184</v>
      </c>
      <c r="AQ49" s="12">
        <f>($M$49*$J$54+$M$50*$J$55+$M$51*$J$56)*($A$2*(Users!BM52*AQ$24 + Users!BM64*AQ$22) + $A$3*Users!BM76*AQ$23)/60</f>
        <v>11300163.304898879</v>
      </c>
      <c r="AR49" s="12">
        <f>($M$49*$J$54+$M$50*$J$55+$M$51*$J$56)*($A$2*(Users!BN52*AR$24 + Users!BN64*AR$22) + $A$3*Users!BN76*AR$23)/60</f>
        <v>11535561.099605674</v>
      </c>
      <c r="AS49" s="12">
        <f>($M$49*$J$54+$M$50*$J$55+$M$51*$J$56)*($A$2*(Users!BO52*AS$24 + Users!BO64*AS$22) + $A$3*Users!BO76*AS$23)/60</f>
        <v>11776740.354732411</v>
      </c>
      <c r="AT49" s="12">
        <f>($M$49*$J$54+$M$50*$J$55+$M$51*$J$56)*($A$2*(Users!BP52*AT$24 + Users!BP64*AT$22) + $A$3*Users!BP76*AT$23)/60</f>
        <v>12024489.66883255</v>
      </c>
      <c r="AU49" s="12">
        <f>($M$49*$J$54+$M$50*$J$55+$M$51*$J$56)*($A$2*(Users!BQ52*AU$24 + Users!BQ64*AU$22) + $A$3*Users!BQ76*AU$23)/60</f>
        <v>12277450.927901182</v>
      </c>
      <c r="AV49" s="12">
        <f>($M$49*$J$54+$M$50*$J$55+$M$51*$J$56)*($A$2*(Users!BR52*AV$24 + Users!BR64*AV$22) + $A$3*Users!BR76*AV$23)/60</f>
        <v>12535733.776521772</v>
      </c>
      <c r="AW49" s="12">
        <f>($M$49*$J$54+$M$50*$J$55+$M$51*$J$56)*($A$2*(Users!BS52*AW$24 + Users!BS64*AW$22) + $A$3*Users!BS76*AW$23)/60</f>
        <v>12799450.165889839</v>
      </c>
      <c r="AX49" s="12">
        <f>($M$49*$J$54+$M$50*$J$55+$M$51*$J$56)*($A$2*(Users!BT52*AX$24 + Users!BT64*AX$22) + $A$3*Users!BT76*AX$23)/60</f>
        <v>13071027.59647103</v>
      </c>
      <c r="AY49" s="12">
        <f>($M$49*$J$54+$M$50*$J$55+$M$51*$J$56)*($A$2*(Users!BU52*AY$24 + Users!BU64*AY$22) + $A$3*Users!BU76*AY$23)/60</f>
        <v>13348367.329326576</v>
      </c>
      <c r="AZ49" s="12">
        <f>($M$49*$J$54+$M$50*$J$55+$M$51*$J$56)*($A$2*(Users!BV52*AZ$24 + Users!BV64*AZ$22) + $A$3*Users!BV76*AZ$23)/60</f>
        <v>13631591.628399454</v>
      </c>
      <c r="BA49" s="12">
        <f>($M$49*$J$54+$M$50*$J$55+$M$51*$J$56)*($A$2*(Users!BW52*BA$24 + Users!BW64*BA$22) + $A$3*Users!BW76*BA$23)/60</f>
        <v>13920825.351816634</v>
      </c>
      <c r="BB49" s="12">
        <f>($M$49*$J$54+$M$50*$J$55+$M$51*$J$56)*($A$2*(Users!BX52*BB$24 + Users!BX64*BB$22) + $A$3*Users!BX76*BB$23)/60</f>
        <v>14216196.006932089</v>
      </c>
      <c r="BC49" s="12">
        <f>($M$49*$J$54+$M$50*$J$55+$M$51*$J$56)*($A$2*(Users!BY52*BC$24 + Users!BY64*BC$22) + $A$3*Users!BY76*BC$23)/60</f>
        <v>14521909.735516386</v>
      </c>
      <c r="BD49" s="12">
        <f>($M$49*$J$54+$M$50*$J$55+$M$51*$J$56)*($A$2*(Users!BZ52*BD$24 + Users!BZ64*BD$22) + $A$3*Users!BZ76*BD$23)/60</f>
        <v>14834197.71812753</v>
      </c>
      <c r="BE49" s="12">
        <f>($M$49*$J$54+$M$50*$J$55+$M$51*$J$56)*($A$2*(Users!CA52*BE$24 + Users!CA64*BE$22) + $A$3*Users!CA76*BE$23)/60</f>
        <v>15153201.3315241</v>
      </c>
      <c r="BF49" s="12">
        <f>($M$49*$J$54+$M$50*$J$55+$M$51*$J$56)*($A$2*(Users!CB52*BF$24 + Users!CB64*BF$22) + $A$3*Users!CB76*BF$23)/60</f>
        <v>15479064.992716562</v>
      </c>
      <c r="BG49" s="12">
        <f>($M$49*$J$54+$M$50*$J$55+$M$51*$J$56)*($A$2*(Users!CC52*BG$24 + Users!CC64*BG$22) + $A$3*Users!CC76*BG$23)/60</f>
        <v>15811936.224346649</v>
      </c>
      <c r="BH49" s="12">
        <f>($M$49*$J$54+$M$50*$J$55+$M$51*$J$56)*($A$2*(Users!CD52*BH$24 + Users!CD64*BH$22) + $A$3*Users!CD76*BH$23)/60</f>
        <v>16157609.435991591</v>
      </c>
      <c r="BI49" s="12">
        <f>($M$49*$J$54+$M$50*$J$55+$M$51*$J$56)*($A$2*(Users!CE52*BI$24 + Users!CE64*BI$22) + $A$3*Users!CE76*BI$23)/60</f>
        <v>16510839.594967602</v>
      </c>
      <c r="BJ49" s="12">
        <f>($M$49*$J$54+$M$50*$J$55+$M$51*$J$56)*($A$2*(Users!CF52*BJ$24 + Users!CF64*BJ$22) + $A$3*Users!CF76*BJ$23)/60</f>
        <v>16871791.907750107</v>
      </c>
      <c r="BK49" s="12">
        <f>($M$49*$J$54+$M$50*$J$55+$M$51*$J$56)*($A$2*(Users!CG52*BK$24 + Users!CG64*BK$22) + $A$3*Users!CG76*BK$23)/60</f>
        <v>17240635.192481916</v>
      </c>
      <c r="BL49" s="12">
        <f>($M$49*$J$54+$M$50*$J$55+$M$51*$J$56)*($A$2*(Users!CH52*BL$24 + Users!CH64*BL$22) + $A$3*Users!CH76*BL$23)/60</f>
        <v>17617541.957929634</v>
      </c>
      <c r="BM49" s="12">
        <f>($M$49*$J$54+$M$50*$J$55+$M$51*$J$56)*($A$2*(Users!CI52*BM$24 + Users!CI64*BM$22) + $A$3*Users!CI76*BM$23)/60</f>
        <v>18007293.272945985</v>
      </c>
      <c r="BN49" s="12">
        <f>($M$49*$J$54+$M$50*$J$55+$M$51*$J$56)*($A$2*(Users!CJ52*BN$24 + Users!CJ64*BN$22) + $A$3*Users!CJ76*BN$23)/60</f>
        <v>18405667.021666192</v>
      </c>
      <c r="BO49" s="12">
        <f>($M$49*$J$54+$M$50*$J$55+$M$51*$J$56)*($A$2*(Users!CK52*BO$24 + Users!CK64*BO$22) + $A$3*Users!CK76*BO$23)/60</f>
        <v>18812853.957424715</v>
      </c>
      <c r="BP49" s="12">
        <f>($M$49*$J$54+$M$50*$J$55+$M$51*$J$56)*($A$2*(Users!CL52*BP$24 + Users!CL64*BP$22) + $A$3*Users!CL76*BP$23)/60</f>
        <v>19229049.053575255</v>
      </c>
      <c r="BQ49" s="12">
        <f>($M$49*$J$54+$M$50*$J$55+$M$51*$J$56)*($A$2*(Users!CM52*BQ$24 + Users!CM64*BQ$22) + $A$3*Users!CM76*BQ$23)/60</f>
        <v>19654451.596849557</v>
      </c>
      <c r="BR49" s="12">
        <f>($M$49*$J$54+$M$50*$J$55+$M$51*$J$56)*($A$2*(Users!CN52*BR$24 + Users!CN64*BR$22) + $A$3*Users!CN76*BR$23)/60</f>
        <v>20090412.650444809</v>
      </c>
      <c r="BS49" s="12">
        <f>($M$49*$J$54+$M$50*$J$55+$M$51*$J$56)*($A$2*(Users!CO52*BS$24 + Users!CO64*BS$22) + $A$3*Users!CO76*BS$23)/60</f>
        <v>20535232.158911861</v>
      </c>
      <c r="BT49" s="12">
        <f>($M$49*$J$54+$M$50*$J$55+$M$51*$J$56)*($A$2*(Users!CP52*BT$24 + Users!CP64*BT$22) + $A$3*Users!CP76*BT$23)/60</f>
        <v>20989900.364792749</v>
      </c>
      <c r="BU49" s="12">
        <f>($M$49*$J$54+$M$50*$J$55+$M$51*$J$56)*($A$2*(Users!CQ52*BU$24 + Users!CQ64*BU$22) + $A$3*Users!CQ76*BU$23)/60</f>
        <v>21454635.326960504</v>
      </c>
      <c r="BV49" s="12">
        <f>($M$49*$J$54+$M$50*$J$55+$M$51*$J$56)*($A$2*(Users!CR52*BV$24 + Users!CR64*BV$22) + $A$3*Users!CR76*BV$23)/60</f>
        <v>21929659.932304647</v>
      </c>
      <c r="BW49" s="12">
        <f>($M$49*$J$54+$M$50*$J$55+$M$51*$J$56)*($A$2*(Users!CS52*BW$24 + Users!CS64*BW$22) + $A$3*Users!CS76*BW$23)/60</f>
        <v>22411268.334692001</v>
      </c>
      <c r="BX49" s="12">
        <f>($M$49*$J$54+$M$50*$J$55+$M$51*$J$56)*($A$2*(Users!CT52*BX$24 + Users!CT64*BX$22) + $A$3*Users!CT76*BX$23)/60</f>
        <v>22903453.583868913</v>
      </c>
      <c r="BY49" s="12">
        <f>($M$49*$J$54+$M$50*$J$55+$M$51*$J$56)*($A$2*(Users!CU52*BY$24 + Users!CU64*BY$22) + $A$3*Users!CU76*BY$23)/60</f>
        <v>23406447.963340759</v>
      </c>
      <c r="BZ49" s="12">
        <f>($M$49*$J$54+$M$50*$J$55+$M$51*$J$56)*($A$2*(Users!CV52*BZ$24 + Users!CV64*BZ$22) + $A$3*Users!CV76*BZ$23)/60</f>
        <v>23920488.857909407</v>
      </c>
    </row>
    <row r="50" spans="1:78">
      <c r="F50" s="16"/>
      <c r="G50" s="16"/>
      <c r="H50" s="16"/>
      <c r="I50" s="16"/>
      <c r="J50" s="16"/>
      <c r="K50" s="15"/>
      <c r="M50">
        <f>0.056*Variables!E18</f>
        <v>5.6000000000000001E-2</v>
      </c>
      <c r="AU50" s="22"/>
      <c r="BA50" s="12"/>
      <c r="BV50" s="12"/>
    </row>
    <row r="51" spans="1:78">
      <c r="F51" s="16"/>
      <c r="G51" s="16"/>
      <c r="H51" s="16"/>
      <c r="I51" s="16"/>
      <c r="J51" s="16"/>
      <c r="K51" s="15"/>
      <c r="M51">
        <f>0.92*Variables!E17</f>
        <v>0.92</v>
      </c>
      <c r="O51" s="12" t="s">
        <v>196</v>
      </c>
      <c r="R51">
        <f t="shared" ref="R51:AW51" si="4">SUM(R42:R49)</f>
        <v>21086797.99616354</v>
      </c>
      <c r="S51" s="12">
        <f t="shared" si="4"/>
        <v>21736505.694364838</v>
      </c>
      <c r="T51" s="12">
        <f t="shared" si="4"/>
        <v>21970066.113160994</v>
      </c>
      <c r="U51" s="12">
        <f t="shared" si="4"/>
        <v>22593214.427449249</v>
      </c>
      <c r="V51" s="12">
        <f t="shared" si="4"/>
        <v>23563853.350474019</v>
      </c>
      <c r="W51" s="12">
        <f>SUM(W42:W49)</f>
        <v>24340166.522762667</v>
      </c>
      <c r="X51" s="12">
        <f t="shared" si="4"/>
        <v>25286551.135418162</v>
      </c>
      <c r="Y51" s="12">
        <f t="shared" si="4"/>
        <v>26278904.654738586</v>
      </c>
      <c r="Z51" s="12">
        <f t="shared" si="4"/>
        <v>27314100.917343553</v>
      </c>
      <c r="AA51" s="12">
        <f t="shared" si="4"/>
        <v>28406838.051392715</v>
      </c>
      <c r="AB51" s="12">
        <f t="shared" si="4"/>
        <v>29553508.834898882</v>
      </c>
      <c r="AC51" s="12">
        <f t="shared" si="4"/>
        <v>30757623.084903084</v>
      </c>
      <c r="AD51" s="12">
        <f t="shared" si="4"/>
        <v>32022798.539155439</v>
      </c>
      <c r="AE51" s="12">
        <f t="shared" si="4"/>
        <v>33344722.28467859</v>
      </c>
      <c r="AF51" s="12">
        <f t="shared" si="4"/>
        <v>34726505.247708365</v>
      </c>
      <c r="AG51" s="12">
        <f t="shared" si="4"/>
        <v>36171375.74154976</v>
      </c>
      <c r="AH51" s="12">
        <f t="shared" si="4"/>
        <v>37682724.453915551</v>
      </c>
      <c r="AI51" s="12">
        <f t="shared" si="4"/>
        <v>39263998.573885873</v>
      </c>
      <c r="AJ51" s="12">
        <f t="shared" si="4"/>
        <v>40918642.974763632</v>
      </c>
      <c r="AK51" s="12">
        <f t="shared" si="4"/>
        <v>42650282.816286385</v>
      </c>
      <c r="AL51" s="12">
        <f t="shared" si="4"/>
        <v>43505422.915415615</v>
      </c>
      <c r="AM51" s="12">
        <f t="shared" si="4"/>
        <v>44384748.50651557</v>
      </c>
      <c r="AN51" s="12">
        <f t="shared" si="4"/>
        <v>45288625.950650901</v>
      </c>
      <c r="AO51" s="12">
        <f t="shared" si="4"/>
        <v>46217291.220419124</v>
      </c>
      <c r="AP51" s="12">
        <f t="shared" si="4"/>
        <v>47170774.864823498</v>
      </c>
      <c r="AQ51" s="12">
        <f t="shared" si="4"/>
        <v>48149051.376012571</v>
      </c>
      <c r="AR51" s="12">
        <f t="shared" si="4"/>
        <v>49152061.704741545</v>
      </c>
      <c r="AS51" s="12">
        <f t="shared" si="4"/>
        <v>50179706.353106186</v>
      </c>
      <c r="AT51" s="12">
        <f t="shared" si="4"/>
        <v>51235345.473631822</v>
      </c>
      <c r="AU51" s="12">
        <f t="shared" si="4"/>
        <v>52313192.256054506</v>
      </c>
      <c r="AV51" s="12">
        <f t="shared" si="4"/>
        <v>53413713.886780359</v>
      </c>
      <c r="AW51" s="12">
        <f t="shared" si="4"/>
        <v>54537387.380496562</v>
      </c>
      <c r="AX51" s="12">
        <f t="shared" ref="AX51:BZ51" si="5">SUM(AX42:AX49)</f>
        <v>55694556.113797128</v>
      </c>
      <c r="AY51" s="12">
        <f t="shared" si="5"/>
        <v>56876277.53547626</v>
      </c>
      <c r="AZ51" s="12">
        <f t="shared" si="5"/>
        <v>58083072.601976164</v>
      </c>
      <c r="BA51" s="12">
        <f t="shared" si="5"/>
        <v>59315473.32334023</v>
      </c>
      <c r="BB51" s="12">
        <f t="shared" si="5"/>
        <v>60574022.997746699</v>
      </c>
      <c r="BC51" s="12">
        <f t="shared" si="5"/>
        <v>61876643.643731199</v>
      </c>
      <c r="BD51" s="12">
        <f t="shared" si="5"/>
        <v>63207276.636648819</v>
      </c>
      <c r="BE51" s="12">
        <f t="shared" si="5"/>
        <v>64566524.37105158</v>
      </c>
      <c r="BF51" s="12">
        <f t="shared" si="5"/>
        <v>65955002.195750773</v>
      </c>
      <c r="BG51" s="12">
        <f t="shared" si="5"/>
        <v>67373338.692392841</v>
      </c>
      <c r="BH51" s="12">
        <f t="shared" si="5"/>
        <v>68846223.355890408</v>
      </c>
      <c r="BI51" s="12">
        <f t="shared" si="5"/>
        <v>70351307.540356994</v>
      </c>
      <c r="BJ51" s="12">
        <f t="shared" si="5"/>
        <v>71889295.176776454</v>
      </c>
      <c r="BK51" s="12">
        <f t="shared" si="5"/>
        <v>73460905.585145503</v>
      </c>
      <c r="BL51" s="12">
        <f t="shared" si="5"/>
        <v>75066873.81090039</v>
      </c>
      <c r="BM51" s="12">
        <f t="shared" si="5"/>
        <v>76727571.588821456</v>
      </c>
      <c r="BN51" s="12">
        <f t="shared" si="5"/>
        <v>78425008.83609277</v>
      </c>
      <c r="BO51" s="12">
        <f t="shared" si="5"/>
        <v>80159998.336729378</v>
      </c>
      <c r="BP51" s="12">
        <f t="shared" si="5"/>
        <v>81933370.85589546</v>
      </c>
      <c r="BQ51" s="12">
        <f t="shared" si="5"/>
        <v>83745975.537698701</v>
      </c>
      <c r="BR51" s="12">
        <f t="shared" si="5"/>
        <v>85603569.149500594</v>
      </c>
      <c r="BS51" s="12">
        <f t="shared" si="5"/>
        <v>87498907.897122741</v>
      </c>
      <c r="BT51" s="12">
        <f t="shared" si="5"/>
        <v>89436211.1212724</v>
      </c>
      <c r="BU51" s="12">
        <f t="shared" si="5"/>
        <v>91416407.95258224</v>
      </c>
      <c r="BV51" s="12">
        <f t="shared" si="5"/>
        <v>93440448.093459651</v>
      </c>
      <c r="BW51" s="12">
        <f t="shared" si="5"/>
        <v>95492541.243265286</v>
      </c>
      <c r="BX51" s="12">
        <f t="shared" si="5"/>
        <v>97589701.453229785</v>
      </c>
      <c r="BY51" s="12">
        <f t="shared" si="5"/>
        <v>99732918.463955283</v>
      </c>
      <c r="BZ51" s="12">
        <f t="shared" si="5"/>
        <v>101923203.752242</v>
      </c>
    </row>
    <row r="52" spans="1:78">
      <c r="AU52" s="22"/>
      <c r="BA52" s="12"/>
      <c r="BV52" s="12"/>
    </row>
    <row r="53" spans="1:78">
      <c r="J53" t="s">
        <v>112</v>
      </c>
      <c r="M53" t="s">
        <v>193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U53" s="22"/>
      <c r="BA53" s="12"/>
      <c r="BV53" s="12"/>
    </row>
    <row r="54" spans="1:78">
      <c r="A54" s="12" t="s">
        <v>108</v>
      </c>
      <c r="I54">
        <v>50</v>
      </c>
      <c r="J54">
        <v>30</v>
      </c>
      <c r="M54" t="s">
        <v>194</v>
      </c>
      <c r="AU54" s="22"/>
      <c r="BA54" s="12"/>
      <c r="BV54" s="12"/>
    </row>
    <row r="55" spans="1:78">
      <c r="A55" s="12" t="s">
        <v>107</v>
      </c>
      <c r="I55">
        <v>20</v>
      </c>
      <c r="J55">
        <v>15</v>
      </c>
      <c r="M55" t="s">
        <v>221</v>
      </c>
      <c r="AU55" s="22"/>
      <c r="BA55" s="12"/>
      <c r="BV55" s="12"/>
    </row>
    <row r="56" spans="1:78">
      <c r="A56" s="12" t="s">
        <v>102</v>
      </c>
      <c r="I56">
        <v>0</v>
      </c>
      <c r="J56">
        <v>0</v>
      </c>
      <c r="M56">
        <v>0.03</v>
      </c>
      <c r="AU56" s="22"/>
      <c r="BA56" s="12"/>
      <c r="BV56" s="12"/>
    </row>
    <row r="57" spans="1:78">
      <c r="AU57" s="22"/>
      <c r="BA57" s="12"/>
      <c r="BV57" s="12"/>
    </row>
    <row r="58" spans="1:78">
      <c r="AU58" s="21"/>
      <c r="BA58" s="12"/>
      <c r="BV58" s="12"/>
    </row>
    <row r="59" spans="1:78">
      <c r="AU59" s="21"/>
      <c r="BA59" s="12"/>
    </row>
    <row r="60" spans="1:78">
      <c r="F60" s="17"/>
      <c r="G60" s="17"/>
      <c r="H60" s="17"/>
      <c r="I60" s="17"/>
      <c r="J60" s="17"/>
      <c r="K60" s="17"/>
      <c r="BA60" s="12"/>
    </row>
    <row r="62" spans="1:78">
      <c r="F62" s="17"/>
      <c r="H62" s="17"/>
      <c r="I62" s="18"/>
    </row>
    <row r="65" spans="1:11">
      <c r="A65" s="12"/>
    </row>
    <row r="67" spans="1:11">
      <c r="G67" s="12"/>
      <c r="H67" s="12"/>
      <c r="I67" s="12"/>
      <c r="J67" s="12"/>
      <c r="K67" s="12"/>
    </row>
    <row r="69" spans="1:11">
      <c r="F69" s="17"/>
      <c r="H69" s="17"/>
      <c r="I6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E102"/>
  <sheetViews>
    <sheetView workbookViewId="0">
      <selection activeCell="O17" sqref="O17"/>
    </sheetView>
  </sheetViews>
  <sheetFormatPr defaultRowHeight="14.25"/>
  <cols>
    <col min="6" max="6" width="14.86328125" bestFit="1" customWidth="1"/>
    <col min="7" max="7" width="13.86328125" bestFit="1" customWidth="1"/>
    <col min="8" max="9" width="14.86328125" bestFit="1" customWidth="1"/>
    <col min="10" max="10" width="13.86328125" bestFit="1" customWidth="1"/>
    <col min="11" max="11" width="13.73046875" customWidth="1"/>
    <col min="16" max="16" width="12.73046875" bestFit="1" customWidth="1"/>
    <col min="21" max="21" width="12" bestFit="1" customWidth="1"/>
  </cols>
  <sheetData>
    <row r="1" spans="1:83">
      <c r="A1" t="s">
        <v>99</v>
      </c>
      <c r="Q1" t="s">
        <v>202</v>
      </c>
    </row>
    <row r="2" spans="1:83">
      <c r="A2" s="2">
        <v>0.1</v>
      </c>
      <c r="B2" t="s">
        <v>100</v>
      </c>
    </row>
    <row r="3" spans="1:83">
      <c r="B3" t="s">
        <v>123</v>
      </c>
    </row>
    <row r="4" spans="1:83">
      <c r="T4" t="s">
        <v>203</v>
      </c>
      <c r="U4">
        <v>1</v>
      </c>
      <c r="V4">
        <f>U4 +1</f>
        <v>2</v>
      </c>
      <c r="W4" s="12">
        <f t="shared" ref="W4:BX4" si="0">V4 +1</f>
        <v>3</v>
      </c>
      <c r="X4" s="12">
        <f t="shared" si="0"/>
        <v>4</v>
      </c>
      <c r="Y4" s="12">
        <f t="shared" si="0"/>
        <v>5</v>
      </c>
      <c r="Z4" s="12">
        <f t="shared" si="0"/>
        <v>6</v>
      </c>
      <c r="AA4" s="12">
        <f t="shared" si="0"/>
        <v>7</v>
      </c>
      <c r="AB4" s="12">
        <f t="shared" si="0"/>
        <v>8</v>
      </c>
      <c r="AC4" s="12">
        <f t="shared" si="0"/>
        <v>9</v>
      </c>
      <c r="AD4" s="12">
        <f t="shared" si="0"/>
        <v>10</v>
      </c>
      <c r="AE4" s="12">
        <f t="shared" si="0"/>
        <v>11</v>
      </c>
      <c r="AF4" s="12">
        <f t="shared" si="0"/>
        <v>12</v>
      </c>
      <c r="AG4" s="12">
        <f t="shared" si="0"/>
        <v>13</v>
      </c>
      <c r="AH4" s="12">
        <f t="shared" si="0"/>
        <v>14</v>
      </c>
      <c r="AI4" s="12">
        <f t="shared" si="0"/>
        <v>15</v>
      </c>
      <c r="AJ4" s="12">
        <f t="shared" si="0"/>
        <v>16</v>
      </c>
      <c r="AK4" s="12">
        <f t="shared" si="0"/>
        <v>17</v>
      </c>
      <c r="AL4" s="12">
        <f t="shared" si="0"/>
        <v>18</v>
      </c>
      <c r="AM4" s="12">
        <f t="shared" si="0"/>
        <v>19</v>
      </c>
      <c r="AN4" s="12">
        <f t="shared" si="0"/>
        <v>20</v>
      </c>
      <c r="AO4" s="12">
        <f t="shared" si="0"/>
        <v>21</v>
      </c>
      <c r="AP4" s="12">
        <f t="shared" si="0"/>
        <v>22</v>
      </c>
      <c r="AQ4" s="12">
        <f t="shared" si="0"/>
        <v>23</v>
      </c>
      <c r="AR4" s="12">
        <f t="shared" si="0"/>
        <v>24</v>
      </c>
      <c r="AS4" s="12">
        <f t="shared" si="0"/>
        <v>25</v>
      </c>
      <c r="AT4" s="12">
        <f t="shared" si="0"/>
        <v>26</v>
      </c>
      <c r="AU4" s="12">
        <f t="shared" si="0"/>
        <v>27</v>
      </c>
      <c r="AV4" s="12">
        <f t="shared" si="0"/>
        <v>28</v>
      </c>
      <c r="AW4" s="12">
        <f t="shared" si="0"/>
        <v>29</v>
      </c>
      <c r="AX4" s="12">
        <f t="shared" si="0"/>
        <v>30</v>
      </c>
      <c r="AY4" s="12">
        <f t="shared" si="0"/>
        <v>31</v>
      </c>
      <c r="AZ4" s="12">
        <f t="shared" si="0"/>
        <v>32</v>
      </c>
      <c r="BA4" s="12">
        <f t="shared" si="0"/>
        <v>33</v>
      </c>
      <c r="BB4" s="12">
        <f t="shared" si="0"/>
        <v>34</v>
      </c>
      <c r="BC4" s="12">
        <f t="shared" si="0"/>
        <v>35</v>
      </c>
      <c r="BD4" s="12">
        <f t="shared" si="0"/>
        <v>36</v>
      </c>
      <c r="BE4" s="12">
        <f t="shared" si="0"/>
        <v>37</v>
      </c>
      <c r="BF4" s="12">
        <f t="shared" si="0"/>
        <v>38</v>
      </c>
      <c r="BG4" s="12">
        <f t="shared" si="0"/>
        <v>39</v>
      </c>
      <c r="BH4" s="12">
        <f t="shared" si="0"/>
        <v>40</v>
      </c>
      <c r="BI4" s="12">
        <f t="shared" si="0"/>
        <v>41</v>
      </c>
      <c r="BJ4" s="12">
        <f t="shared" si="0"/>
        <v>42</v>
      </c>
      <c r="BK4" s="12">
        <f t="shared" si="0"/>
        <v>43</v>
      </c>
      <c r="BL4" s="12">
        <f t="shared" si="0"/>
        <v>44</v>
      </c>
      <c r="BM4" s="12">
        <f t="shared" si="0"/>
        <v>45</v>
      </c>
      <c r="BN4" s="12">
        <f t="shared" si="0"/>
        <v>46</v>
      </c>
      <c r="BO4" s="12">
        <f t="shared" si="0"/>
        <v>47</v>
      </c>
      <c r="BP4" s="12">
        <f t="shared" si="0"/>
        <v>48</v>
      </c>
      <c r="BQ4" s="12">
        <f t="shared" si="0"/>
        <v>49</v>
      </c>
      <c r="BR4" s="12">
        <f t="shared" si="0"/>
        <v>50</v>
      </c>
      <c r="BS4" s="12">
        <f t="shared" si="0"/>
        <v>51</v>
      </c>
      <c r="BT4" s="12">
        <f t="shared" si="0"/>
        <v>52</v>
      </c>
      <c r="BU4" s="12">
        <f t="shared" si="0"/>
        <v>53</v>
      </c>
      <c r="BV4" s="12">
        <f t="shared" si="0"/>
        <v>54</v>
      </c>
      <c r="BW4" s="12">
        <f t="shared" si="0"/>
        <v>55</v>
      </c>
      <c r="BX4" s="12">
        <f t="shared" si="0"/>
        <v>56</v>
      </c>
      <c r="BY4" s="12">
        <f>BX4 +1</f>
        <v>57</v>
      </c>
      <c r="BZ4" s="12">
        <f t="shared" ref="BZ4:CC4" si="1">BY4 +1</f>
        <v>58</v>
      </c>
      <c r="CA4" s="12">
        <f t="shared" si="1"/>
        <v>59</v>
      </c>
      <c r="CB4" s="12">
        <f t="shared" si="1"/>
        <v>60</v>
      </c>
      <c r="CC4" s="12">
        <f t="shared" si="1"/>
        <v>61</v>
      </c>
      <c r="CD4" s="12"/>
      <c r="CE4" s="12"/>
    </row>
    <row r="5" spans="1:83">
      <c r="Q5" s="12" t="s">
        <v>47</v>
      </c>
      <c r="R5" s="12"/>
      <c r="S5" s="12"/>
      <c r="U5">
        <v>2010</v>
      </c>
      <c r="V5" s="12">
        <f>U5 +1</f>
        <v>2011</v>
      </c>
      <c r="W5" s="12">
        <f t="shared" ref="W5:BX5" si="2">V5 +1</f>
        <v>2012</v>
      </c>
      <c r="X5" s="12">
        <f t="shared" si="2"/>
        <v>2013</v>
      </c>
      <c r="Y5" s="12">
        <f t="shared" si="2"/>
        <v>2014</v>
      </c>
      <c r="Z5" s="12">
        <f t="shared" si="2"/>
        <v>2015</v>
      </c>
      <c r="AA5" s="12">
        <f t="shared" si="2"/>
        <v>2016</v>
      </c>
      <c r="AB5" s="12">
        <f t="shared" si="2"/>
        <v>2017</v>
      </c>
      <c r="AC5" s="12">
        <f t="shared" si="2"/>
        <v>2018</v>
      </c>
      <c r="AD5" s="12">
        <f t="shared" si="2"/>
        <v>2019</v>
      </c>
      <c r="AE5" s="12">
        <f t="shared" si="2"/>
        <v>2020</v>
      </c>
      <c r="AF5" s="12">
        <f t="shared" si="2"/>
        <v>2021</v>
      </c>
      <c r="AG5" s="12">
        <f t="shared" si="2"/>
        <v>2022</v>
      </c>
      <c r="AH5" s="12">
        <f t="shared" si="2"/>
        <v>2023</v>
      </c>
      <c r="AI5" s="12">
        <f t="shared" si="2"/>
        <v>2024</v>
      </c>
      <c r="AJ5" s="12">
        <f t="shared" si="2"/>
        <v>2025</v>
      </c>
      <c r="AK5" s="12">
        <f t="shared" si="2"/>
        <v>2026</v>
      </c>
      <c r="AL5" s="12">
        <f t="shared" si="2"/>
        <v>2027</v>
      </c>
      <c r="AM5" s="12">
        <f t="shared" si="2"/>
        <v>2028</v>
      </c>
      <c r="AN5" s="12">
        <f t="shared" si="2"/>
        <v>2029</v>
      </c>
      <c r="AO5" s="12">
        <f t="shared" si="2"/>
        <v>2030</v>
      </c>
      <c r="AP5" s="12">
        <f t="shared" si="2"/>
        <v>2031</v>
      </c>
      <c r="AQ5" s="12">
        <f t="shared" si="2"/>
        <v>2032</v>
      </c>
      <c r="AR5" s="12">
        <f t="shared" si="2"/>
        <v>2033</v>
      </c>
      <c r="AS5" s="12">
        <f t="shared" si="2"/>
        <v>2034</v>
      </c>
      <c r="AT5" s="12">
        <f t="shared" si="2"/>
        <v>2035</v>
      </c>
      <c r="AU5" s="12">
        <f t="shared" si="2"/>
        <v>2036</v>
      </c>
      <c r="AV5" s="12">
        <f t="shared" si="2"/>
        <v>2037</v>
      </c>
      <c r="AW5" s="12">
        <f t="shared" si="2"/>
        <v>2038</v>
      </c>
      <c r="AX5" s="12">
        <f t="shared" si="2"/>
        <v>2039</v>
      </c>
      <c r="AY5" s="12">
        <f t="shared" si="2"/>
        <v>2040</v>
      </c>
      <c r="AZ5" s="12">
        <f t="shared" si="2"/>
        <v>2041</v>
      </c>
      <c r="BA5" s="12">
        <f t="shared" si="2"/>
        <v>2042</v>
      </c>
      <c r="BB5" s="12">
        <f t="shared" si="2"/>
        <v>2043</v>
      </c>
      <c r="BC5" s="12">
        <f t="shared" si="2"/>
        <v>2044</v>
      </c>
      <c r="BD5" s="12">
        <f t="shared" si="2"/>
        <v>2045</v>
      </c>
      <c r="BE5" s="12">
        <f t="shared" si="2"/>
        <v>2046</v>
      </c>
      <c r="BF5" s="12">
        <f t="shared" si="2"/>
        <v>2047</v>
      </c>
      <c r="BG5" s="12">
        <f t="shared" si="2"/>
        <v>2048</v>
      </c>
      <c r="BH5" s="12">
        <f t="shared" si="2"/>
        <v>2049</v>
      </c>
      <c r="BI5" s="12">
        <f t="shared" si="2"/>
        <v>2050</v>
      </c>
      <c r="BJ5" s="12">
        <f t="shared" si="2"/>
        <v>2051</v>
      </c>
      <c r="BK5" s="12">
        <f t="shared" si="2"/>
        <v>2052</v>
      </c>
      <c r="BL5" s="12">
        <f t="shared" si="2"/>
        <v>2053</v>
      </c>
      <c r="BM5" s="12">
        <f t="shared" si="2"/>
        <v>2054</v>
      </c>
      <c r="BN5" s="12">
        <f t="shared" si="2"/>
        <v>2055</v>
      </c>
      <c r="BO5" s="12">
        <f t="shared" si="2"/>
        <v>2056</v>
      </c>
      <c r="BP5" s="12">
        <f t="shared" si="2"/>
        <v>2057</v>
      </c>
      <c r="BQ5" s="12">
        <f t="shared" si="2"/>
        <v>2058</v>
      </c>
      <c r="BR5" s="12">
        <f t="shared" si="2"/>
        <v>2059</v>
      </c>
      <c r="BS5" s="12">
        <f t="shared" si="2"/>
        <v>2060</v>
      </c>
      <c r="BT5" s="12">
        <f t="shared" si="2"/>
        <v>2061</v>
      </c>
      <c r="BU5" s="12">
        <f t="shared" si="2"/>
        <v>2062</v>
      </c>
      <c r="BV5" s="12">
        <f t="shared" si="2"/>
        <v>2063</v>
      </c>
      <c r="BW5" s="12">
        <f t="shared" si="2"/>
        <v>2064</v>
      </c>
      <c r="BX5" s="12">
        <f t="shared" si="2"/>
        <v>2065</v>
      </c>
      <c r="BY5" s="12">
        <f>BX5 +1</f>
        <v>2066</v>
      </c>
      <c r="BZ5" s="12">
        <f t="shared" ref="BZ5:CC5" si="3">BY5 +1</f>
        <v>2067</v>
      </c>
      <c r="CA5" s="12">
        <f t="shared" si="3"/>
        <v>2068</v>
      </c>
      <c r="CB5" s="12">
        <f t="shared" si="3"/>
        <v>2069</v>
      </c>
      <c r="CC5" s="12">
        <f t="shared" si="3"/>
        <v>2070</v>
      </c>
      <c r="CD5" s="12"/>
      <c r="CE5" s="12"/>
    </row>
    <row r="6" spans="1:8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Q6" s="12" t="s">
        <v>276</v>
      </c>
      <c r="R6" s="12"/>
      <c r="S6" s="12"/>
      <c r="U6">
        <f>Users!AN4*Tickets!C229</f>
        <v>2910654.0754837096</v>
      </c>
      <c r="V6" s="12">
        <f>Users!AO4*Tickets!D229</f>
        <v>3050365.4711069283</v>
      </c>
      <c r="W6" s="12">
        <f>Users!AP4*Tickets!E229</f>
        <v>3144926.8007112439</v>
      </c>
      <c r="X6" s="12">
        <f>Users!AQ4*Tickets!F229</f>
        <v>3232984.7511311583</v>
      </c>
      <c r="Y6" s="12">
        <f>Users!AR4*Tickets!G229</f>
        <v>3320275.3394116997</v>
      </c>
      <c r="Z6" s="12">
        <f>Users!AS4*Tickets!H229</f>
        <v>3429844.4256122857</v>
      </c>
      <c r="AA6" s="12">
        <f>Users!AT4*Tickets!I229</f>
        <v>3553318.824934327</v>
      </c>
      <c r="AB6" s="12">
        <f>Users!AU4*Tickets!J229</f>
        <v>3688344.9402818312</v>
      </c>
      <c r="AC6" s="12">
        <f>Users!AV4*Tickets!K229</f>
        <v>3832190.3929528235</v>
      </c>
      <c r="AD6" s="12">
        <f>Users!AW4*Tickets!L229</f>
        <v>3975897.5326885534</v>
      </c>
      <c r="AE6" s="12">
        <f>Users!AX4*Tickets!M229</f>
        <v>4119029.843865341</v>
      </c>
      <c r="AF6" s="12">
        <f>Users!AY4*Tickets!N229</f>
        <v>4261136.3734786948</v>
      </c>
      <c r="AG6" s="12">
        <f>Users!AZ4*Tickets!O229</f>
        <v>4401753.8738034917</v>
      </c>
      <c r="AH6" s="12">
        <f>Users!BA4*Tickets!P229</f>
        <v>4547011.7516390067</v>
      </c>
      <c r="AI6" s="12">
        <f>Users!BB4*Tickets!Q229</f>
        <v>4697063.139443093</v>
      </c>
      <c r="AJ6" s="12">
        <f>Users!BC4*Tickets!R229</f>
        <v>4852066.2230447149</v>
      </c>
      <c r="AK6" s="12">
        <f>Users!BD4*Tickets!S229</f>
        <v>5012184.4084051903</v>
      </c>
      <c r="AL6" s="12">
        <f>Users!BE4*Tickets!T229</f>
        <v>5177586.4938825611</v>
      </c>
      <c r="AM6" s="12">
        <f>Users!BF4*Tickets!U229</f>
        <v>5348446.8481806852</v>
      </c>
      <c r="AN6" s="12">
        <f>Users!BG4*Tickets!V229</f>
        <v>5535642.4878670098</v>
      </c>
      <c r="AO6" s="12">
        <f>Users!BH4*Tickets!W229</f>
        <v>5535642.4878670098</v>
      </c>
      <c r="AP6" s="12">
        <f>Users!BI4*Tickets!X229</f>
        <v>5535642.4878670098</v>
      </c>
      <c r="AQ6" s="12">
        <f>Users!BJ4*Tickets!Y229</f>
        <v>5535642.4878670098</v>
      </c>
      <c r="AR6" s="12">
        <f>Users!BK4*Tickets!Z229</f>
        <v>5535642.4878670098</v>
      </c>
      <c r="AS6" s="12">
        <f>Users!BL4*Tickets!AA229</f>
        <v>5535642.4878670098</v>
      </c>
      <c r="AT6" s="12">
        <f>Users!BM4*Tickets!AB229</f>
        <v>5535642.4878670098</v>
      </c>
      <c r="AU6" s="12">
        <f>Users!BN4*Tickets!AC229</f>
        <v>5535642.4878670098</v>
      </c>
      <c r="AV6" s="12">
        <f>Users!BO4*Tickets!AD229</f>
        <v>5535642.4878670098</v>
      </c>
      <c r="AW6" s="12">
        <f>Users!BP4*Tickets!AE229</f>
        <v>5535642.4878670098</v>
      </c>
      <c r="AX6" s="12">
        <f>Users!BQ4*Tickets!AF229</f>
        <v>5535642.4878670098</v>
      </c>
      <c r="AY6" s="12">
        <f>Users!BR4*Tickets!AG229</f>
        <v>5535642.4878670098</v>
      </c>
      <c r="AZ6" s="12">
        <f>Users!BS4*Tickets!AH229</f>
        <v>5535642.4878670098</v>
      </c>
      <c r="BA6" s="12">
        <f>Users!BT4*Tickets!AI229</f>
        <v>5535642.4878670098</v>
      </c>
      <c r="BB6" s="12">
        <f>Users!BU4*Tickets!AJ229</f>
        <v>5535642.4878670098</v>
      </c>
      <c r="BC6" s="12">
        <f>Users!BV4*Tickets!AK229</f>
        <v>5535642.4878670098</v>
      </c>
      <c r="BD6" s="12">
        <f>Users!BW4*Tickets!AL229</f>
        <v>5535642.4878670098</v>
      </c>
      <c r="BE6" s="12">
        <f>Users!BX4*Tickets!AM229</f>
        <v>5535642.4878670098</v>
      </c>
      <c r="BF6" s="12">
        <f>Users!BY4*Tickets!AN229</f>
        <v>5535642.4878670098</v>
      </c>
      <c r="BG6" s="12">
        <f>Users!BZ4*Tickets!AO229</f>
        <v>5535642.4878670098</v>
      </c>
      <c r="BH6" s="12">
        <f>Users!CA4*Tickets!AP229</f>
        <v>5535642.4878670098</v>
      </c>
      <c r="BI6" s="12">
        <f>Users!CB4*Tickets!AQ229</f>
        <v>5535642.4878670098</v>
      </c>
      <c r="BJ6" s="12">
        <f>Users!CC4*Tickets!AR229</f>
        <v>5535642.4878670098</v>
      </c>
      <c r="BK6" s="12">
        <f>Users!CD4*Tickets!AS229</f>
        <v>5535642.4878670098</v>
      </c>
      <c r="BL6" s="12">
        <f>Users!CE4*Tickets!AT229</f>
        <v>5535642.4878670098</v>
      </c>
      <c r="BM6" s="12">
        <f>Users!CF4*Tickets!AU229</f>
        <v>5535642.4878670098</v>
      </c>
      <c r="BN6" s="12">
        <f>Users!CG4*Tickets!AV229</f>
        <v>5535642.4878670098</v>
      </c>
      <c r="BO6" s="12">
        <f>Users!CH4*Tickets!AW229</f>
        <v>5535642.4878670098</v>
      </c>
      <c r="BP6" s="12">
        <f>Users!CI4*Tickets!AX229</f>
        <v>5535642.4878670098</v>
      </c>
      <c r="BQ6" s="12">
        <f>Users!CJ4*Tickets!AY229</f>
        <v>5535642.4878670098</v>
      </c>
      <c r="BR6" s="12">
        <f>Users!CK4*Tickets!AZ229</f>
        <v>5535642.4878670098</v>
      </c>
      <c r="BS6" s="12">
        <f>Users!CL4*Tickets!BA229</f>
        <v>5535642.4878670098</v>
      </c>
      <c r="BT6" s="12">
        <f>Users!CM4*Tickets!BB229</f>
        <v>5535642.4878670098</v>
      </c>
      <c r="BU6" s="12">
        <f>Users!CN4*Tickets!BC229</f>
        <v>5535642.4878670098</v>
      </c>
      <c r="BV6" s="12">
        <f>Users!CO4*Tickets!BD229</f>
        <v>5535642.4878670098</v>
      </c>
      <c r="BW6" s="12">
        <f>Users!CP4*Tickets!BE229</f>
        <v>5535642.4878670098</v>
      </c>
      <c r="BX6" s="12">
        <f>Users!CQ4*Tickets!BF229</f>
        <v>5535642.4878670098</v>
      </c>
      <c r="BY6" s="12">
        <f>Users!CR4*Tickets!BG229</f>
        <v>5535642.4878670098</v>
      </c>
      <c r="BZ6" s="12">
        <f>Users!CS4*Tickets!BH229</f>
        <v>5535642.4878670098</v>
      </c>
      <c r="CA6" s="12">
        <f>Users!CT4*Tickets!BI229</f>
        <v>5535642.4878670098</v>
      </c>
      <c r="CB6" s="12">
        <f>Users!CU4*Tickets!BJ229</f>
        <v>5535642.4878670098</v>
      </c>
      <c r="CC6" s="12">
        <f>Users!CV4*Tickets!BK229</f>
        <v>5535642.4878670098</v>
      </c>
    </row>
    <row r="7" spans="1:8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Q7" s="12" t="s">
        <v>277</v>
      </c>
      <c r="R7" s="12"/>
      <c r="S7" s="12"/>
      <c r="U7" s="12">
        <f>Users!AN5*Tickets!C230</f>
        <v>3806862.6094484781</v>
      </c>
      <c r="V7" s="12">
        <f>Users!AO5*Tickets!D230</f>
        <v>3989592.0147020053</v>
      </c>
      <c r="W7" s="12">
        <f>Users!AP5*Tickets!E230</f>
        <v>4113269.3671577685</v>
      </c>
      <c r="X7" s="12">
        <f>Users!AQ5*Tickets!F230</f>
        <v>4228440.9094381854</v>
      </c>
      <c r="Y7" s="12">
        <f>Users!AR5*Tickets!G230</f>
        <v>4342608.8139930163</v>
      </c>
      <c r="Z7" s="12">
        <f>Users!AS5*Tickets!H230</f>
        <v>4485914.9048547857</v>
      </c>
      <c r="AA7" s="12">
        <f>Users!AT5*Tickets!I230</f>
        <v>4647407.8414295567</v>
      </c>
      <c r="AB7" s="12">
        <f>Users!AU5*Tickets!J230</f>
        <v>4824009.3394038798</v>
      </c>
      <c r="AC7" s="12">
        <f>Users!AV5*Tickets!K230</f>
        <v>5012145.7036406323</v>
      </c>
      <c r="AD7" s="12">
        <f>Users!AW5*Tickets!L230</f>
        <v>5200101.167527155</v>
      </c>
      <c r="AE7" s="12">
        <f>Users!AX5*Tickets!M230</f>
        <v>5387304.8095581317</v>
      </c>
      <c r="AF7" s="12">
        <f>Users!AY5*Tickets!N230</f>
        <v>5573166.8254878875</v>
      </c>
      <c r="AG7" s="12">
        <f>Users!AZ5*Tickets!O230</f>
        <v>5757081.3307289872</v>
      </c>
      <c r="AH7" s="12">
        <f>Users!BA5*Tickets!P230</f>
        <v>5947065.0146430442</v>
      </c>
      <c r="AI7" s="12">
        <f>Users!BB5*Tickets!Q230</f>
        <v>6143318.1601262633</v>
      </c>
      <c r="AJ7" s="12">
        <f>Users!BC5*Tickets!R230</f>
        <v>6346047.6594104301</v>
      </c>
      <c r="AK7" s="12">
        <f>Users!BD5*Tickets!S230</f>
        <v>6555467.2321709739</v>
      </c>
      <c r="AL7" s="12">
        <f>Users!BE5*Tickets!T230</f>
        <v>6771797.6508326149</v>
      </c>
      <c r="AM7" s="12">
        <f>Users!BF5*Tickets!U230</f>
        <v>6995266.9733100906</v>
      </c>
      <c r="AN7" s="12">
        <f>Users!BG5*Tickets!V230</f>
        <v>7240101.3173759459</v>
      </c>
      <c r="AO7" s="12">
        <f>Users!BH5*Tickets!W230</f>
        <v>7240101.3173759459</v>
      </c>
      <c r="AP7" s="12">
        <f>Users!BI5*Tickets!X230</f>
        <v>7240101.3173759459</v>
      </c>
      <c r="AQ7" s="12">
        <f>Users!BJ5*Tickets!Y230</f>
        <v>7240101.3173759459</v>
      </c>
      <c r="AR7" s="12">
        <f>Users!BK5*Tickets!Z230</f>
        <v>7240101.3173759459</v>
      </c>
      <c r="AS7" s="12">
        <f>Users!BL5*Tickets!AA230</f>
        <v>7240101.3173759459</v>
      </c>
      <c r="AT7" s="12">
        <f>Users!BM5*Tickets!AB230</f>
        <v>7240101.3173759459</v>
      </c>
      <c r="AU7" s="12">
        <f>Users!BN5*Tickets!AC230</f>
        <v>7240101.3173759459</v>
      </c>
      <c r="AV7" s="12">
        <f>Users!BO5*Tickets!AD230</f>
        <v>7240101.3173759459</v>
      </c>
      <c r="AW7" s="12">
        <f>Users!BP5*Tickets!AE230</f>
        <v>7240101.3173759459</v>
      </c>
      <c r="AX7" s="12">
        <f>Users!BQ5*Tickets!AF230</f>
        <v>7240101.3173759459</v>
      </c>
      <c r="AY7" s="12">
        <f>Users!BR5*Tickets!AG230</f>
        <v>7240101.3173759459</v>
      </c>
      <c r="AZ7" s="12">
        <f>Users!BS5*Tickets!AH230</f>
        <v>7240101.3173759459</v>
      </c>
      <c r="BA7" s="12">
        <f>Users!BT5*Tickets!AI230</f>
        <v>7240101.3173759459</v>
      </c>
      <c r="BB7" s="12">
        <f>Users!BU5*Tickets!AJ230</f>
        <v>7240101.3173759459</v>
      </c>
      <c r="BC7" s="12">
        <f>Users!BV5*Tickets!AK230</f>
        <v>7240101.3173759459</v>
      </c>
      <c r="BD7" s="12">
        <f>Users!BW5*Tickets!AL230</f>
        <v>7240101.3173759459</v>
      </c>
      <c r="BE7" s="12">
        <f>Users!BX5*Tickets!AM230</f>
        <v>7240101.3173759459</v>
      </c>
      <c r="BF7" s="12">
        <f>Users!BY5*Tickets!AN230</f>
        <v>7240101.3173759459</v>
      </c>
      <c r="BG7" s="12">
        <f>Users!BZ5*Tickets!AO230</f>
        <v>7240101.3173759459</v>
      </c>
      <c r="BH7" s="12">
        <f>Users!CA5*Tickets!AP230</f>
        <v>7240101.3173759459</v>
      </c>
      <c r="BI7" s="12">
        <f>Users!CB5*Tickets!AQ230</f>
        <v>7240101.3173759459</v>
      </c>
      <c r="BJ7" s="12">
        <f>Users!CC5*Tickets!AR230</f>
        <v>7240101.3173759459</v>
      </c>
      <c r="BK7" s="12">
        <f>Users!CD5*Tickets!AS230</f>
        <v>7240101.3173759459</v>
      </c>
      <c r="BL7" s="12">
        <f>Users!CE5*Tickets!AT230</f>
        <v>7240101.3173759459</v>
      </c>
      <c r="BM7" s="12">
        <f>Users!CF5*Tickets!AU230</f>
        <v>7240101.3173759459</v>
      </c>
      <c r="BN7" s="12">
        <f>Users!CG5*Tickets!AV230</f>
        <v>7240101.3173759459</v>
      </c>
      <c r="BO7" s="12">
        <f>Users!CH5*Tickets!AW230</f>
        <v>7240101.3173759459</v>
      </c>
      <c r="BP7" s="12">
        <f>Users!CI5*Tickets!AX230</f>
        <v>7240101.3173759459</v>
      </c>
      <c r="BQ7" s="12">
        <f>Users!CJ5*Tickets!AY230</f>
        <v>7240101.3173759459</v>
      </c>
      <c r="BR7" s="12">
        <f>Users!CK5*Tickets!AZ230</f>
        <v>7240101.3173759459</v>
      </c>
      <c r="BS7" s="12">
        <f>Users!CL5*Tickets!BA230</f>
        <v>7240101.3173759459</v>
      </c>
      <c r="BT7" s="12">
        <f>Users!CM5*Tickets!BB230</f>
        <v>7240101.3173759459</v>
      </c>
      <c r="BU7" s="12">
        <f>Users!CN5*Tickets!BC230</f>
        <v>7240101.3173759459</v>
      </c>
      <c r="BV7" s="12">
        <f>Users!CO5*Tickets!BD230</f>
        <v>7240101.3173759459</v>
      </c>
      <c r="BW7" s="12">
        <f>Users!CP5*Tickets!BE230</f>
        <v>7240101.3173759459</v>
      </c>
      <c r="BX7" s="12">
        <f>Users!CQ5*Tickets!BF230</f>
        <v>7240101.3173759459</v>
      </c>
      <c r="BY7" s="12">
        <f>Users!CR5*Tickets!BG230</f>
        <v>7240101.3173759459</v>
      </c>
      <c r="BZ7" s="12">
        <f>Users!CS5*Tickets!BH230</f>
        <v>7240101.3173759459</v>
      </c>
      <c r="CA7" s="12">
        <f>Users!CT5*Tickets!BI230</f>
        <v>7240101.3173759459</v>
      </c>
      <c r="CB7" s="12">
        <f>Users!CU5*Tickets!BJ230</f>
        <v>7240101.3173759459</v>
      </c>
      <c r="CC7" s="12">
        <f>Users!CV5*Tickets!BK230</f>
        <v>7240101.3173759459</v>
      </c>
    </row>
    <row r="8" spans="1:8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Q8" s="12" t="s">
        <v>278</v>
      </c>
      <c r="R8" s="12"/>
      <c r="S8" s="12"/>
      <c r="U8" s="12">
        <f>Users!AN6*Tickets!C231</f>
        <v>1427815.3839113598</v>
      </c>
      <c r="V8" s="12">
        <f>Users!AO6*Tickets!D231</f>
        <v>1496350.5223391051</v>
      </c>
      <c r="W8" s="12">
        <f>Users!AP6*Tickets!E231</f>
        <v>1542737.3885316176</v>
      </c>
      <c r="X8" s="12">
        <f>Users!AQ6*Tickets!F231</f>
        <v>1585934.0354105027</v>
      </c>
      <c r="Y8" s="12">
        <f>Users!AR6*Tickets!G231</f>
        <v>1628754.2543665862</v>
      </c>
      <c r="Z8" s="12">
        <f>Users!AS6*Tickets!H231</f>
        <v>1682503.1447606836</v>
      </c>
      <c r="AA8" s="12">
        <f>Users!AT6*Tickets!I231</f>
        <v>1743073.2579720677</v>
      </c>
      <c r="AB8" s="12">
        <f>Users!AU6*Tickets!J231</f>
        <v>1809310.0417750063</v>
      </c>
      <c r="AC8" s="12">
        <f>Users!AV6*Tickets!K231</f>
        <v>1879873.1334042321</v>
      </c>
      <c r="AD8" s="12">
        <f>Users!AW6*Tickets!L231</f>
        <v>1950368.3759068905</v>
      </c>
      <c r="AE8" s="12">
        <f>Users!AX6*Tickets!M231</f>
        <v>2020581.6374395383</v>
      </c>
      <c r="AF8" s="12">
        <f>Users!AY6*Tickets!N231</f>
        <v>2090291.7039312022</v>
      </c>
      <c r="AG8" s="12">
        <f>Users!AZ6*Tickets!O231</f>
        <v>2159271.3301609317</v>
      </c>
      <c r="AH8" s="12">
        <f>Users!BA6*Tickets!P231</f>
        <v>2230527.2840562426</v>
      </c>
      <c r="AI8" s="12">
        <f>Users!BB6*Tickets!Q231</f>
        <v>2304134.6844300982</v>
      </c>
      <c r="AJ8" s="12">
        <f>Users!BC6*Tickets!R231</f>
        <v>2380171.1290162914</v>
      </c>
      <c r="AK8" s="12">
        <f>Users!BD6*Tickets!S231</f>
        <v>2458716.7762738289</v>
      </c>
      <c r="AL8" s="12">
        <f>Users!BE6*Tickets!T231</f>
        <v>2539854.429890865</v>
      </c>
      <c r="AM8" s="12">
        <f>Users!BF6*Tickets!U231</f>
        <v>2623669.6260772636</v>
      </c>
      <c r="AN8" s="12">
        <f>Users!BG6*Tickets!V231</f>
        <v>2715498.0629899679</v>
      </c>
      <c r="AO8" s="12">
        <f>Users!BH6*Tickets!W231</f>
        <v>2715498.0629899679</v>
      </c>
      <c r="AP8" s="12">
        <f>Users!BI6*Tickets!X231</f>
        <v>2715498.0629899679</v>
      </c>
      <c r="AQ8" s="12">
        <f>Users!BJ6*Tickets!Y231</f>
        <v>2715498.0629899679</v>
      </c>
      <c r="AR8" s="12">
        <f>Users!BK6*Tickets!Z231</f>
        <v>2715498.0629899679</v>
      </c>
      <c r="AS8" s="12">
        <f>Users!BL6*Tickets!AA231</f>
        <v>2715498.0629899679</v>
      </c>
      <c r="AT8" s="12">
        <f>Users!BM6*Tickets!AB231</f>
        <v>2715498.0629899679</v>
      </c>
      <c r="AU8" s="12">
        <f>Users!BN6*Tickets!AC231</f>
        <v>2715498.0629899679</v>
      </c>
      <c r="AV8" s="12">
        <f>Users!BO6*Tickets!AD231</f>
        <v>2715498.0629899679</v>
      </c>
      <c r="AW8" s="12">
        <f>Users!BP6*Tickets!AE231</f>
        <v>2715498.0629899679</v>
      </c>
      <c r="AX8" s="12">
        <f>Users!BQ6*Tickets!AF231</f>
        <v>2715498.0629899679</v>
      </c>
      <c r="AY8" s="12">
        <f>Users!BR6*Tickets!AG231</f>
        <v>2715498.0629899679</v>
      </c>
      <c r="AZ8" s="12">
        <f>Users!BS6*Tickets!AH231</f>
        <v>2715498.0629899679</v>
      </c>
      <c r="BA8" s="12">
        <f>Users!BT6*Tickets!AI231</f>
        <v>2715498.0629899679</v>
      </c>
      <c r="BB8" s="12">
        <f>Users!BU6*Tickets!AJ231</f>
        <v>2715498.0629899679</v>
      </c>
      <c r="BC8" s="12">
        <f>Users!BV6*Tickets!AK231</f>
        <v>2715498.0629899679</v>
      </c>
      <c r="BD8" s="12">
        <f>Users!BW6*Tickets!AL231</f>
        <v>2715498.0629899679</v>
      </c>
      <c r="BE8" s="12">
        <f>Users!BX6*Tickets!AM231</f>
        <v>2715498.0629899679</v>
      </c>
      <c r="BF8" s="12">
        <f>Users!BY6*Tickets!AN231</f>
        <v>2715498.0629899679</v>
      </c>
      <c r="BG8" s="12">
        <f>Users!BZ6*Tickets!AO231</f>
        <v>2715498.0629899679</v>
      </c>
      <c r="BH8" s="12">
        <f>Users!CA6*Tickets!AP231</f>
        <v>2715498.0629899679</v>
      </c>
      <c r="BI8" s="12">
        <f>Users!CB6*Tickets!AQ231</f>
        <v>2715498.0629899679</v>
      </c>
      <c r="BJ8" s="12">
        <f>Users!CC6*Tickets!AR231</f>
        <v>2715498.0629899679</v>
      </c>
      <c r="BK8" s="12">
        <f>Users!CD6*Tickets!AS231</f>
        <v>2715498.0629899679</v>
      </c>
      <c r="BL8" s="12">
        <f>Users!CE6*Tickets!AT231</f>
        <v>2715498.0629899679</v>
      </c>
      <c r="BM8" s="12">
        <f>Users!CF6*Tickets!AU231</f>
        <v>2715498.0629899679</v>
      </c>
      <c r="BN8" s="12">
        <f>Users!CG6*Tickets!AV231</f>
        <v>2715498.0629899679</v>
      </c>
      <c r="BO8" s="12">
        <f>Users!CH6*Tickets!AW231</f>
        <v>2715498.0629899679</v>
      </c>
      <c r="BP8" s="12">
        <f>Users!CI6*Tickets!AX231</f>
        <v>2715498.0629899679</v>
      </c>
      <c r="BQ8" s="12">
        <f>Users!CJ6*Tickets!AY231</f>
        <v>2715498.0629899679</v>
      </c>
      <c r="BR8" s="12">
        <f>Users!CK6*Tickets!AZ231</f>
        <v>2715498.0629899679</v>
      </c>
      <c r="BS8" s="12">
        <f>Users!CL6*Tickets!BA231</f>
        <v>2715498.0629899679</v>
      </c>
      <c r="BT8" s="12">
        <f>Users!CM6*Tickets!BB231</f>
        <v>2715498.0629899679</v>
      </c>
      <c r="BU8" s="12">
        <f>Users!CN6*Tickets!BC231</f>
        <v>2715498.0629899679</v>
      </c>
      <c r="BV8" s="12">
        <f>Users!CO6*Tickets!BD231</f>
        <v>2715498.0629899679</v>
      </c>
      <c r="BW8" s="12">
        <f>Users!CP6*Tickets!BE231</f>
        <v>2715498.0629899679</v>
      </c>
      <c r="BX8" s="12">
        <f>Users!CQ6*Tickets!BF231</f>
        <v>2715498.0629899679</v>
      </c>
      <c r="BY8" s="12">
        <f>Users!CR6*Tickets!BG231</f>
        <v>2715498.0629899679</v>
      </c>
      <c r="BZ8" s="12">
        <f>Users!CS6*Tickets!BH231</f>
        <v>2715498.0629899679</v>
      </c>
      <c r="CA8" s="12">
        <f>Users!CT6*Tickets!BI231</f>
        <v>2715498.0629899679</v>
      </c>
      <c r="CB8" s="12">
        <f>Users!CU6*Tickets!BJ231</f>
        <v>2715498.0629899679</v>
      </c>
      <c r="CC8" s="12">
        <f>Users!CV6*Tickets!BK231</f>
        <v>2715498.0629899679</v>
      </c>
    </row>
    <row r="9" spans="1:8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Q9" s="12" t="s">
        <v>279</v>
      </c>
      <c r="R9" s="12"/>
      <c r="S9" s="12"/>
      <c r="U9" s="12">
        <f>Users!AN7*Tickets!C232</f>
        <v>5073974.8031948349</v>
      </c>
      <c r="V9" s="12">
        <f>Users!AO7*Tickets!D232</f>
        <v>5317525.5937481867</v>
      </c>
      <c r="W9" s="12">
        <f>Users!AP7*Tickets!E232</f>
        <v>5482368.8871543817</v>
      </c>
      <c r="X9" s="12">
        <f>Users!AQ7*Tickets!F232</f>
        <v>5635875.2159947027</v>
      </c>
      <c r="Y9" s="12">
        <f>Users!AR7*Tickets!G232</f>
        <v>5788043.8468265608</v>
      </c>
      <c r="Z9" s="12">
        <f>Users!AS7*Tickets!H232</f>
        <v>5979049.2937718369</v>
      </c>
      <c r="AA9" s="12">
        <f>Users!AT7*Tickets!I232</f>
        <v>6194295.0683476208</v>
      </c>
      <c r="AB9" s="12">
        <f>Users!AU7*Tickets!J232</f>
        <v>6429678.2809448298</v>
      </c>
      <c r="AC9" s="12">
        <f>Users!AV7*Tickets!K232</f>
        <v>6680435.7339016804</v>
      </c>
      <c r="AD9" s="12">
        <f>Users!AW7*Tickets!L232</f>
        <v>6930952.0739229918</v>
      </c>
      <c r="AE9" s="12">
        <f>Users!AX7*Tickets!M232</f>
        <v>7180466.348584218</v>
      </c>
      <c r="AF9" s="12">
        <f>Users!AY7*Tickets!N232</f>
        <v>7428192.4376103748</v>
      </c>
      <c r="AG9" s="12">
        <f>Users!AZ7*Tickets!O232</f>
        <v>7673322.7880515158</v>
      </c>
      <c r="AH9" s="12">
        <f>Users!BA7*Tickets!P232</f>
        <v>7926542.4400572153</v>
      </c>
      <c r="AI9" s="12">
        <f>Users!BB7*Tickets!Q232</f>
        <v>8188118.3405791027</v>
      </c>
      <c r="AJ9" s="12">
        <f>Users!BC7*Tickets!R232</f>
        <v>8458326.2458182145</v>
      </c>
      <c r="AK9" s="12">
        <f>Users!BD7*Tickets!S232</f>
        <v>8737451.0119302142</v>
      </c>
      <c r="AL9" s="12">
        <f>Users!BE7*Tickets!T232</f>
        <v>9025786.8953239098</v>
      </c>
      <c r="AM9" s="12">
        <f>Users!BF7*Tickets!U232</f>
        <v>9323637.8628695998</v>
      </c>
      <c r="AN9" s="12">
        <f>Users!BG7*Tickets!V232</f>
        <v>9649965.1880700365</v>
      </c>
      <c r="AO9" s="12">
        <f>Users!BH7*Tickets!W232</f>
        <v>9649965.1880700365</v>
      </c>
      <c r="AP9" s="12">
        <f>Users!BI7*Tickets!X232</f>
        <v>9649965.1880700365</v>
      </c>
      <c r="AQ9" s="12">
        <f>Users!BJ7*Tickets!Y232</f>
        <v>9649965.1880700365</v>
      </c>
      <c r="AR9" s="12">
        <f>Users!BK7*Tickets!Z232</f>
        <v>9649965.1880700365</v>
      </c>
      <c r="AS9" s="12">
        <f>Users!BL7*Tickets!AA232</f>
        <v>9649965.1880700365</v>
      </c>
      <c r="AT9" s="12">
        <f>Users!BM7*Tickets!AB232</f>
        <v>9649965.1880700365</v>
      </c>
      <c r="AU9" s="12">
        <f>Users!BN7*Tickets!AC232</f>
        <v>9649965.1880700365</v>
      </c>
      <c r="AV9" s="12">
        <f>Users!BO7*Tickets!AD232</f>
        <v>9649965.1880700365</v>
      </c>
      <c r="AW9" s="12">
        <f>Users!BP7*Tickets!AE232</f>
        <v>9649965.1880700365</v>
      </c>
      <c r="AX9" s="12">
        <f>Users!BQ7*Tickets!AF232</f>
        <v>9649965.1880700365</v>
      </c>
      <c r="AY9" s="12">
        <f>Users!BR7*Tickets!AG232</f>
        <v>9649965.1880700365</v>
      </c>
      <c r="AZ9" s="12">
        <f>Users!BS7*Tickets!AH232</f>
        <v>9649965.1880700365</v>
      </c>
      <c r="BA9" s="12">
        <f>Users!BT7*Tickets!AI232</f>
        <v>9649965.1880700365</v>
      </c>
      <c r="BB9" s="12">
        <f>Users!BU7*Tickets!AJ232</f>
        <v>9649965.1880700365</v>
      </c>
      <c r="BC9" s="12">
        <f>Users!BV7*Tickets!AK232</f>
        <v>9649965.1880700365</v>
      </c>
      <c r="BD9" s="12">
        <f>Users!BW7*Tickets!AL232</f>
        <v>9649965.1880700365</v>
      </c>
      <c r="BE9" s="12">
        <f>Users!BX7*Tickets!AM232</f>
        <v>9649965.1880700365</v>
      </c>
      <c r="BF9" s="12">
        <f>Users!BY7*Tickets!AN232</f>
        <v>9649965.1880700365</v>
      </c>
      <c r="BG9" s="12">
        <f>Users!BZ7*Tickets!AO232</f>
        <v>9649965.1880700365</v>
      </c>
      <c r="BH9" s="12">
        <f>Users!CA7*Tickets!AP232</f>
        <v>9649965.1880700365</v>
      </c>
      <c r="BI9" s="12">
        <f>Users!CB7*Tickets!AQ232</f>
        <v>9649965.1880700365</v>
      </c>
      <c r="BJ9" s="12">
        <f>Users!CC7*Tickets!AR232</f>
        <v>9649965.1880700365</v>
      </c>
      <c r="BK9" s="12">
        <f>Users!CD7*Tickets!AS232</f>
        <v>9649965.1880700365</v>
      </c>
      <c r="BL9" s="12">
        <f>Users!CE7*Tickets!AT232</f>
        <v>9649965.1880700365</v>
      </c>
      <c r="BM9" s="12">
        <f>Users!CF7*Tickets!AU232</f>
        <v>9649965.1880700365</v>
      </c>
      <c r="BN9" s="12">
        <f>Users!CG7*Tickets!AV232</f>
        <v>9649965.1880700365</v>
      </c>
      <c r="BO9" s="12">
        <f>Users!CH7*Tickets!AW232</f>
        <v>9649965.1880700365</v>
      </c>
      <c r="BP9" s="12">
        <f>Users!CI7*Tickets!AX232</f>
        <v>9649965.1880700365</v>
      </c>
      <c r="BQ9" s="12">
        <f>Users!CJ7*Tickets!AY232</f>
        <v>9649965.1880700365</v>
      </c>
      <c r="BR9" s="12">
        <f>Users!CK7*Tickets!AZ232</f>
        <v>9649965.1880700365</v>
      </c>
      <c r="BS9" s="12">
        <f>Users!CL7*Tickets!BA232</f>
        <v>9649965.1880700365</v>
      </c>
      <c r="BT9" s="12">
        <f>Users!CM7*Tickets!BB232</f>
        <v>9649965.1880700365</v>
      </c>
      <c r="BU9" s="12">
        <f>Users!CN7*Tickets!BC232</f>
        <v>9649965.1880700365</v>
      </c>
      <c r="BV9" s="12">
        <f>Users!CO7*Tickets!BD232</f>
        <v>9649965.1880700365</v>
      </c>
      <c r="BW9" s="12">
        <f>Users!CP7*Tickets!BE232</f>
        <v>9649965.1880700365</v>
      </c>
      <c r="BX9" s="12">
        <f>Users!CQ7*Tickets!BF232</f>
        <v>9649965.1880700365</v>
      </c>
      <c r="BY9" s="12">
        <f>Users!CR7*Tickets!BG232</f>
        <v>9649965.1880700365</v>
      </c>
      <c r="BZ9" s="12">
        <f>Users!CS7*Tickets!BH232</f>
        <v>9649965.1880700365</v>
      </c>
      <c r="CA9" s="12">
        <f>Users!CT7*Tickets!BI232</f>
        <v>9649965.1880700365</v>
      </c>
      <c r="CB9" s="12">
        <f>Users!CU7*Tickets!BJ232</f>
        <v>9649965.1880700365</v>
      </c>
      <c r="CC9" s="12">
        <f>Users!CV7*Tickets!BK232</f>
        <v>9649965.1880700365</v>
      </c>
    </row>
    <row r="10" spans="1:83" s="12" customFormat="1">
      <c r="Q10" s="12" t="s">
        <v>280</v>
      </c>
      <c r="U10" s="12">
        <f>Users!AN8*Tickets!C233</f>
        <v>2962393.7248179349</v>
      </c>
      <c r="V10" s="12">
        <f>Users!AO8*Tickets!D233</f>
        <v>3104588.6236091959</v>
      </c>
      <c r="W10" s="12">
        <f>Users!AP8*Tickets!E233</f>
        <v>3200830.8709410815</v>
      </c>
      <c r="X10" s="12">
        <f>Users!AQ8*Tickets!F233</f>
        <v>3290454.1353274314</v>
      </c>
      <c r="Y10" s="12">
        <f>Users!AR8*Tickets!G233</f>
        <v>3379296.3969812724</v>
      </c>
      <c r="Z10" s="12">
        <f>Users!AS8*Tickets!H233</f>
        <v>3490813.1780816545</v>
      </c>
      <c r="AA10" s="12">
        <f>Users!AT8*Tickets!I233</f>
        <v>3616482.4524925933</v>
      </c>
      <c r="AB10" s="12">
        <f>Users!AU8*Tickets!J233</f>
        <v>3753908.7856873116</v>
      </c>
      <c r="AC10" s="12">
        <f>Users!AV8*Tickets!K233</f>
        <v>3900311.2283291169</v>
      </c>
      <c r="AD10" s="12">
        <f>Users!AW8*Tickets!L233</f>
        <v>4046572.8993914584</v>
      </c>
      <c r="AE10" s="12">
        <f>Users!AX8*Tickets!M233</f>
        <v>4192249.5237695505</v>
      </c>
      <c r="AF10" s="12">
        <f>Users!AY8*Tickets!N233</f>
        <v>4336882.1323395995</v>
      </c>
      <c r="AG10" s="12">
        <f>Users!AZ8*Tickets!O233</f>
        <v>4479999.2427068064</v>
      </c>
      <c r="AH10" s="12">
        <f>Users!BA8*Tickets!P233</f>
        <v>4627839.2177161304</v>
      </c>
      <c r="AI10" s="12">
        <f>Users!BB8*Tickets!Q233</f>
        <v>4780557.9119007625</v>
      </c>
      <c r="AJ10" s="12">
        <f>Users!BC8*Tickets!R233</f>
        <v>4938316.3229934871</v>
      </c>
      <c r="AK10" s="12">
        <f>Users!BD8*Tickets!S233</f>
        <v>5101280.7616522722</v>
      </c>
      <c r="AL10" s="12">
        <f>Users!BE8*Tickets!T233</f>
        <v>5269623.0267867967</v>
      </c>
      <c r="AM10" s="12">
        <f>Users!BF8*Tickets!U233</f>
        <v>5443520.5866707601</v>
      </c>
      <c r="AN10" s="12">
        <f>Users!BG8*Tickets!V233</f>
        <v>5634043.8072042372</v>
      </c>
      <c r="AO10" s="12">
        <f>Users!BH8*Tickets!W233</f>
        <v>5634043.8072042372</v>
      </c>
      <c r="AP10" s="12">
        <f>Users!BI8*Tickets!X233</f>
        <v>5634043.8072042372</v>
      </c>
      <c r="AQ10" s="12">
        <f>Users!BJ8*Tickets!Y233</f>
        <v>5634043.8072042372</v>
      </c>
      <c r="AR10" s="12">
        <f>Users!BK8*Tickets!Z233</f>
        <v>5634043.8072042372</v>
      </c>
      <c r="AS10" s="12">
        <f>Users!BL8*Tickets!AA233</f>
        <v>5634043.8072042372</v>
      </c>
      <c r="AT10" s="12">
        <f>Users!BM8*Tickets!AB233</f>
        <v>5634043.8072042372</v>
      </c>
      <c r="AU10" s="12">
        <f>Users!BN8*Tickets!AC233</f>
        <v>5634043.8072042372</v>
      </c>
      <c r="AV10" s="12">
        <f>Users!BO8*Tickets!AD233</f>
        <v>5634043.8072042372</v>
      </c>
      <c r="AW10" s="12">
        <f>Users!BP8*Tickets!AE233</f>
        <v>5634043.8072042372</v>
      </c>
      <c r="AX10" s="12">
        <f>Users!BQ8*Tickets!AF233</f>
        <v>5634043.8072042372</v>
      </c>
      <c r="AY10" s="12">
        <f>Users!BR8*Tickets!AG233</f>
        <v>5634043.8072042372</v>
      </c>
      <c r="AZ10" s="12">
        <f>Users!BS8*Tickets!AH233</f>
        <v>5634043.8072042372</v>
      </c>
      <c r="BA10" s="12">
        <f>Users!BT8*Tickets!AI233</f>
        <v>5634043.8072042372</v>
      </c>
      <c r="BB10" s="12">
        <f>Users!BU8*Tickets!AJ233</f>
        <v>5634043.8072042372</v>
      </c>
      <c r="BC10" s="12">
        <f>Users!BV8*Tickets!AK233</f>
        <v>5634043.8072042372</v>
      </c>
      <c r="BD10" s="12">
        <f>Users!BW8*Tickets!AL233</f>
        <v>5634043.8072042372</v>
      </c>
      <c r="BE10" s="12">
        <f>Users!BX8*Tickets!AM233</f>
        <v>5634043.8072042372</v>
      </c>
      <c r="BF10" s="12">
        <f>Users!BY8*Tickets!AN233</f>
        <v>5634043.8072042372</v>
      </c>
      <c r="BG10" s="12">
        <f>Users!BZ8*Tickets!AO233</f>
        <v>5634043.8072042372</v>
      </c>
      <c r="BH10" s="12">
        <f>Users!CA8*Tickets!AP233</f>
        <v>5634043.8072042372</v>
      </c>
      <c r="BI10" s="12">
        <f>Users!CB8*Tickets!AQ233</f>
        <v>5634043.8072042372</v>
      </c>
      <c r="BJ10" s="12">
        <f>Users!CC8*Tickets!AR233</f>
        <v>5634043.8072042372</v>
      </c>
      <c r="BK10" s="12">
        <f>Users!CD8*Tickets!AS233</f>
        <v>5634043.8072042372</v>
      </c>
      <c r="BL10" s="12">
        <f>Users!CE8*Tickets!AT233</f>
        <v>5634043.8072042372</v>
      </c>
      <c r="BM10" s="12">
        <f>Users!CF8*Tickets!AU233</f>
        <v>5634043.8072042372</v>
      </c>
      <c r="BN10" s="12">
        <f>Users!CG8*Tickets!AV233</f>
        <v>5634043.8072042372</v>
      </c>
      <c r="BO10" s="12">
        <f>Users!CH8*Tickets!AW233</f>
        <v>5634043.8072042372</v>
      </c>
      <c r="BP10" s="12">
        <f>Users!CI8*Tickets!AX233</f>
        <v>5634043.8072042372</v>
      </c>
      <c r="BQ10" s="12">
        <f>Users!CJ8*Tickets!AY233</f>
        <v>5634043.8072042372</v>
      </c>
      <c r="BR10" s="12">
        <f>Users!CK8*Tickets!AZ233</f>
        <v>5634043.8072042372</v>
      </c>
      <c r="BS10" s="12">
        <f>Users!CL8*Tickets!BA233</f>
        <v>5634043.8072042372</v>
      </c>
      <c r="BT10" s="12">
        <f>Users!CM8*Tickets!BB233</f>
        <v>5634043.8072042372</v>
      </c>
      <c r="BU10" s="12">
        <f>Users!CN8*Tickets!BC233</f>
        <v>5634043.8072042372</v>
      </c>
      <c r="BV10" s="12">
        <f>Users!CO8*Tickets!BD233</f>
        <v>5634043.8072042372</v>
      </c>
      <c r="BW10" s="12">
        <f>Users!CP8*Tickets!BE233</f>
        <v>5634043.8072042372</v>
      </c>
      <c r="BX10" s="12">
        <f>Users!CQ8*Tickets!BF233</f>
        <v>5634043.8072042372</v>
      </c>
      <c r="BY10" s="12">
        <f>Users!CR8*Tickets!BG233</f>
        <v>5634043.8072042372</v>
      </c>
      <c r="BZ10" s="12">
        <f>Users!CS8*Tickets!BH233</f>
        <v>5634043.8072042372</v>
      </c>
      <c r="CA10" s="12">
        <f>Users!CT8*Tickets!BI233</f>
        <v>5634043.8072042372</v>
      </c>
      <c r="CB10" s="12">
        <f>Users!CU8*Tickets!BJ233</f>
        <v>5634043.8072042372</v>
      </c>
      <c r="CC10" s="12">
        <f>Users!CV8*Tickets!BK233</f>
        <v>5634043.8072042372</v>
      </c>
    </row>
    <row r="11" spans="1:83" s="12" customFormat="1">
      <c r="Q11" s="12" t="s">
        <v>281</v>
      </c>
      <c r="U11" s="12">
        <f>Users!AN9*Tickets!C234</f>
        <v>4761093.0164033482</v>
      </c>
      <c r="V11" s="12">
        <f>Users!AO9*Tickets!D234</f>
        <v>4989625.4811907085</v>
      </c>
      <c r="W11" s="12">
        <f>Users!AP9*Tickets!E234</f>
        <v>5144303.8711076211</v>
      </c>
      <c r="X11" s="12">
        <f>Users!AQ9*Tickets!F234</f>
        <v>5288344.3794986336</v>
      </c>
      <c r="Y11" s="12">
        <f>Users!AR9*Tickets!G234</f>
        <v>5431129.6777450973</v>
      </c>
      <c r="Z11" s="12">
        <f>Users!AS9*Tickets!H234</f>
        <v>5610356.9571106853</v>
      </c>
      <c r="AA11" s="12">
        <f>Users!AT9*Tickets!I234</f>
        <v>5812329.8075666679</v>
      </c>
      <c r="AB11" s="12">
        <f>Users!AU9*Tickets!J234</f>
        <v>6033198.3402542006</v>
      </c>
      <c r="AC11" s="12">
        <f>Users!AV9*Tickets!K234</f>
        <v>6268493.075524115</v>
      </c>
      <c r="AD11" s="12">
        <f>Users!AW9*Tickets!L234</f>
        <v>6503561.5658562677</v>
      </c>
      <c r="AE11" s="12">
        <f>Users!AX9*Tickets!M234</f>
        <v>6737689.7822270934</v>
      </c>
      <c r="AF11" s="12">
        <f>Users!AY9*Tickets!N234</f>
        <v>6970140.0797139285</v>
      </c>
      <c r="AG11" s="12">
        <f>Users!AZ9*Tickets!O234</f>
        <v>7200154.7023444884</v>
      </c>
      <c r="AH11" s="12">
        <f>Users!BA9*Tickets!P234</f>
        <v>7437759.8075218555</v>
      </c>
      <c r="AI11" s="12">
        <f>Users!BB9*Tickets!Q234</f>
        <v>7683205.8811700754</v>
      </c>
      <c r="AJ11" s="12">
        <f>Users!BC9*Tickets!R234</f>
        <v>7936751.6752486872</v>
      </c>
      <c r="AK11" s="12">
        <f>Users!BD9*Tickets!S234</f>
        <v>8198664.4805318937</v>
      </c>
      <c r="AL11" s="12">
        <f>Users!BE9*Tickets!T234</f>
        <v>8469220.4083894454</v>
      </c>
      <c r="AM11" s="12">
        <f>Users!BF9*Tickets!U234</f>
        <v>8748704.6818662975</v>
      </c>
      <c r="AN11" s="12">
        <f>Users!BG9*Tickets!V234</f>
        <v>9054909.3457316197</v>
      </c>
      <c r="AO11" s="12">
        <f>Users!BH9*Tickets!W234</f>
        <v>9054909.3457316197</v>
      </c>
      <c r="AP11" s="12">
        <f>Users!BI9*Tickets!X234</f>
        <v>9054909.3457316197</v>
      </c>
      <c r="AQ11" s="12">
        <f>Users!BJ9*Tickets!Y234</f>
        <v>9054909.3457316197</v>
      </c>
      <c r="AR11" s="12">
        <f>Users!BK9*Tickets!Z234</f>
        <v>9054909.3457316197</v>
      </c>
      <c r="AS11" s="12">
        <f>Users!BL9*Tickets!AA234</f>
        <v>9054909.3457316197</v>
      </c>
      <c r="AT11" s="12">
        <f>Users!BM9*Tickets!AB234</f>
        <v>9054909.3457316197</v>
      </c>
      <c r="AU11" s="12">
        <f>Users!BN9*Tickets!AC234</f>
        <v>9054909.3457316197</v>
      </c>
      <c r="AV11" s="12">
        <f>Users!BO9*Tickets!AD234</f>
        <v>9054909.3457316197</v>
      </c>
      <c r="AW11" s="12">
        <f>Users!BP9*Tickets!AE234</f>
        <v>9054909.3457316197</v>
      </c>
      <c r="AX11" s="12">
        <f>Users!BQ9*Tickets!AF234</f>
        <v>9054909.3457316197</v>
      </c>
      <c r="AY11" s="12">
        <f>Users!BR9*Tickets!AG234</f>
        <v>9054909.3457316197</v>
      </c>
      <c r="AZ11" s="12">
        <f>Users!BS9*Tickets!AH234</f>
        <v>9054909.3457316197</v>
      </c>
      <c r="BA11" s="12">
        <f>Users!BT9*Tickets!AI234</f>
        <v>9054909.3457316197</v>
      </c>
      <c r="BB11" s="12">
        <f>Users!BU9*Tickets!AJ234</f>
        <v>9054909.3457316197</v>
      </c>
      <c r="BC11" s="12">
        <f>Users!BV9*Tickets!AK234</f>
        <v>9054909.3457316197</v>
      </c>
      <c r="BD11" s="12">
        <f>Users!BW9*Tickets!AL234</f>
        <v>9054909.3457316197</v>
      </c>
      <c r="BE11" s="12">
        <f>Users!BX9*Tickets!AM234</f>
        <v>9054909.3457316197</v>
      </c>
      <c r="BF11" s="12">
        <f>Users!BY9*Tickets!AN234</f>
        <v>9054909.3457316197</v>
      </c>
      <c r="BG11" s="12">
        <f>Users!BZ9*Tickets!AO234</f>
        <v>9054909.3457316197</v>
      </c>
      <c r="BH11" s="12">
        <f>Users!CA9*Tickets!AP234</f>
        <v>9054909.3457316197</v>
      </c>
      <c r="BI11" s="12">
        <f>Users!CB9*Tickets!AQ234</f>
        <v>9054909.3457316197</v>
      </c>
      <c r="BJ11" s="12">
        <f>Users!CC9*Tickets!AR234</f>
        <v>9054909.3457316197</v>
      </c>
      <c r="BK11" s="12">
        <f>Users!CD9*Tickets!AS234</f>
        <v>9054909.3457316197</v>
      </c>
      <c r="BL11" s="12">
        <f>Users!CE9*Tickets!AT234</f>
        <v>9054909.3457316197</v>
      </c>
      <c r="BM11" s="12">
        <f>Users!CF9*Tickets!AU234</f>
        <v>9054909.3457316197</v>
      </c>
      <c r="BN11" s="12">
        <f>Users!CG9*Tickets!AV234</f>
        <v>9054909.3457316197</v>
      </c>
      <c r="BO11" s="12">
        <f>Users!CH9*Tickets!AW234</f>
        <v>9054909.3457316197</v>
      </c>
      <c r="BP11" s="12">
        <f>Users!CI9*Tickets!AX234</f>
        <v>9054909.3457316197</v>
      </c>
      <c r="BQ11" s="12">
        <f>Users!CJ9*Tickets!AY234</f>
        <v>9054909.3457316197</v>
      </c>
      <c r="BR11" s="12">
        <f>Users!CK9*Tickets!AZ234</f>
        <v>9054909.3457316197</v>
      </c>
      <c r="BS11" s="12">
        <f>Users!CL9*Tickets!BA234</f>
        <v>9054909.3457316197</v>
      </c>
      <c r="BT11" s="12">
        <f>Users!CM9*Tickets!BB234</f>
        <v>9054909.3457316197</v>
      </c>
      <c r="BU11" s="12">
        <f>Users!CN9*Tickets!BC234</f>
        <v>9054909.3457316197</v>
      </c>
      <c r="BV11" s="12">
        <f>Users!CO9*Tickets!BD234</f>
        <v>9054909.3457316197</v>
      </c>
      <c r="BW11" s="12">
        <f>Users!CP9*Tickets!BE234</f>
        <v>9054909.3457316197</v>
      </c>
      <c r="BX11" s="12">
        <f>Users!CQ9*Tickets!BF234</f>
        <v>9054909.3457316197</v>
      </c>
      <c r="BY11" s="12">
        <f>Users!CR9*Tickets!BG234</f>
        <v>9054909.3457316197</v>
      </c>
      <c r="BZ11" s="12">
        <f>Users!CS9*Tickets!BH234</f>
        <v>9054909.3457316197</v>
      </c>
      <c r="CA11" s="12">
        <f>Users!CT9*Tickets!BI234</f>
        <v>9054909.3457316197</v>
      </c>
      <c r="CB11" s="12">
        <f>Users!CU9*Tickets!BJ234</f>
        <v>9054909.3457316197</v>
      </c>
      <c r="CC11" s="12">
        <f>Users!CV9*Tickets!BK234</f>
        <v>9054909.3457316197</v>
      </c>
    </row>
    <row r="12" spans="1:83" s="12" customFormat="1">
      <c r="Q12" s="12" t="s">
        <v>282</v>
      </c>
      <c r="U12" s="12">
        <f>Users!AN10*Tickets!C235</f>
        <v>13944862.811314417</v>
      </c>
      <c r="V12" s="12">
        <f>Users!AO10*Tickets!D235</f>
        <v>14614216.226257509</v>
      </c>
      <c r="W12" s="12">
        <f>Users!AP10*Tickets!E235</f>
        <v>15067256.929271495</v>
      </c>
      <c r="X12" s="12">
        <f>Users!AQ10*Tickets!F235</f>
        <v>15489140.123291094</v>
      </c>
      <c r="Y12" s="12">
        <f>Users!AR10*Tickets!G235</f>
        <v>15907346.906619957</v>
      </c>
      <c r="Z12" s="12">
        <f>Users!AS10*Tickets!H235</f>
        <v>16432289.354538416</v>
      </c>
      <c r="AA12" s="12">
        <f>Users!AT10*Tickets!I235</f>
        <v>17023851.771301795</v>
      </c>
      <c r="AB12" s="12">
        <f>Users!AU10*Tickets!J235</f>
        <v>17670758.138611265</v>
      </c>
      <c r="AC12" s="12">
        <f>Users!AV10*Tickets!K235</f>
        <v>18359917.706017103</v>
      </c>
      <c r="AD12" s="12">
        <f>Users!AW10*Tickets!L235</f>
        <v>19048414.619992744</v>
      </c>
      <c r="AE12" s="12">
        <f>Users!AX10*Tickets!M235</f>
        <v>19734157.546312477</v>
      </c>
      <c r="AF12" s="12">
        <f>Users!AY10*Tickets!N235</f>
        <v>20414985.981660262</v>
      </c>
      <c r="AG12" s="12">
        <f>Users!AZ10*Tickets!O235</f>
        <v>21088680.519055046</v>
      </c>
      <c r="AH12" s="12">
        <f>Users!BA10*Tickets!P235</f>
        <v>21784606.976183861</v>
      </c>
      <c r="AI12" s="12">
        <f>Users!BB10*Tickets!Q235</f>
        <v>22503499.006397925</v>
      </c>
      <c r="AJ12" s="12">
        <f>Users!BC10*Tickets!R235</f>
        <v>23246114.473609056</v>
      </c>
      <c r="AK12" s="12">
        <f>Users!BD10*Tickets!S235</f>
        <v>24013236.251238156</v>
      </c>
      <c r="AL12" s="12">
        <f>Users!BE10*Tickets!T235</f>
        <v>24805673.047529012</v>
      </c>
      <c r="AM12" s="12">
        <f>Users!BF10*Tickets!U235</f>
        <v>25624260.258097466</v>
      </c>
      <c r="AN12" s="12">
        <f>Users!BG10*Tickets!V235</f>
        <v>26521109.367130879</v>
      </c>
      <c r="AO12" s="12">
        <f>Users!BH10*Tickets!W235</f>
        <v>26521109.367130879</v>
      </c>
      <c r="AP12" s="12">
        <f>Users!BI10*Tickets!X235</f>
        <v>26521109.367130879</v>
      </c>
      <c r="AQ12" s="12">
        <f>Users!BJ10*Tickets!Y235</f>
        <v>26521109.367130879</v>
      </c>
      <c r="AR12" s="12">
        <f>Users!BK10*Tickets!Z235</f>
        <v>26521109.367130879</v>
      </c>
      <c r="AS12" s="12">
        <f>Users!BL10*Tickets!AA235</f>
        <v>26521109.367130879</v>
      </c>
      <c r="AT12" s="12">
        <f>Users!BM10*Tickets!AB235</f>
        <v>26521109.367130879</v>
      </c>
      <c r="AU12" s="12">
        <f>Users!BN10*Tickets!AC235</f>
        <v>26521109.367130879</v>
      </c>
      <c r="AV12" s="12">
        <f>Users!BO10*Tickets!AD235</f>
        <v>26521109.367130879</v>
      </c>
      <c r="AW12" s="12">
        <f>Users!BP10*Tickets!AE235</f>
        <v>26521109.367130879</v>
      </c>
      <c r="AX12" s="12">
        <f>Users!BQ10*Tickets!AF235</f>
        <v>26521109.367130879</v>
      </c>
      <c r="AY12" s="12">
        <f>Users!BR10*Tickets!AG235</f>
        <v>26521109.367130879</v>
      </c>
      <c r="AZ12" s="12">
        <f>Users!BS10*Tickets!AH235</f>
        <v>26521109.367130879</v>
      </c>
      <c r="BA12" s="12">
        <f>Users!BT10*Tickets!AI235</f>
        <v>26521109.367130879</v>
      </c>
      <c r="BB12" s="12">
        <f>Users!BU10*Tickets!AJ235</f>
        <v>26521109.367130879</v>
      </c>
      <c r="BC12" s="12">
        <f>Users!BV10*Tickets!AK235</f>
        <v>26521109.367130879</v>
      </c>
      <c r="BD12" s="12">
        <f>Users!BW10*Tickets!AL235</f>
        <v>26521109.367130879</v>
      </c>
      <c r="BE12" s="12">
        <f>Users!BX10*Tickets!AM235</f>
        <v>26521109.367130879</v>
      </c>
      <c r="BF12" s="12">
        <f>Users!BY10*Tickets!AN235</f>
        <v>26521109.367130879</v>
      </c>
      <c r="BG12" s="12">
        <f>Users!BZ10*Tickets!AO235</f>
        <v>26521109.367130879</v>
      </c>
      <c r="BH12" s="12">
        <f>Users!CA10*Tickets!AP235</f>
        <v>26521109.367130879</v>
      </c>
      <c r="BI12" s="12">
        <f>Users!CB10*Tickets!AQ235</f>
        <v>26521109.367130879</v>
      </c>
      <c r="BJ12" s="12">
        <f>Users!CC10*Tickets!AR235</f>
        <v>26521109.367130879</v>
      </c>
      <c r="BK12" s="12">
        <f>Users!CD10*Tickets!AS235</f>
        <v>26521109.367130879</v>
      </c>
      <c r="BL12" s="12">
        <f>Users!CE10*Tickets!AT235</f>
        <v>26521109.367130879</v>
      </c>
      <c r="BM12" s="12">
        <f>Users!CF10*Tickets!AU235</f>
        <v>26521109.367130879</v>
      </c>
      <c r="BN12" s="12">
        <f>Users!CG10*Tickets!AV235</f>
        <v>26521109.367130879</v>
      </c>
      <c r="BO12" s="12">
        <f>Users!CH10*Tickets!AW235</f>
        <v>26521109.367130879</v>
      </c>
      <c r="BP12" s="12">
        <f>Users!CI10*Tickets!AX235</f>
        <v>26521109.367130879</v>
      </c>
      <c r="BQ12" s="12">
        <f>Users!CJ10*Tickets!AY235</f>
        <v>26521109.367130879</v>
      </c>
      <c r="BR12" s="12">
        <f>Users!CK10*Tickets!AZ235</f>
        <v>26521109.367130879</v>
      </c>
      <c r="BS12" s="12">
        <f>Users!CL10*Tickets!BA235</f>
        <v>26521109.367130879</v>
      </c>
      <c r="BT12" s="12">
        <f>Users!CM10*Tickets!BB235</f>
        <v>26521109.367130879</v>
      </c>
      <c r="BU12" s="12">
        <f>Users!CN10*Tickets!BC235</f>
        <v>26521109.367130879</v>
      </c>
      <c r="BV12" s="12">
        <f>Users!CO10*Tickets!BD235</f>
        <v>26521109.367130879</v>
      </c>
      <c r="BW12" s="12">
        <f>Users!CP10*Tickets!BE235</f>
        <v>26521109.367130879</v>
      </c>
      <c r="BX12" s="12">
        <f>Users!CQ10*Tickets!BF235</f>
        <v>26521109.367130879</v>
      </c>
      <c r="BY12" s="12">
        <f>Users!CR10*Tickets!BG235</f>
        <v>26521109.367130879</v>
      </c>
      <c r="BZ12" s="12">
        <f>Users!CS10*Tickets!BH235</f>
        <v>26521109.367130879</v>
      </c>
      <c r="CA12" s="12">
        <f>Users!CT10*Tickets!BI235</f>
        <v>26521109.367130879</v>
      </c>
      <c r="CB12" s="12">
        <f>Users!CU10*Tickets!BJ235</f>
        <v>26521109.367130879</v>
      </c>
      <c r="CC12" s="12">
        <f>Users!CV10*Tickets!BK235</f>
        <v>26521109.367130879</v>
      </c>
    </row>
    <row r="13" spans="1:8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Q13" s="12" t="s">
        <v>92</v>
      </c>
      <c r="R13" s="12"/>
      <c r="S13" s="12"/>
      <c r="U13" s="12">
        <f>Users!AN11*Tickets!C236</f>
        <v>17382484.431048494</v>
      </c>
      <c r="V13" s="12">
        <f>Users!AO11*Tickets!D236</f>
        <v>18216843.683738824</v>
      </c>
      <c r="W13" s="12">
        <f>Users!AP11*Tickets!E236</f>
        <v>18781565.837934729</v>
      </c>
      <c r="X13" s="12">
        <f>Users!AQ11*Tickets!F236</f>
        <v>19307449.681396898</v>
      </c>
      <c r="Y13" s="12">
        <f>Users!AR11*Tickets!G236</f>
        <v>19828750.822794616</v>
      </c>
      <c r="Z13" s="12">
        <f>Users!AS11*Tickets!H236</f>
        <v>20483099.599946838</v>
      </c>
      <c r="AA13" s="12">
        <f>Users!AT11*Tickets!I236</f>
        <v>21220491.185544915</v>
      </c>
      <c r="AB13" s="12">
        <f>Users!AU11*Tickets!J236</f>
        <v>22026869.850595623</v>
      </c>
      <c r="AC13" s="12">
        <f>Users!AV11*Tickets!K236</f>
        <v>22885917.774768859</v>
      </c>
      <c r="AD13" s="12">
        <f>Users!AW11*Tickets!L236</f>
        <v>23744139.691322688</v>
      </c>
      <c r="AE13" s="12">
        <f>Users!AX11*Tickets!M236</f>
        <v>24598928.720210299</v>
      </c>
      <c r="AF13" s="12">
        <f>Users!AY11*Tickets!N236</f>
        <v>25447591.761057556</v>
      </c>
      <c r="AG13" s="12">
        <f>Users!AZ11*Tickets!O236</f>
        <v>26287362.289172456</v>
      </c>
      <c r="AH13" s="12">
        <f>Users!BA11*Tickets!P236</f>
        <v>27154845.244715143</v>
      </c>
      <c r="AI13" s="12">
        <f>Users!BB11*Tickets!Q236</f>
        <v>28050955.137790743</v>
      </c>
      <c r="AJ13" s="12">
        <f>Users!BC11*Tickets!R236</f>
        <v>28976636.657337833</v>
      </c>
      <c r="AK13" s="12">
        <f>Users!BD11*Tickets!S236</f>
        <v>29932865.667029977</v>
      </c>
      <c r="AL13" s="12">
        <f>Users!BE11*Tickets!T236</f>
        <v>30920650.234041963</v>
      </c>
      <c r="AM13" s="12">
        <f>Users!BF11*Tickets!U236</f>
        <v>31941031.691765342</v>
      </c>
      <c r="AN13" s="12">
        <f>Users!BG11*Tickets!V236</f>
        <v>33058967.800977133</v>
      </c>
      <c r="AO13" s="12">
        <f>Users!BH11*Tickets!W236</f>
        <v>33058967.800977133</v>
      </c>
      <c r="AP13" s="12">
        <f>Users!BI11*Tickets!X236</f>
        <v>33058967.800977133</v>
      </c>
      <c r="AQ13" s="12">
        <f>Users!BJ11*Tickets!Y236</f>
        <v>33058967.800977133</v>
      </c>
      <c r="AR13" s="12">
        <f>Users!BK11*Tickets!Z236</f>
        <v>33058967.800977133</v>
      </c>
      <c r="AS13" s="12">
        <f>Users!BL11*Tickets!AA236</f>
        <v>33058967.800977133</v>
      </c>
      <c r="AT13" s="12">
        <f>Users!BM11*Tickets!AB236</f>
        <v>33058967.800977133</v>
      </c>
      <c r="AU13" s="12">
        <f>Users!BN11*Tickets!AC236</f>
        <v>33058967.800977133</v>
      </c>
      <c r="AV13" s="12">
        <f>Users!BO11*Tickets!AD236</f>
        <v>33058967.800977133</v>
      </c>
      <c r="AW13" s="12">
        <f>Users!BP11*Tickets!AE236</f>
        <v>33058967.800977133</v>
      </c>
      <c r="AX13" s="12">
        <f>Users!BQ11*Tickets!AF236</f>
        <v>33058967.800977133</v>
      </c>
      <c r="AY13" s="12">
        <f>Users!BR11*Tickets!AG236</f>
        <v>33058967.800977133</v>
      </c>
      <c r="AZ13" s="12">
        <f>Users!BS11*Tickets!AH236</f>
        <v>33058967.800977133</v>
      </c>
      <c r="BA13" s="12">
        <f>Users!BT11*Tickets!AI236</f>
        <v>33058967.800977133</v>
      </c>
      <c r="BB13" s="12">
        <f>Users!BU11*Tickets!AJ236</f>
        <v>33058967.800977133</v>
      </c>
      <c r="BC13" s="12">
        <f>Users!BV11*Tickets!AK236</f>
        <v>33058967.800977133</v>
      </c>
      <c r="BD13" s="12">
        <f>Users!BW11*Tickets!AL236</f>
        <v>33058967.800977133</v>
      </c>
      <c r="BE13" s="12">
        <f>Users!BX11*Tickets!AM236</f>
        <v>33058967.800977133</v>
      </c>
      <c r="BF13" s="12">
        <f>Users!BY11*Tickets!AN236</f>
        <v>33058967.800977133</v>
      </c>
      <c r="BG13" s="12">
        <f>Users!BZ11*Tickets!AO236</f>
        <v>33058967.800977133</v>
      </c>
      <c r="BH13" s="12">
        <f>Users!CA11*Tickets!AP236</f>
        <v>33058967.800977133</v>
      </c>
      <c r="BI13" s="12">
        <f>Users!CB11*Tickets!AQ236</f>
        <v>33058967.800977133</v>
      </c>
      <c r="BJ13" s="12">
        <f>Users!CC11*Tickets!AR236</f>
        <v>33058967.800977133</v>
      </c>
      <c r="BK13" s="12">
        <f>Users!CD11*Tickets!AS236</f>
        <v>33058967.800977133</v>
      </c>
      <c r="BL13" s="12">
        <f>Users!CE11*Tickets!AT236</f>
        <v>33058967.800977133</v>
      </c>
      <c r="BM13" s="12">
        <f>Users!CF11*Tickets!AU236</f>
        <v>33058967.800977133</v>
      </c>
      <c r="BN13" s="12">
        <f>Users!CG11*Tickets!AV236</f>
        <v>33058967.800977133</v>
      </c>
      <c r="BO13" s="12">
        <f>Users!CH11*Tickets!AW236</f>
        <v>33058967.800977133</v>
      </c>
      <c r="BP13" s="12">
        <f>Users!CI11*Tickets!AX236</f>
        <v>33058967.800977133</v>
      </c>
      <c r="BQ13" s="12">
        <f>Users!CJ11*Tickets!AY236</f>
        <v>33058967.800977133</v>
      </c>
      <c r="BR13" s="12">
        <f>Users!CK11*Tickets!AZ236</f>
        <v>33058967.800977133</v>
      </c>
      <c r="BS13" s="12">
        <f>Users!CL11*Tickets!BA236</f>
        <v>33058967.800977133</v>
      </c>
      <c r="BT13" s="12">
        <f>Users!CM11*Tickets!BB236</f>
        <v>33058967.800977133</v>
      </c>
      <c r="BU13" s="12">
        <f>Users!CN11*Tickets!BC236</f>
        <v>33058967.800977133</v>
      </c>
      <c r="BV13" s="12">
        <f>Users!CO11*Tickets!BD236</f>
        <v>33058967.800977133</v>
      </c>
      <c r="BW13" s="12">
        <f>Users!CP11*Tickets!BE236</f>
        <v>33058967.800977133</v>
      </c>
      <c r="BX13" s="12">
        <f>Users!CQ11*Tickets!BF236</f>
        <v>33058967.800977133</v>
      </c>
      <c r="BY13" s="12">
        <f>Users!CR11*Tickets!BG236</f>
        <v>33058967.800977133</v>
      </c>
      <c r="BZ13" s="12">
        <f>Users!CS11*Tickets!BH236</f>
        <v>33058967.800977133</v>
      </c>
      <c r="CA13" s="12">
        <f>Users!CT11*Tickets!BI236</f>
        <v>33058967.800977133</v>
      </c>
      <c r="CB13" s="12">
        <f>Users!CU11*Tickets!BJ236</f>
        <v>33058967.800977133</v>
      </c>
      <c r="CC13" s="12">
        <f>Users!CV11*Tickets!BK236</f>
        <v>33058967.800977133</v>
      </c>
    </row>
    <row r="14" spans="1:8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Q14" s="12"/>
      <c r="R14" s="12"/>
      <c r="S14" s="12"/>
    </row>
    <row r="15" spans="1:8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Q15" s="12"/>
      <c r="R15" s="12"/>
      <c r="S15" s="12"/>
    </row>
    <row r="16" spans="1:83" s="12" customFormat="1">
      <c r="F16" s="17"/>
      <c r="G16" s="17"/>
      <c r="H16" s="17"/>
      <c r="I16" s="17"/>
      <c r="J16" s="17"/>
      <c r="K16" s="17"/>
    </row>
    <row r="17" spans="1:81" s="12" customFormat="1">
      <c r="Q17" s="12" t="s">
        <v>178</v>
      </c>
    </row>
    <row r="18" spans="1:8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Q18" s="12" t="s">
        <v>276</v>
      </c>
      <c r="R18" s="12"/>
      <c r="S18" s="12"/>
      <c r="U18">
        <f>Users!AN16*Tickets!C241</f>
        <v>11413367.690872209</v>
      </c>
      <c r="V18" s="12">
        <f>Users!AO16*Tickets!D241</f>
        <v>11961209.340034075</v>
      </c>
      <c r="W18" s="12">
        <f>Users!AP16*Tickets!E241</f>
        <v>12332006.829575133</v>
      </c>
      <c r="X18" s="12">
        <f>Users!AQ16*Tickets!F241</f>
        <v>12677303.020803234</v>
      </c>
      <c r="Y18" s="12">
        <f>Users!AR16*Tickets!G241</f>
        <v>13019590.20236492</v>
      </c>
      <c r="Z18" s="12">
        <f>Users!AS16*Tickets!H241</f>
        <v>13449236.679042963</v>
      </c>
      <c r="AA18" s="12">
        <f>Users!AT16*Tickets!I241</f>
        <v>13933409.199488506</v>
      </c>
      <c r="AB18" s="12">
        <f>Users!AU16*Tickets!J241</f>
        <v>14462878.749069069</v>
      </c>
      <c r="AC18" s="12">
        <f>Users!AV16*Tickets!K241</f>
        <v>15026931.020282764</v>
      </c>
      <c r="AD18" s="12">
        <f>Users!AW16*Tickets!L241</f>
        <v>15590440.933543367</v>
      </c>
      <c r="AE18" s="12">
        <f>Users!AX16*Tickets!M241</f>
        <v>16151696.807150926</v>
      </c>
      <c r="AF18" s="12">
        <f>Users!AY16*Tickets!N241</f>
        <v>16708930.346997635</v>
      </c>
      <c r="AG18" s="12">
        <f>Users!AZ16*Tickets!O241</f>
        <v>17260325.048448555</v>
      </c>
      <c r="AH18" s="12">
        <f>Users!BA16*Tickets!P241</f>
        <v>17829915.775047358</v>
      </c>
      <c r="AI18" s="12">
        <f>Users!BB16*Tickets!Q241</f>
        <v>18418302.99562392</v>
      </c>
      <c r="AJ18" s="12">
        <f>Users!BC16*Tickets!R241</f>
        <v>19026106.994479507</v>
      </c>
      <c r="AK18" s="12">
        <f>Users!BD16*Tickets!S241</f>
        <v>19653968.525297333</v>
      </c>
      <c r="AL18" s="12">
        <f>Users!BE16*Tickets!T241</f>
        <v>20302549.486632142</v>
      </c>
      <c r="AM18" s="12">
        <f>Users!BF16*Tickets!U241</f>
        <v>20972533.619691003</v>
      </c>
      <c r="AN18" s="12">
        <f>Users!BG16*Tickets!V241</f>
        <v>21706572.296380188</v>
      </c>
      <c r="AO18" s="12">
        <f>Users!BH16*Tickets!W241</f>
        <v>21706572.296380188</v>
      </c>
      <c r="AP18" s="12">
        <f>Users!BI16*Tickets!X241</f>
        <v>21706572.296380188</v>
      </c>
      <c r="AQ18" s="12">
        <f>Users!BJ16*Tickets!Y241</f>
        <v>21706572.296380188</v>
      </c>
      <c r="AR18" s="12">
        <f>Users!BK16*Tickets!Z241</f>
        <v>21706572.296380188</v>
      </c>
      <c r="AS18" s="12">
        <f>Users!BL16*Tickets!AA241</f>
        <v>21706572.296380188</v>
      </c>
      <c r="AT18" s="12">
        <f>Users!BM16*Tickets!AB241</f>
        <v>21706572.296380188</v>
      </c>
      <c r="AU18" s="12">
        <f>Users!BN16*Tickets!AC241</f>
        <v>21706572.296380188</v>
      </c>
      <c r="AV18" s="12">
        <f>Users!BO16*Tickets!AD241</f>
        <v>21706572.296380188</v>
      </c>
      <c r="AW18" s="12">
        <f>Users!BP16*Tickets!AE241</f>
        <v>21706572.296380188</v>
      </c>
      <c r="AX18" s="12">
        <f>Users!BQ16*Tickets!AF241</f>
        <v>21706572.296380188</v>
      </c>
      <c r="AY18" s="12">
        <f>Users!BR16*Tickets!AG241</f>
        <v>21706572.296380188</v>
      </c>
      <c r="AZ18" s="12">
        <f>Users!BS16*Tickets!AH241</f>
        <v>21706572.296380188</v>
      </c>
      <c r="BA18" s="12">
        <f>Users!BT16*Tickets!AI241</f>
        <v>21706572.296380188</v>
      </c>
      <c r="BB18" s="12">
        <f>Users!BU16*Tickets!AJ241</f>
        <v>21706572.296380188</v>
      </c>
      <c r="BC18" s="12">
        <f>Users!BV16*Tickets!AK241</f>
        <v>21706572.296380188</v>
      </c>
      <c r="BD18" s="12">
        <f>Users!BW16*Tickets!AL241</f>
        <v>21706572.296380188</v>
      </c>
      <c r="BE18" s="12">
        <f>Users!BX16*Tickets!AM241</f>
        <v>21706572.296380188</v>
      </c>
      <c r="BF18" s="12">
        <f>Users!BY16*Tickets!AN241</f>
        <v>21706572.296380188</v>
      </c>
      <c r="BG18" s="12">
        <f>Users!BZ16*Tickets!AO241</f>
        <v>21706572.296380188</v>
      </c>
      <c r="BH18" s="12">
        <f>Users!CA16*Tickets!AP241</f>
        <v>21706572.296380188</v>
      </c>
      <c r="BI18" s="12">
        <f>Users!CB16*Tickets!AQ241</f>
        <v>21706572.296380188</v>
      </c>
      <c r="BJ18" s="12">
        <f>Users!CC16*Tickets!AR241</f>
        <v>21706572.296380188</v>
      </c>
      <c r="BK18" s="12">
        <f>Users!CD16*Tickets!AS241</f>
        <v>21706572.296380188</v>
      </c>
      <c r="BL18" s="12">
        <f>Users!CE16*Tickets!AT241</f>
        <v>21706572.296380188</v>
      </c>
      <c r="BM18" s="12">
        <f>Users!CF16*Tickets!AU241</f>
        <v>21706572.296380188</v>
      </c>
      <c r="BN18" s="12">
        <f>Users!CG16*Tickets!AV241</f>
        <v>21706572.296380188</v>
      </c>
      <c r="BO18" s="12">
        <f>Users!CH16*Tickets!AW241</f>
        <v>21706572.296380188</v>
      </c>
      <c r="BP18" s="12">
        <f>Users!CI16*Tickets!AX241</f>
        <v>21706572.296380188</v>
      </c>
      <c r="BQ18" s="12">
        <f>Users!CJ16*Tickets!AY241</f>
        <v>21706572.296380188</v>
      </c>
      <c r="BR18" s="12">
        <f>Users!CK16*Tickets!AZ241</f>
        <v>21706572.296380188</v>
      </c>
      <c r="BS18" s="12">
        <f>Users!CL16*Tickets!BA241</f>
        <v>21706572.296380188</v>
      </c>
      <c r="BT18" s="12">
        <f>Users!CM16*Tickets!BB241</f>
        <v>21706572.296380188</v>
      </c>
      <c r="BU18" s="12">
        <f>Users!CN16*Tickets!BC241</f>
        <v>21706572.296380188</v>
      </c>
      <c r="BV18" s="12">
        <f>Users!CO16*Tickets!BD241</f>
        <v>21706572.296380188</v>
      </c>
      <c r="BW18" s="12">
        <f>Users!CP16*Tickets!BE241</f>
        <v>21706572.296380188</v>
      </c>
      <c r="BX18" s="12">
        <f>Users!CQ16*Tickets!BF241</f>
        <v>21706572.296380188</v>
      </c>
      <c r="BY18" s="12">
        <f>Users!CR16*Tickets!BG241</f>
        <v>21706572.296380188</v>
      </c>
      <c r="BZ18" s="12">
        <f>Users!CS16*Tickets!BH241</f>
        <v>21706572.296380188</v>
      </c>
      <c r="CA18" s="12">
        <f>Users!CT16*Tickets!BI241</f>
        <v>21706572.296380188</v>
      </c>
      <c r="CB18" s="12">
        <f>Users!CU16*Tickets!BJ241</f>
        <v>21706572.296380188</v>
      </c>
      <c r="CC18" s="12">
        <f>Users!CV16*Tickets!BK241</f>
        <v>21706572.296380188</v>
      </c>
    </row>
    <row r="19" spans="1:81">
      <c r="A19" s="12"/>
      <c r="B19" s="12"/>
      <c r="C19" s="12"/>
      <c r="D19" s="12"/>
      <c r="E19" s="12"/>
      <c r="F19" s="17"/>
      <c r="G19" s="17"/>
      <c r="H19" s="17"/>
      <c r="I19" s="17"/>
      <c r="J19" s="17"/>
      <c r="K19" s="12"/>
      <c r="L19" s="12"/>
      <c r="Q19" s="12" t="s">
        <v>277</v>
      </c>
      <c r="R19" s="12"/>
      <c r="S19" s="12"/>
      <c r="U19" s="12">
        <f>Users!AN17*Tickets!C242</f>
        <v>11892003.08243815</v>
      </c>
      <c r="V19" s="12">
        <f>Users!AO17*Tickets!D242</f>
        <v>12462819.230395183</v>
      </c>
      <c r="W19" s="12">
        <f>Users!AP17*Tickets!E242</f>
        <v>12849166.626537433</v>
      </c>
      <c r="X19" s="12">
        <f>Users!AQ17*Tickets!F242</f>
        <v>13208943.292080479</v>
      </c>
      <c r="Y19" s="12">
        <f>Users!AR17*Tickets!G242</f>
        <v>13565584.760966651</v>
      </c>
      <c r="Z19" s="12">
        <f>Users!AS17*Tickets!H242</f>
        <v>14013249.058078548</v>
      </c>
      <c r="AA19" s="12">
        <f>Users!AT17*Tickets!I242</f>
        <v>14517726.024169372</v>
      </c>
      <c r="AB19" s="12">
        <f>Users!AU17*Tickets!J242</f>
        <v>15069399.613087809</v>
      </c>
      <c r="AC19" s="12">
        <f>Users!AV17*Tickets!K242</f>
        <v>15657106.197998235</v>
      </c>
      <c r="AD19" s="12">
        <f>Users!AW17*Tickets!L242</f>
        <v>16244247.680423167</v>
      </c>
      <c r="AE19" s="12">
        <f>Users!AX17*Tickets!M242</f>
        <v>16829040.5969184</v>
      </c>
      <c r="AF19" s="12">
        <f>Users!AY17*Tickets!N242</f>
        <v>17409642.497512084</v>
      </c>
      <c r="AG19" s="12">
        <f>Users!AZ17*Tickets!O242</f>
        <v>17984160.699929982</v>
      </c>
      <c r="AH19" s="12">
        <f>Users!BA17*Tickets!P242</f>
        <v>18577638.00302767</v>
      </c>
      <c r="AI19" s="12">
        <f>Users!BB17*Tickets!Q242</f>
        <v>19190700.057127584</v>
      </c>
      <c r="AJ19" s="12">
        <f>Users!BC17*Tickets!R242</f>
        <v>19823993.159012794</v>
      </c>
      <c r="AK19" s="12">
        <f>Users!BD17*Tickets!S242</f>
        <v>20478184.933260217</v>
      </c>
      <c r="AL19" s="12">
        <f>Users!BE17*Tickets!T242</f>
        <v>21153965.036057804</v>
      </c>
      <c r="AM19" s="12">
        <f>Users!BF17*Tickets!U242</f>
        <v>21852045.882247712</v>
      </c>
      <c r="AN19" s="12">
        <f>Users!BG17*Tickets!V242</f>
        <v>22616867.488126382</v>
      </c>
      <c r="AO19" s="12">
        <f>Users!BH17*Tickets!W242</f>
        <v>22616867.488126382</v>
      </c>
      <c r="AP19" s="12">
        <f>Users!BI17*Tickets!X242</f>
        <v>22616867.488126382</v>
      </c>
      <c r="AQ19" s="12">
        <f>Users!BJ17*Tickets!Y242</f>
        <v>22616867.488126382</v>
      </c>
      <c r="AR19" s="12">
        <f>Users!BK17*Tickets!Z242</f>
        <v>22616867.488126382</v>
      </c>
      <c r="AS19" s="12">
        <f>Users!BL17*Tickets!AA242</f>
        <v>22616867.488126382</v>
      </c>
      <c r="AT19" s="12">
        <f>Users!BM17*Tickets!AB242</f>
        <v>22616867.488126382</v>
      </c>
      <c r="AU19" s="12">
        <f>Users!BN17*Tickets!AC242</f>
        <v>22616867.488126382</v>
      </c>
      <c r="AV19" s="12">
        <f>Users!BO17*Tickets!AD242</f>
        <v>22616867.488126382</v>
      </c>
      <c r="AW19" s="12">
        <f>Users!BP17*Tickets!AE242</f>
        <v>22616867.488126382</v>
      </c>
      <c r="AX19" s="12">
        <f>Users!BQ17*Tickets!AF242</f>
        <v>22616867.488126382</v>
      </c>
      <c r="AY19" s="12">
        <f>Users!BR17*Tickets!AG242</f>
        <v>22616867.488126382</v>
      </c>
      <c r="AZ19" s="12">
        <f>Users!BS17*Tickets!AH242</f>
        <v>22616867.488126382</v>
      </c>
      <c r="BA19" s="12">
        <f>Users!BT17*Tickets!AI242</f>
        <v>22616867.488126382</v>
      </c>
      <c r="BB19" s="12">
        <f>Users!BU17*Tickets!AJ242</f>
        <v>22616867.488126382</v>
      </c>
      <c r="BC19" s="12">
        <f>Users!BV17*Tickets!AK242</f>
        <v>22616867.488126382</v>
      </c>
      <c r="BD19" s="12">
        <f>Users!BW17*Tickets!AL242</f>
        <v>22616867.488126382</v>
      </c>
      <c r="BE19" s="12">
        <f>Users!BX17*Tickets!AM242</f>
        <v>22616867.488126382</v>
      </c>
      <c r="BF19" s="12">
        <f>Users!BY17*Tickets!AN242</f>
        <v>22616867.488126382</v>
      </c>
      <c r="BG19" s="12">
        <f>Users!BZ17*Tickets!AO242</f>
        <v>22616867.488126382</v>
      </c>
      <c r="BH19" s="12">
        <f>Users!CA17*Tickets!AP242</f>
        <v>22616867.488126382</v>
      </c>
      <c r="BI19" s="12">
        <f>Users!CB17*Tickets!AQ242</f>
        <v>22616867.488126382</v>
      </c>
      <c r="BJ19" s="12">
        <f>Users!CC17*Tickets!AR242</f>
        <v>22616867.488126382</v>
      </c>
      <c r="BK19" s="12">
        <f>Users!CD17*Tickets!AS242</f>
        <v>22616867.488126382</v>
      </c>
      <c r="BL19" s="12">
        <f>Users!CE17*Tickets!AT242</f>
        <v>22616867.488126382</v>
      </c>
      <c r="BM19" s="12">
        <f>Users!CF17*Tickets!AU242</f>
        <v>22616867.488126382</v>
      </c>
      <c r="BN19" s="12">
        <f>Users!CG17*Tickets!AV242</f>
        <v>22616867.488126382</v>
      </c>
      <c r="BO19" s="12">
        <f>Users!CH17*Tickets!AW242</f>
        <v>22616867.488126382</v>
      </c>
      <c r="BP19" s="12">
        <f>Users!CI17*Tickets!AX242</f>
        <v>22616867.488126382</v>
      </c>
      <c r="BQ19" s="12">
        <f>Users!CJ17*Tickets!AY242</f>
        <v>22616867.488126382</v>
      </c>
      <c r="BR19" s="12">
        <f>Users!CK17*Tickets!AZ242</f>
        <v>22616867.488126382</v>
      </c>
      <c r="BS19" s="12">
        <f>Users!CL17*Tickets!BA242</f>
        <v>22616867.488126382</v>
      </c>
      <c r="BT19" s="12">
        <f>Users!CM17*Tickets!BB242</f>
        <v>22616867.488126382</v>
      </c>
      <c r="BU19" s="12">
        <f>Users!CN17*Tickets!BC242</f>
        <v>22616867.488126382</v>
      </c>
      <c r="BV19" s="12">
        <f>Users!CO17*Tickets!BD242</f>
        <v>22616867.488126382</v>
      </c>
      <c r="BW19" s="12">
        <f>Users!CP17*Tickets!BE242</f>
        <v>22616867.488126382</v>
      </c>
      <c r="BX19" s="12">
        <f>Users!CQ17*Tickets!BF242</f>
        <v>22616867.488126382</v>
      </c>
      <c r="BY19" s="12">
        <f>Users!CR17*Tickets!BG242</f>
        <v>22616867.488126382</v>
      </c>
      <c r="BZ19" s="12">
        <f>Users!CS17*Tickets!BH242</f>
        <v>22616867.488126382</v>
      </c>
      <c r="CA19" s="12">
        <f>Users!CT17*Tickets!BI242</f>
        <v>22616867.488126382</v>
      </c>
      <c r="CB19" s="12">
        <f>Users!CU17*Tickets!BJ242</f>
        <v>22616867.488126382</v>
      </c>
      <c r="CC19" s="12">
        <f>Users!CV17*Tickets!BK242</f>
        <v>22616867.488126382</v>
      </c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Q20" s="12" t="s">
        <v>278</v>
      </c>
      <c r="R20" s="12"/>
      <c r="S20" s="12"/>
      <c r="U20" s="12">
        <f>Users!AN18*Tickets!C243</f>
        <v>12497235.432565296</v>
      </c>
      <c r="V20" s="12">
        <f>Users!AO18*Tickets!D243</f>
        <v>13097102.733328432</v>
      </c>
      <c r="W20" s="12">
        <f>Users!AP18*Tickets!E243</f>
        <v>13503112.918061614</v>
      </c>
      <c r="X20" s="12">
        <f>Users!AQ18*Tickets!F243</f>
        <v>13881200.079767335</v>
      </c>
      <c r="Y20" s="12">
        <f>Users!AR18*Tickets!G243</f>
        <v>14255992.481921054</v>
      </c>
      <c r="Z20" s="12">
        <f>Users!AS18*Tickets!H243</f>
        <v>14726440.233824449</v>
      </c>
      <c r="AA20" s="12">
        <f>Users!AT18*Tickets!I243</f>
        <v>15256592.082242126</v>
      </c>
      <c r="AB20" s="12">
        <f>Users!AU18*Tickets!J243</f>
        <v>15836342.581367325</v>
      </c>
      <c r="AC20" s="12">
        <f>Users!AV18*Tickets!K243</f>
        <v>16453959.942040654</v>
      </c>
      <c r="AD20" s="12">
        <f>Users!AW18*Tickets!L243</f>
        <v>17070983.439867176</v>
      </c>
      <c r="AE20" s="12">
        <f>Users!AX18*Tickets!M243</f>
        <v>17685538.843702395</v>
      </c>
      <c r="AF20" s="12">
        <f>Users!AY18*Tickets!N243</f>
        <v>18295689.933810126</v>
      </c>
      <c r="AG20" s="12">
        <f>Users!AZ18*Tickets!O243</f>
        <v>18899447.701625861</v>
      </c>
      <c r="AH20" s="12">
        <f>Users!BA18*Tickets!P243</f>
        <v>19523129.475779515</v>
      </c>
      <c r="AI20" s="12">
        <f>Users!BB18*Tickets!Q243</f>
        <v>20167392.748480238</v>
      </c>
      <c r="AJ20" s="12">
        <f>Users!BC18*Tickets!R243</f>
        <v>20832916.709180087</v>
      </c>
      <c r="AK20" s="12">
        <f>Users!BD18*Tickets!S243</f>
        <v>21520402.960583027</v>
      </c>
      <c r="AL20" s="12">
        <f>Users!BE18*Tickets!T243</f>
        <v>22230576.258282267</v>
      </c>
      <c r="AM20" s="12">
        <f>Users!BF18*Tickets!U243</f>
        <v>22964185.274805579</v>
      </c>
      <c r="AN20" s="12">
        <f>Users!BG18*Tickets!V243</f>
        <v>23767931.759423774</v>
      </c>
      <c r="AO20" s="12">
        <f>Users!BH18*Tickets!W243</f>
        <v>23767931.759423774</v>
      </c>
      <c r="AP20" s="12">
        <f>Users!BI18*Tickets!X243</f>
        <v>23767931.759423774</v>
      </c>
      <c r="AQ20" s="12">
        <f>Users!BJ18*Tickets!Y243</f>
        <v>23767931.759423774</v>
      </c>
      <c r="AR20" s="12">
        <f>Users!BK18*Tickets!Z243</f>
        <v>23767931.759423774</v>
      </c>
      <c r="AS20" s="12">
        <f>Users!BL18*Tickets!AA243</f>
        <v>23767931.759423774</v>
      </c>
      <c r="AT20" s="12">
        <f>Users!BM18*Tickets!AB243</f>
        <v>23767931.759423774</v>
      </c>
      <c r="AU20" s="12">
        <f>Users!BN18*Tickets!AC243</f>
        <v>23767931.759423774</v>
      </c>
      <c r="AV20" s="12">
        <f>Users!BO18*Tickets!AD243</f>
        <v>23767931.759423774</v>
      </c>
      <c r="AW20" s="12">
        <f>Users!BP18*Tickets!AE243</f>
        <v>23767931.759423774</v>
      </c>
      <c r="AX20" s="12">
        <f>Users!BQ18*Tickets!AF243</f>
        <v>23767931.759423774</v>
      </c>
      <c r="AY20" s="12">
        <f>Users!BR18*Tickets!AG243</f>
        <v>23767931.759423774</v>
      </c>
      <c r="AZ20" s="12">
        <f>Users!BS18*Tickets!AH243</f>
        <v>23767931.759423774</v>
      </c>
      <c r="BA20" s="12">
        <f>Users!BT18*Tickets!AI243</f>
        <v>23767931.759423774</v>
      </c>
      <c r="BB20" s="12">
        <f>Users!BU18*Tickets!AJ243</f>
        <v>23767931.759423774</v>
      </c>
      <c r="BC20" s="12">
        <f>Users!BV18*Tickets!AK243</f>
        <v>23767931.759423774</v>
      </c>
      <c r="BD20" s="12">
        <f>Users!BW18*Tickets!AL243</f>
        <v>23767931.759423774</v>
      </c>
      <c r="BE20" s="12">
        <f>Users!BX18*Tickets!AM243</f>
        <v>23767931.759423774</v>
      </c>
      <c r="BF20" s="12">
        <f>Users!BY18*Tickets!AN243</f>
        <v>23767931.759423774</v>
      </c>
      <c r="BG20" s="12">
        <f>Users!BZ18*Tickets!AO243</f>
        <v>23767931.759423774</v>
      </c>
      <c r="BH20" s="12">
        <f>Users!CA18*Tickets!AP243</f>
        <v>23767931.759423774</v>
      </c>
      <c r="BI20" s="12">
        <f>Users!CB18*Tickets!AQ243</f>
        <v>23767931.759423774</v>
      </c>
      <c r="BJ20" s="12">
        <f>Users!CC18*Tickets!AR243</f>
        <v>23767931.759423774</v>
      </c>
      <c r="BK20" s="12">
        <f>Users!CD18*Tickets!AS243</f>
        <v>23767931.759423774</v>
      </c>
      <c r="BL20" s="12">
        <f>Users!CE18*Tickets!AT243</f>
        <v>23767931.759423774</v>
      </c>
      <c r="BM20" s="12">
        <f>Users!CF18*Tickets!AU243</f>
        <v>23767931.759423774</v>
      </c>
      <c r="BN20" s="12">
        <f>Users!CG18*Tickets!AV243</f>
        <v>23767931.759423774</v>
      </c>
      <c r="BO20" s="12">
        <f>Users!CH18*Tickets!AW243</f>
        <v>23767931.759423774</v>
      </c>
      <c r="BP20" s="12">
        <f>Users!CI18*Tickets!AX243</f>
        <v>23767931.759423774</v>
      </c>
      <c r="BQ20" s="12">
        <f>Users!CJ18*Tickets!AY243</f>
        <v>23767931.759423774</v>
      </c>
      <c r="BR20" s="12">
        <f>Users!CK18*Tickets!AZ243</f>
        <v>23767931.759423774</v>
      </c>
      <c r="BS20" s="12">
        <f>Users!CL18*Tickets!BA243</f>
        <v>23767931.759423774</v>
      </c>
      <c r="BT20" s="12">
        <f>Users!CM18*Tickets!BB243</f>
        <v>23767931.759423774</v>
      </c>
      <c r="BU20" s="12">
        <f>Users!CN18*Tickets!BC243</f>
        <v>23767931.759423774</v>
      </c>
      <c r="BV20" s="12">
        <f>Users!CO18*Tickets!BD243</f>
        <v>23767931.759423774</v>
      </c>
      <c r="BW20" s="12">
        <f>Users!CP18*Tickets!BE243</f>
        <v>23767931.759423774</v>
      </c>
      <c r="BX20" s="12">
        <f>Users!CQ18*Tickets!BF243</f>
        <v>23767931.759423774</v>
      </c>
      <c r="BY20" s="12">
        <f>Users!CR18*Tickets!BG243</f>
        <v>23767931.759423774</v>
      </c>
      <c r="BZ20" s="12">
        <f>Users!CS18*Tickets!BH243</f>
        <v>23767931.759423774</v>
      </c>
      <c r="CA20" s="12">
        <f>Users!CT18*Tickets!BI243</f>
        <v>23767931.759423774</v>
      </c>
      <c r="CB20" s="12">
        <f>Users!CU18*Tickets!BJ243</f>
        <v>23767931.759423774</v>
      </c>
      <c r="CC20" s="12">
        <f>Users!CV18*Tickets!BK243</f>
        <v>23767931.759423774</v>
      </c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Q21" s="12" t="s">
        <v>279</v>
      </c>
      <c r="R21" s="12"/>
      <c r="S21" s="12"/>
      <c r="U21" s="12">
        <f>Users!AN19*Tickets!C244</f>
        <v>13189769.501671012</v>
      </c>
      <c r="V21" s="12">
        <f>Users!AO19*Tickets!D244</f>
        <v>13822878.437751221</v>
      </c>
      <c r="W21" s="12">
        <f>Users!AP19*Tickets!E244</f>
        <v>14251387.669321513</v>
      </c>
      <c r="X21" s="12">
        <f>Users!AQ19*Tickets!F244</f>
        <v>14650426.524062512</v>
      </c>
      <c r="Y21" s="12">
        <f>Users!AR19*Tickets!G244</f>
        <v>15045988.040212203</v>
      </c>
      <c r="Z21" s="12">
        <f>Users!AS19*Tickets!H244</f>
        <v>15542505.645539206</v>
      </c>
      <c r="AA21" s="12">
        <f>Users!AT19*Tickets!I244</f>
        <v>16102035.848778615</v>
      </c>
      <c r="AB21" s="12">
        <f>Users!AU19*Tickets!J244</f>
        <v>16713913.211032199</v>
      </c>
      <c r="AC21" s="12">
        <f>Users!AV19*Tickets!K244</f>
        <v>17365755.826262455</v>
      </c>
      <c r="AD21" s="12">
        <f>Users!AW19*Tickets!L244</f>
        <v>18016971.669747297</v>
      </c>
      <c r="AE21" s="12">
        <f>Users!AX19*Tickets!M244</f>
        <v>18665582.649858195</v>
      </c>
      <c r="AF21" s="12">
        <f>Users!AY19*Tickets!N244</f>
        <v>19309545.251278307</v>
      </c>
      <c r="AG21" s="12">
        <f>Users!AZ19*Tickets!O244</f>
        <v>19946760.244570486</v>
      </c>
      <c r="AH21" s="12">
        <f>Users!BA19*Tickets!P244</f>
        <v>20605003.332641311</v>
      </c>
      <c r="AI21" s="12">
        <f>Users!BB19*Tickets!Q244</f>
        <v>21284968.442618474</v>
      </c>
      <c r="AJ21" s="12">
        <f>Users!BC19*Tickets!R244</f>
        <v>21987372.401224885</v>
      </c>
      <c r="AK21" s="12">
        <f>Users!BD19*Tickets!S244</f>
        <v>22712955.690465301</v>
      </c>
      <c r="AL21" s="12">
        <f>Users!BE19*Tickets!T244</f>
        <v>23462483.228250656</v>
      </c>
      <c r="AM21" s="12">
        <f>Users!BF19*Tickets!U244</f>
        <v>24236745.174782924</v>
      </c>
      <c r="AN21" s="12">
        <f>Users!BG19*Tickets!V244</f>
        <v>25085031.255900327</v>
      </c>
      <c r="AO21" s="12">
        <f>Users!BH19*Tickets!W244</f>
        <v>25085031.255900327</v>
      </c>
      <c r="AP21" s="12">
        <f>Users!BI19*Tickets!X244</f>
        <v>25085031.255900327</v>
      </c>
      <c r="AQ21" s="12">
        <f>Users!BJ19*Tickets!Y244</f>
        <v>25085031.255900327</v>
      </c>
      <c r="AR21" s="12">
        <f>Users!BK19*Tickets!Z244</f>
        <v>25085031.255900327</v>
      </c>
      <c r="AS21" s="12">
        <f>Users!BL19*Tickets!AA244</f>
        <v>25085031.255900327</v>
      </c>
      <c r="AT21" s="12">
        <f>Users!BM19*Tickets!AB244</f>
        <v>25085031.255900327</v>
      </c>
      <c r="AU21" s="12">
        <f>Users!BN19*Tickets!AC244</f>
        <v>25085031.255900327</v>
      </c>
      <c r="AV21" s="12">
        <f>Users!BO19*Tickets!AD244</f>
        <v>25085031.255900327</v>
      </c>
      <c r="AW21" s="12">
        <f>Users!BP19*Tickets!AE244</f>
        <v>25085031.255900327</v>
      </c>
      <c r="AX21" s="12">
        <f>Users!BQ19*Tickets!AF244</f>
        <v>25085031.255900327</v>
      </c>
      <c r="AY21" s="12">
        <f>Users!BR19*Tickets!AG244</f>
        <v>25085031.255900327</v>
      </c>
      <c r="AZ21" s="12">
        <f>Users!BS19*Tickets!AH244</f>
        <v>25085031.255900327</v>
      </c>
      <c r="BA21" s="12">
        <f>Users!BT19*Tickets!AI244</f>
        <v>25085031.255900327</v>
      </c>
      <c r="BB21" s="12">
        <f>Users!BU19*Tickets!AJ244</f>
        <v>25085031.255900327</v>
      </c>
      <c r="BC21" s="12">
        <f>Users!BV19*Tickets!AK244</f>
        <v>25085031.255900327</v>
      </c>
      <c r="BD21" s="12">
        <f>Users!BW19*Tickets!AL244</f>
        <v>25085031.255900327</v>
      </c>
      <c r="BE21" s="12">
        <f>Users!BX19*Tickets!AM244</f>
        <v>25085031.255900327</v>
      </c>
      <c r="BF21" s="12">
        <f>Users!BY19*Tickets!AN244</f>
        <v>25085031.255900327</v>
      </c>
      <c r="BG21" s="12">
        <f>Users!BZ19*Tickets!AO244</f>
        <v>25085031.255900327</v>
      </c>
      <c r="BH21" s="12">
        <f>Users!CA19*Tickets!AP244</f>
        <v>25085031.255900327</v>
      </c>
      <c r="BI21" s="12">
        <f>Users!CB19*Tickets!AQ244</f>
        <v>25085031.255900327</v>
      </c>
      <c r="BJ21" s="12">
        <f>Users!CC19*Tickets!AR244</f>
        <v>25085031.255900327</v>
      </c>
      <c r="BK21" s="12">
        <f>Users!CD19*Tickets!AS244</f>
        <v>25085031.255900327</v>
      </c>
      <c r="BL21" s="12">
        <f>Users!CE19*Tickets!AT244</f>
        <v>25085031.255900327</v>
      </c>
      <c r="BM21" s="12">
        <f>Users!CF19*Tickets!AU244</f>
        <v>25085031.255900327</v>
      </c>
      <c r="BN21" s="12">
        <f>Users!CG19*Tickets!AV244</f>
        <v>25085031.255900327</v>
      </c>
      <c r="BO21" s="12">
        <f>Users!CH19*Tickets!AW244</f>
        <v>25085031.255900327</v>
      </c>
      <c r="BP21" s="12">
        <f>Users!CI19*Tickets!AX244</f>
        <v>25085031.255900327</v>
      </c>
      <c r="BQ21" s="12">
        <f>Users!CJ19*Tickets!AY244</f>
        <v>25085031.255900327</v>
      </c>
      <c r="BR21" s="12">
        <f>Users!CK19*Tickets!AZ244</f>
        <v>25085031.255900327</v>
      </c>
      <c r="BS21" s="12">
        <f>Users!CL19*Tickets!BA244</f>
        <v>25085031.255900327</v>
      </c>
      <c r="BT21" s="12">
        <f>Users!CM19*Tickets!BB244</f>
        <v>25085031.255900327</v>
      </c>
      <c r="BU21" s="12">
        <f>Users!CN19*Tickets!BC244</f>
        <v>25085031.255900327</v>
      </c>
      <c r="BV21" s="12">
        <f>Users!CO19*Tickets!BD244</f>
        <v>25085031.255900327</v>
      </c>
      <c r="BW21" s="12">
        <f>Users!CP19*Tickets!BE244</f>
        <v>25085031.255900327</v>
      </c>
      <c r="BX21" s="12">
        <f>Users!CQ19*Tickets!BF244</f>
        <v>25085031.255900327</v>
      </c>
      <c r="BY21" s="12">
        <f>Users!CR19*Tickets!BG244</f>
        <v>25085031.255900327</v>
      </c>
      <c r="BZ21" s="12">
        <f>Users!CS19*Tickets!BH244</f>
        <v>25085031.255900327</v>
      </c>
      <c r="CA21" s="12">
        <f>Users!CT19*Tickets!BI244</f>
        <v>25085031.255900327</v>
      </c>
      <c r="CB21" s="12">
        <f>Users!CU19*Tickets!BJ244</f>
        <v>25085031.255900327</v>
      </c>
      <c r="CC21" s="12">
        <f>Users!CV19*Tickets!BK244</f>
        <v>25085031.255900327</v>
      </c>
    </row>
    <row r="22" spans="1:81" s="12" customFormat="1">
      <c r="Q22" s="12" t="s">
        <v>280</v>
      </c>
      <c r="U22" s="12">
        <f>Users!AN20*Tickets!C245</f>
        <v>4261912.5081644608</v>
      </c>
      <c r="V22" s="12">
        <f>Users!AO20*Tickets!D245</f>
        <v>4466484.3085563546</v>
      </c>
      <c r="W22" s="12">
        <f>Users!AP20*Tickets!E245</f>
        <v>4604945.3221216025</v>
      </c>
      <c r="X22" s="12">
        <f>Users!AQ20*Tickets!F245</f>
        <v>4733883.7911410062</v>
      </c>
      <c r="Y22" s="12">
        <f>Users!AR20*Tickets!G245</f>
        <v>4861698.6535018142</v>
      </c>
      <c r="Z22" s="12">
        <f>Users!AS20*Tickets!H245</f>
        <v>5022134.7090673735</v>
      </c>
      <c r="AA22" s="12">
        <f>Users!AT20*Tickets!I245</f>
        <v>5202931.5585937984</v>
      </c>
      <c r="AB22" s="12">
        <f>Users!AU20*Tickets!J245</f>
        <v>5400642.9578203615</v>
      </c>
      <c r="AC22" s="12">
        <f>Users!AV20*Tickets!K245</f>
        <v>5611268.0331753567</v>
      </c>
      <c r="AD22" s="12">
        <f>Users!AW20*Tickets!L245</f>
        <v>5821690.5844194321</v>
      </c>
      <c r="AE22" s="12">
        <f>Users!AX20*Tickets!M245</f>
        <v>6031271.4454585304</v>
      </c>
      <c r="AF22" s="12">
        <f>Users!AY20*Tickets!N245</f>
        <v>6239350.3103268491</v>
      </c>
      <c r="AG22" s="12">
        <f>Users!AZ20*Tickets!O245</f>
        <v>6445248.8705676347</v>
      </c>
      <c r="AH22" s="12">
        <f>Users!BA20*Tickets!P245</f>
        <v>6657942.0832963651</v>
      </c>
      <c r="AI22" s="12">
        <f>Users!BB20*Tickets!Q245</f>
        <v>6877654.1720451452</v>
      </c>
      <c r="AJ22" s="12">
        <f>Users!BC20*Tickets!R245</f>
        <v>7104616.7597226342</v>
      </c>
      <c r="AK22" s="12">
        <f>Users!BD20*Tickets!S245</f>
        <v>7339069.112793481</v>
      </c>
      <c r="AL22" s="12">
        <f>Users!BE20*Tickets!T245</f>
        <v>7581258.3935156651</v>
      </c>
      <c r="AM22" s="12">
        <f>Users!BF20*Tickets!U245</f>
        <v>7831439.920501682</v>
      </c>
      <c r="AN22" s="12">
        <f>Users!BG20*Tickets!V245</f>
        <v>8105540.3177192425</v>
      </c>
      <c r="AO22" s="12">
        <f>Users!BH20*Tickets!W245</f>
        <v>8105540.3177192425</v>
      </c>
      <c r="AP22" s="12">
        <f>Users!BI20*Tickets!X245</f>
        <v>8105540.3177192425</v>
      </c>
      <c r="AQ22" s="12">
        <f>Users!BJ20*Tickets!Y245</f>
        <v>8105540.3177192425</v>
      </c>
      <c r="AR22" s="12">
        <f>Users!BK20*Tickets!Z245</f>
        <v>8105540.3177192425</v>
      </c>
      <c r="AS22" s="12">
        <f>Users!BL20*Tickets!AA245</f>
        <v>8105540.3177192425</v>
      </c>
      <c r="AT22" s="12">
        <f>Users!BM20*Tickets!AB245</f>
        <v>8105540.3177192425</v>
      </c>
      <c r="AU22" s="12">
        <f>Users!BN20*Tickets!AC245</f>
        <v>8105540.3177192425</v>
      </c>
      <c r="AV22" s="12">
        <f>Users!BO20*Tickets!AD245</f>
        <v>8105540.3177192425</v>
      </c>
      <c r="AW22" s="12">
        <f>Users!BP20*Tickets!AE245</f>
        <v>8105540.3177192425</v>
      </c>
      <c r="AX22" s="12">
        <f>Users!BQ20*Tickets!AF245</f>
        <v>8105540.3177192425</v>
      </c>
      <c r="AY22" s="12">
        <f>Users!BR20*Tickets!AG245</f>
        <v>8105540.3177192425</v>
      </c>
      <c r="AZ22" s="12">
        <f>Users!BS20*Tickets!AH245</f>
        <v>8105540.3177192425</v>
      </c>
      <c r="BA22" s="12">
        <f>Users!BT20*Tickets!AI245</f>
        <v>8105540.3177192425</v>
      </c>
      <c r="BB22" s="12">
        <f>Users!BU20*Tickets!AJ245</f>
        <v>8105540.3177192425</v>
      </c>
      <c r="BC22" s="12">
        <f>Users!BV20*Tickets!AK245</f>
        <v>8105540.3177192425</v>
      </c>
      <c r="BD22" s="12">
        <f>Users!BW20*Tickets!AL245</f>
        <v>8105540.3177192425</v>
      </c>
      <c r="BE22" s="12">
        <f>Users!BX20*Tickets!AM245</f>
        <v>8105540.3177192425</v>
      </c>
      <c r="BF22" s="12">
        <f>Users!BY20*Tickets!AN245</f>
        <v>8105540.3177192425</v>
      </c>
      <c r="BG22" s="12">
        <f>Users!BZ20*Tickets!AO245</f>
        <v>8105540.3177192425</v>
      </c>
      <c r="BH22" s="12">
        <f>Users!CA20*Tickets!AP245</f>
        <v>8105540.3177192425</v>
      </c>
      <c r="BI22" s="12">
        <f>Users!CB20*Tickets!AQ245</f>
        <v>8105540.3177192425</v>
      </c>
      <c r="BJ22" s="12">
        <f>Users!CC20*Tickets!AR245</f>
        <v>8105540.3177192425</v>
      </c>
      <c r="BK22" s="12">
        <f>Users!CD20*Tickets!AS245</f>
        <v>8105540.3177192425</v>
      </c>
      <c r="BL22" s="12">
        <f>Users!CE20*Tickets!AT245</f>
        <v>8105540.3177192425</v>
      </c>
      <c r="BM22" s="12">
        <f>Users!CF20*Tickets!AU245</f>
        <v>8105540.3177192425</v>
      </c>
      <c r="BN22" s="12">
        <f>Users!CG20*Tickets!AV245</f>
        <v>8105540.3177192425</v>
      </c>
      <c r="BO22" s="12">
        <f>Users!CH20*Tickets!AW245</f>
        <v>8105540.3177192425</v>
      </c>
      <c r="BP22" s="12">
        <f>Users!CI20*Tickets!AX245</f>
        <v>8105540.3177192425</v>
      </c>
      <c r="BQ22" s="12">
        <f>Users!CJ20*Tickets!AY245</f>
        <v>8105540.3177192425</v>
      </c>
      <c r="BR22" s="12">
        <f>Users!CK20*Tickets!AZ245</f>
        <v>8105540.3177192425</v>
      </c>
      <c r="BS22" s="12">
        <f>Users!CL20*Tickets!BA245</f>
        <v>8105540.3177192425</v>
      </c>
      <c r="BT22" s="12">
        <f>Users!CM20*Tickets!BB245</f>
        <v>8105540.3177192425</v>
      </c>
      <c r="BU22" s="12">
        <f>Users!CN20*Tickets!BC245</f>
        <v>8105540.3177192425</v>
      </c>
      <c r="BV22" s="12">
        <f>Users!CO20*Tickets!BD245</f>
        <v>8105540.3177192425</v>
      </c>
      <c r="BW22" s="12">
        <f>Users!CP20*Tickets!BE245</f>
        <v>8105540.3177192425</v>
      </c>
      <c r="BX22" s="12">
        <f>Users!CQ20*Tickets!BF245</f>
        <v>8105540.3177192425</v>
      </c>
      <c r="BY22" s="12">
        <f>Users!CR20*Tickets!BG245</f>
        <v>8105540.3177192425</v>
      </c>
      <c r="BZ22" s="12">
        <f>Users!CS20*Tickets!BH245</f>
        <v>8105540.3177192425</v>
      </c>
      <c r="CA22" s="12">
        <f>Users!CT20*Tickets!BI245</f>
        <v>8105540.3177192425</v>
      </c>
      <c r="CB22" s="12">
        <f>Users!CU20*Tickets!BJ245</f>
        <v>8105540.3177192425</v>
      </c>
      <c r="CC22" s="12">
        <f>Users!CV20*Tickets!BK245</f>
        <v>8105540.3177192425</v>
      </c>
    </row>
    <row r="23" spans="1:81" s="12" customFormat="1">
      <c r="Q23" s="12" t="s">
        <v>281</v>
      </c>
      <c r="U23" s="12">
        <f>Users!AN21*Tickets!C246</f>
        <v>3972111.9862093301</v>
      </c>
      <c r="V23" s="12">
        <f>Users!AO21*Tickets!D246</f>
        <v>4162773.3615473784</v>
      </c>
      <c r="W23" s="12">
        <f>Users!AP21*Tickets!E246</f>
        <v>4291819.3357553482</v>
      </c>
      <c r="X23" s="12">
        <f>Users!AQ21*Tickets!F246</f>
        <v>4411990.2771564974</v>
      </c>
      <c r="Y23" s="12">
        <f>Users!AR21*Tickets!G246</f>
        <v>4531114.0146397231</v>
      </c>
      <c r="Z23" s="12">
        <f>Users!AS21*Tickets!H246</f>
        <v>4680640.7771228338</v>
      </c>
      <c r="AA23" s="12">
        <f>Users!AT21*Tickets!I246</f>
        <v>4849143.8450992545</v>
      </c>
      <c r="AB23" s="12">
        <f>Users!AU21*Tickets!J246</f>
        <v>5033411.3112130258</v>
      </c>
      <c r="AC23" s="12">
        <f>Users!AV21*Tickets!K246</f>
        <v>5229714.3523503346</v>
      </c>
      <c r="AD23" s="12">
        <f>Users!AW21*Tickets!L246</f>
        <v>5425828.6405634712</v>
      </c>
      <c r="AE23" s="12">
        <f>Users!AX21*Tickets!M246</f>
        <v>5621158.4716237551</v>
      </c>
      <c r="AF23" s="12">
        <f>Users!AY21*Tickets!N246</f>
        <v>5815088.4388947748</v>
      </c>
      <c r="AG23" s="12">
        <f>Users!AZ21*Tickets!O246</f>
        <v>6006986.3573783021</v>
      </c>
      <c r="AH23" s="12">
        <f>Users!BA21*Tickets!P246</f>
        <v>6205216.9071717858</v>
      </c>
      <c r="AI23" s="12">
        <f>Users!BB21*Tickets!Q246</f>
        <v>6409989.0651084557</v>
      </c>
      <c r="AJ23" s="12">
        <f>Users!BC21*Tickets!R246</f>
        <v>6621518.7042570347</v>
      </c>
      <c r="AK23" s="12">
        <f>Users!BD21*Tickets!S246</f>
        <v>6840028.8214975158</v>
      </c>
      <c r="AL23" s="12">
        <f>Users!BE21*Tickets!T246</f>
        <v>7065749.7726069326</v>
      </c>
      <c r="AM23" s="12">
        <f>Users!BF21*Tickets!U246</f>
        <v>7298919.5151029611</v>
      </c>
      <c r="AN23" s="12">
        <f>Users!BG21*Tickets!V246</f>
        <v>7554381.698131565</v>
      </c>
      <c r="AO23" s="12">
        <f>Users!BH21*Tickets!W246</f>
        <v>7554381.698131565</v>
      </c>
      <c r="AP23" s="12">
        <f>Users!BI21*Tickets!X246</f>
        <v>7554381.698131565</v>
      </c>
      <c r="AQ23" s="12">
        <f>Users!BJ21*Tickets!Y246</f>
        <v>7554381.698131565</v>
      </c>
      <c r="AR23" s="12">
        <f>Users!BK21*Tickets!Z246</f>
        <v>7554381.698131565</v>
      </c>
      <c r="AS23" s="12">
        <f>Users!BL21*Tickets!AA246</f>
        <v>7554381.698131565</v>
      </c>
      <c r="AT23" s="12">
        <f>Users!BM21*Tickets!AB246</f>
        <v>7554381.698131565</v>
      </c>
      <c r="AU23" s="12">
        <f>Users!BN21*Tickets!AC246</f>
        <v>7554381.698131565</v>
      </c>
      <c r="AV23" s="12">
        <f>Users!BO21*Tickets!AD246</f>
        <v>7554381.698131565</v>
      </c>
      <c r="AW23" s="12">
        <f>Users!BP21*Tickets!AE246</f>
        <v>7554381.698131565</v>
      </c>
      <c r="AX23" s="12">
        <f>Users!BQ21*Tickets!AF246</f>
        <v>7554381.698131565</v>
      </c>
      <c r="AY23" s="12">
        <f>Users!BR21*Tickets!AG246</f>
        <v>7554381.698131565</v>
      </c>
      <c r="AZ23" s="12">
        <f>Users!BS21*Tickets!AH246</f>
        <v>7554381.698131565</v>
      </c>
      <c r="BA23" s="12">
        <f>Users!BT21*Tickets!AI246</f>
        <v>7554381.698131565</v>
      </c>
      <c r="BB23" s="12">
        <f>Users!BU21*Tickets!AJ246</f>
        <v>7554381.698131565</v>
      </c>
      <c r="BC23" s="12">
        <f>Users!BV21*Tickets!AK246</f>
        <v>7554381.698131565</v>
      </c>
      <c r="BD23" s="12">
        <f>Users!BW21*Tickets!AL246</f>
        <v>7554381.698131565</v>
      </c>
      <c r="BE23" s="12">
        <f>Users!BX21*Tickets!AM246</f>
        <v>7554381.698131565</v>
      </c>
      <c r="BF23" s="12">
        <f>Users!BY21*Tickets!AN246</f>
        <v>7554381.698131565</v>
      </c>
      <c r="BG23" s="12">
        <f>Users!BZ21*Tickets!AO246</f>
        <v>7554381.698131565</v>
      </c>
      <c r="BH23" s="12">
        <f>Users!CA21*Tickets!AP246</f>
        <v>7554381.698131565</v>
      </c>
      <c r="BI23" s="12">
        <f>Users!CB21*Tickets!AQ246</f>
        <v>7554381.698131565</v>
      </c>
      <c r="BJ23" s="12">
        <f>Users!CC21*Tickets!AR246</f>
        <v>7554381.698131565</v>
      </c>
      <c r="BK23" s="12">
        <f>Users!CD21*Tickets!AS246</f>
        <v>7554381.698131565</v>
      </c>
      <c r="BL23" s="12">
        <f>Users!CE21*Tickets!AT246</f>
        <v>7554381.698131565</v>
      </c>
      <c r="BM23" s="12">
        <f>Users!CF21*Tickets!AU246</f>
        <v>7554381.698131565</v>
      </c>
      <c r="BN23" s="12">
        <f>Users!CG21*Tickets!AV246</f>
        <v>7554381.698131565</v>
      </c>
      <c r="BO23" s="12">
        <f>Users!CH21*Tickets!AW246</f>
        <v>7554381.698131565</v>
      </c>
      <c r="BP23" s="12">
        <f>Users!CI21*Tickets!AX246</f>
        <v>7554381.698131565</v>
      </c>
      <c r="BQ23" s="12">
        <f>Users!CJ21*Tickets!AY246</f>
        <v>7554381.698131565</v>
      </c>
      <c r="BR23" s="12">
        <f>Users!CK21*Tickets!AZ246</f>
        <v>7554381.698131565</v>
      </c>
      <c r="BS23" s="12">
        <f>Users!CL21*Tickets!BA246</f>
        <v>7554381.698131565</v>
      </c>
      <c r="BT23" s="12">
        <f>Users!CM21*Tickets!BB246</f>
        <v>7554381.698131565</v>
      </c>
      <c r="BU23" s="12">
        <f>Users!CN21*Tickets!BC246</f>
        <v>7554381.698131565</v>
      </c>
      <c r="BV23" s="12">
        <f>Users!CO21*Tickets!BD246</f>
        <v>7554381.698131565</v>
      </c>
      <c r="BW23" s="12">
        <f>Users!CP21*Tickets!BE246</f>
        <v>7554381.698131565</v>
      </c>
      <c r="BX23" s="12">
        <f>Users!CQ21*Tickets!BF246</f>
        <v>7554381.698131565</v>
      </c>
      <c r="BY23" s="12">
        <f>Users!CR21*Tickets!BG246</f>
        <v>7554381.698131565</v>
      </c>
      <c r="BZ23" s="12">
        <f>Users!CS21*Tickets!BH246</f>
        <v>7554381.698131565</v>
      </c>
      <c r="CA23" s="12">
        <f>Users!CT21*Tickets!BI246</f>
        <v>7554381.698131565</v>
      </c>
      <c r="CB23" s="12">
        <f>Users!CU21*Tickets!BJ246</f>
        <v>7554381.698131565</v>
      </c>
      <c r="CC23" s="12">
        <f>Users!CV21*Tickets!BK246</f>
        <v>7554381.698131565</v>
      </c>
    </row>
    <row r="24" spans="1:81" s="12" customFormat="1">
      <c r="Q24" s="12" t="s">
        <v>282</v>
      </c>
      <c r="U24" s="12">
        <f>Users!AN22*Tickets!C247</f>
        <v>20083381.965044294</v>
      </c>
      <c r="V24" s="12">
        <f>Users!AO22*Tickets!D247</f>
        <v>21047384.299366422</v>
      </c>
      <c r="W24" s="12">
        <f>Users!AP22*Tickets!E247</f>
        <v>21699853.212646786</v>
      </c>
      <c r="X24" s="12">
        <f>Users!AQ22*Tickets!F247</f>
        <v>22307449.102600891</v>
      </c>
      <c r="Y24" s="12">
        <f>Users!AR22*Tickets!G247</f>
        <v>22909750.228371117</v>
      </c>
      <c r="Z24" s="12">
        <f>Users!AS22*Tickets!H247</f>
        <v>23665771.985907365</v>
      </c>
      <c r="AA24" s="12">
        <f>Users!AT22*Tickets!I247</f>
        <v>24517739.777400028</v>
      </c>
      <c r="AB24" s="12">
        <f>Users!AU22*Tickets!J247</f>
        <v>25449413.888941228</v>
      </c>
      <c r="AC24" s="12">
        <f>Users!AV22*Tickets!K247</f>
        <v>26441941.030609939</v>
      </c>
      <c r="AD24" s="12">
        <f>Users!AW22*Tickets!L247</f>
        <v>27433513.819257814</v>
      </c>
      <c r="AE24" s="12">
        <f>Users!AX22*Tickets!M247</f>
        <v>28421120.316751093</v>
      </c>
      <c r="AF24" s="12">
        <f>Users!AY22*Tickets!N247</f>
        <v>29401648.967679009</v>
      </c>
      <c r="AG24" s="12">
        <f>Users!AZ22*Tickets!O247</f>
        <v>30371903.383612417</v>
      </c>
      <c r="AH24" s="12">
        <f>Users!BA22*Tickets!P247</f>
        <v>31374176.195271626</v>
      </c>
      <c r="AI24" s="12">
        <f>Users!BB22*Tickets!Q247</f>
        <v>32409524.009715587</v>
      </c>
      <c r="AJ24" s="12">
        <f>Users!BC22*Tickets!R247</f>
        <v>33479038.3020362</v>
      </c>
      <c r="AK24" s="12">
        <f>Users!BD22*Tickets!S247</f>
        <v>34583846.56600339</v>
      </c>
      <c r="AL24" s="12">
        <f>Users!BE22*Tickets!T247</f>
        <v>35725113.502681494</v>
      </c>
      <c r="AM24" s="12">
        <f>Users!BF22*Tickets!U247</f>
        <v>36904042.248269983</v>
      </c>
      <c r="AN24" s="12">
        <f>Users!BG22*Tickets!V247</f>
        <v>38195683.726959437</v>
      </c>
      <c r="AO24" s="12">
        <f>Users!BH22*Tickets!W247</f>
        <v>38195683.726959437</v>
      </c>
      <c r="AP24" s="12">
        <f>Users!BI22*Tickets!X247</f>
        <v>38195683.726959437</v>
      </c>
      <c r="AQ24" s="12">
        <f>Users!BJ22*Tickets!Y247</f>
        <v>38195683.726959437</v>
      </c>
      <c r="AR24" s="12">
        <f>Users!BK22*Tickets!Z247</f>
        <v>38195683.726959437</v>
      </c>
      <c r="AS24" s="12">
        <f>Users!BL22*Tickets!AA247</f>
        <v>38195683.726959437</v>
      </c>
      <c r="AT24" s="12">
        <f>Users!BM22*Tickets!AB247</f>
        <v>38195683.726959437</v>
      </c>
      <c r="AU24" s="12">
        <f>Users!BN22*Tickets!AC247</f>
        <v>38195683.726959437</v>
      </c>
      <c r="AV24" s="12">
        <f>Users!BO22*Tickets!AD247</f>
        <v>38195683.726959437</v>
      </c>
      <c r="AW24" s="12">
        <f>Users!BP22*Tickets!AE247</f>
        <v>38195683.726959437</v>
      </c>
      <c r="AX24" s="12">
        <f>Users!BQ22*Tickets!AF247</f>
        <v>38195683.726959437</v>
      </c>
      <c r="AY24" s="12">
        <f>Users!BR22*Tickets!AG247</f>
        <v>38195683.726959437</v>
      </c>
      <c r="AZ24" s="12">
        <f>Users!BS22*Tickets!AH247</f>
        <v>38195683.726959437</v>
      </c>
      <c r="BA24" s="12">
        <f>Users!BT22*Tickets!AI247</f>
        <v>38195683.726959437</v>
      </c>
      <c r="BB24" s="12">
        <f>Users!BU22*Tickets!AJ247</f>
        <v>38195683.726959437</v>
      </c>
      <c r="BC24" s="12">
        <f>Users!BV22*Tickets!AK247</f>
        <v>38195683.726959437</v>
      </c>
      <c r="BD24" s="12">
        <f>Users!BW22*Tickets!AL247</f>
        <v>38195683.726959437</v>
      </c>
      <c r="BE24" s="12">
        <f>Users!BX22*Tickets!AM247</f>
        <v>38195683.726959437</v>
      </c>
      <c r="BF24" s="12">
        <f>Users!BY22*Tickets!AN247</f>
        <v>38195683.726959437</v>
      </c>
      <c r="BG24" s="12">
        <f>Users!BZ22*Tickets!AO247</f>
        <v>38195683.726959437</v>
      </c>
      <c r="BH24" s="12">
        <f>Users!CA22*Tickets!AP247</f>
        <v>38195683.726959437</v>
      </c>
      <c r="BI24" s="12">
        <f>Users!CB22*Tickets!AQ247</f>
        <v>38195683.726959437</v>
      </c>
      <c r="BJ24" s="12">
        <f>Users!CC22*Tickets!AR247</f>
        <v>38195683.726959437</v>
      </c>
      <c r="BK24" s="12">
        <f>Users!CD22*Tickets!AS247</f>
        <v>38195683.726959437</v>
      </c>
      <c r="BL24" s="12">
        <f>Users!CE22*Tickets!AT247</f>
        <v>38195683.726959437</v>
      </c>
      <c r="BM24" s="12">
        <f>Users!CF22*Tickets!AU247</f>
        <v>38195683.726959437</v>
      </c>
      <c r="BN24" s="12">
        <f>Users!CG22*Tickets!AV247</f>
        <v>38195683.726959437</v>
      </c>
      <c r="BO24" s="12">
        <f>Users!CH22*Tickets!AW247</f>
        <v>38195683.726959437</v>
      </c>
      <c r="BP24" s="12">
        <f>Users!CI22*Tickets!AX247</f>
        <v>38195683.726959437</v>
      </c>
      <c r="BQ24" s="12">
        <f>Users!CJ22*Tickets!AY247</f>
        <v>38195683.726959437</v>
      </c>
      <c r="BR24" s="12">
        <f>Users!CK22*Tickets!AZ247</f>
        <v>38195683.726959437</v>
      </c>
      <c r="BS24" s="12">
        <f>Users!CL22*Tickets!BA247</f>
        <v>38195683.726959437</v>
      </c>
      <c r="BT24" s="12">
        <f>Users!CM22*Tickets!BB247</f>
        <v>38195683.726959437</v>
      </c>
      <c r="BU24" s="12">
        <f>Users!CN22*Tickets!BC247</f>
        <v>38195683.726959437</v>
      </c>
      <c r="BV24" s="12">
        <f>Users!CO22*Tickets!BD247</f>
        <v>38195683.726959437</v>
      </c>
      <c r="BW24" s="12">
        <f>Users!CP22*Tickets!BE247</f>
        <v>38195683.726959437</v>
      </c>
      <c r="BX24" s="12">
        <f>Users!CQ22*Tickets!BF247</f>
        <v>38195683.726959437</v>
      </c>
      <c r="BY24" s="12">
        <f>Users!CR22*Tickets!BG247</f>
        <v>38195683.726959437</v>
      </c>
      <c r="BZ24" s="12">
        <f>Users!CS22*Tickets!BH247</f>
        <v>38195683.726959437</v>
      </c>
      <c r="CA24" s="12">
        <f>Users!CT22*Tickets!BI247</f>
        <v>38195683.726959437</v>
      </c>
      <c r="CB24" s="12">
        <f>Users!CU22*Tickets!BJ247</f>
        <v>38195683.726959437</v>
      </c>
      <c r="CC24" s="12">
        <f>Users!CV22*Tickets!BK247</f>
        <v>38195683.726959437</v>
      </c>
    </row>
    <row r="25" spans="1:8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Q25" s="12" t="s">
        <v>92</v>
      </c>
      <c r="R25" s="12"/>
      <c r="S25" s="12"/>
      <c r="U25" s="12">
        <f>Users!AN23*Tickets!C248</f>
        <v>17203680.325857423</v>
      </c>
      <c r="V25" s="12">
        <f>Users!AO23*Tickets!D248</f>
        <v>18029456.98149858</v>
      </c>
      <c r="W25" s="12">
        <f>Users!AP23*Tickets!E248</f>
        <v>18588370.147925038</v>
      </c>
      <c r="X25" s="12">
        <f>Users!AQ23*Tickets!F248</f>
        <v>19108844.512066934</v>
      </c>
      <c r="Y25" s="12">
        <f>Users!AR23*Tickets!G248</f>
        <v>19624783.313892748</v>
      </c>
      <c r="Z25" s="12">
        <f>Users!AS23*Tickets!H248</f>
        <v>20272401.163251206</v>
      </c>
      <c r="AA25" s="12">
        <f>Users!AT23*Tickets!I248</f>
        <v>21002207.605128244</v>
      </c>
      <c r="AB25" s="12">
        <f>Users!AU23*Tickets!J248</f>
        <v>21800291.49412312</v>
      </c>
      <c r="AC25" s="12">
        <f>Users!AV23*Tickets!K248</f>
        <v>22650502.862393923</v>
      </c>
      <c r="AD25" s="12">
        <f>Users!AW23*Tickets!L248</f>
        <v>23499896.719733693</v>
      </c>
      <c r="AE25" s="12">
        <f>Users!AX23*Tickets!M248</f>
        <v>24345893.001644101</v>
      </c>
      <c r="AF25" s="12">
        <f>Users!AY23*Tickets!N248</f>
        <v>25185826.310200825</v>
      </c>
      <c r="AG25" s="12">
        <f>Users!AZ23*Tickets!O248</f>
        <v>26016958.578437448</v>
      </c>
      <c r="AH25" s="12">
        <f>Users!BA23*Tickets!P248</f>
        <v>26875518.21152588</v>
      </c>
      <c r="AI25" s="12">
        <f>Users!BB23*Tickets!Q248</f>
        <v>27762410.312506236</v>
      </c>
      <c r="AJ25" s="12">
        <f>Users!BC23*Tickets!R248</f>
        <v>28678569.852818944</v>
      </c>
      <c r="AK25" s="12">
        <f>Users!BD23*Tickets!S248</f>
        <v>29624962.657961968</v>
      </c>
      <c r="AL25" s="12">
        <f>Users!BE23*Tickets!T248</f>
        <v>30602586.425674714</v>
      </c>
      <c r="AM25" s="12">
        <f>Users!BF23*Tickets!U248</f>
        <v>31612471.777721975</v>
      </c>
      <c r="AN25" s="12">
        <f>Users!BG23*Tickets!V248</f>
        <v>32718908.28994225</v>
      </c>
      <c r="AO25" s="12">
        <f>Users!BH23*Tickets!W248</f>
        <v>32718908.28994225</v>
      </c>
      <c r="AP25" s="12">
        <f>Users!BI23*Tickets!X248</f>
        <v>32718908.28994225</v>
      </c>
      <c r="AQ25" s="12">
        <f>Users!BJ23*Tickets!Y248</f>
        <v>32718908.28994225</v>
      </c>
      <c r="AR25" s="12">
        <f>Users!BK23*Tickets!Z248</f>
        <v>32718908.28994225</v>
      </c>
      <c r="AS25" s="12">
        <f>Users!BL23*Tickets!AA248</f>
        <v>32718908.28994225</v>
      </c>
      <c r="AT25" s="12">
        <f>Users!BM23*Tickets!AB248</f>
        <v>32718908.28994225</v>
      </c>
      <c r="AU25" s="12">
        <f>Users!BN23*Tickets!AC248</f>
        <v>32718908.28994225</v>
      </c>
      <c r="AV25" s="12">
        <f>Users!BO23*Tickets!AD248</f>
        <v>32718908.28994225</v>
      </c>
      <c r="AW25" s="12">
        <f>Users!BP23*Tickets!AE248</f>
        <v>32718908.28994225</v>
      </c>
      <c r="AX25" s="12">
        <f>Users!BQ23*Tickets!AF248</f>
        <v>32718908.28994225</v>
      </c>
      <c r="AY25" s="12">
        <f>Users!BR23*Tickets!AG248</f>
        <v>32718908.28994225</v>
      </c>
      <c r="AZ25" s="12">
        <f>Users!BS23*Tickets!AH248</f>
        <v>32718908.28994225</v>
      </c>
      <c r="BA25" s="12">
        <f>Users!BT23*Tickets!AI248</f>
        <v>32718908.28994225</v>
      </c>
      <c r="BB25" s="12">
        <f>Users!BU23*Tickets!AJ248</f>
        <v>32718908.28994225</v>
      </c>
      <c r="BC25" s="12">
        <f>Users!BV23*Tickets!AK248</f>
        <v>32718908.28994225</v>
      </c>
      <c r="BD25" s="12">
        <f>Users!BW23*Tickets!AL248</f>
        <v>32718908.28994225</v>
      </c>
      <c r="BE25" s="12">
        <f>Users!BX23*Tickets!AM248</f>
        <v>32718908.28994225</v>
      </c>
      <c r="BF25" s="12">
        <f>Users!BY23*Tickets!AN248</f>
        <v>32718908.28994225</v>
      </c>
      <c r="BG25" s="12">
        <f>Users!BZ23*Tickets!AO248</f>
        <v>32718908.28994225</v>
      </c>
      <c r="BH25" s="12">
        <f>Users!CA23*Tickets!AP248</f>
        <v>32718908.28994225</v>
      </c>
      <c r="BI25" s="12">
        <f>Users!CB23*Tickets!AQ248</f>
        <v>32718908.28994225</v>
      </c>
      <c r="BJ25" s="12">
        <f>Users!CC23*Tickets!AR248</f>
        <v>32718908.28994225</v>
      </c>
      <c r="BK25" s="12">
        <f>Users!CD23*Tickets!AS248</f>
        <v>32718908.28994225</v>
      </c>
      <c r="BL25" s="12">
        <f>Users!CE23*Tickets!AT248</f>
        <v>32718908.28994225</v>
      </c>
      <c r="BM25" s="12">
        <f>Users!CF23*Tickets!AU248</f>
        <v>32718908.28994225</v>
      </c>
      <c r="BN25" s="12">
        <f>Users!CG23*Tickets!AV248</f>
        <v>32718908.28994225</v>
      </c>
      <c r="BO25" s="12">
        <f>Users!CH23*Tickets!AW248</f>
        <v>32718908.28994225</v>
      </c>
      <c r="BP25" s="12">
        <f>Users!CI23*Tickets!AX248</f>
        <v>32718908.28994225</v>
      </c>
      <c r="BQ25" s="12">
        <f>Users!CJ23*Tickets!AY248</f>
        <v>32718908.28994225</v>
      </c>
      <c r="BR25" s="12">
        <f>Users!CK23*Tickets!AZ248</f>
        <v>32718908.28994225</v>
      </c>
      <c r="BS25" s="12">
        <f>Users!CL23*Tickets!BA248</f>
        <v>32718908.28994225</v>
      </c>
      <c r="BT25" s="12">
        <f>Users!CM23*Tickets!BB248</f>
        <v>32718908.28994225</v>
      </c>
      <c r="BU25" s="12">
        <f>Users!CN23*Tickets!BC248</f>
        <v>32718908.28994225</v>
      </c>
      <c r="BV25" s="12">
        <f>Users!CO23*Tickets!BD248</f>
        <v>32718908.28994225</v>
      </c>
      <c r="BW25" s="12">
        <f>Users!CP23*Tickets!BE248</f>
        <v>32718908.28994225</v>
      </c>
      <c r="BX25" s="12">
        <f>Users!CQ23*Tickets!BF248</f>
        <v>32718908.28994225</v>
      </c>
      <c r="BY25" s="12">
        <f>Users!CR23*Tickets!BG248</f>
        <v>32718908.28994225</v>
      </c>
      <c r="BZ25" s="12">
        <f>Users!CS23*Tickets!BH248</f>
        <v>32718908.28994225</v>
      </c>
      <c r="CA25" s="12">
        <f>Users!CT23*Tickets!BI248</f>
        <v>32718908.28994225</v>
      </c>
      <c r="CB25" s="12">
        <f>Users!CU23*Tickets!BJ248</f>
        <v>32718908.28994225</v>
      </c>
      <c r="CC25" s="12">
        <f>Users!CV23*Tickets!BK248</f>
        <v>32718908.28994225</v>
      </c>
    </row>
    <row r="26" spans="1:8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Q26" s="12"/>
      <c r="R26" s="12"/>
      <c r="S26" s="12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Q27" s="12"/>
      <c r="R27" s="12"/>
      <c r="S27" s="12"/>
    </row>
    <row r="28" spans="1:8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Q28" s="12"/>
      <c r="R28" s="12"/>
      <c r="S28" s="12"/>
    </row>
    <row r="29" spans="1:8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Q29" s="12" t="s">
        <v>179</v>
      </c>
      <c r="R29" s="12"/>
      <c r="S29" s="12"/>
    </row>
    <row r="30" spans="1:8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Q30" s="12" t="s">
        <v>276</v>
      </c>
      <c r="R30" s="12"/>
      <c r="S30" s="12"/>
      <c r="U30">
        <f>Users!AN28*Tickets!C254</f>
        <v>18340468.042621963</v>
      </c>
      <c r="V30" s="12">
        <f>Users!AO28*Tickets!D254</f>
        <v>19220810.508667819</v>
      </c>
      <c r="W30" s="12">
        <f>Users!AP28*Tickets!E254</f>
        <v>19816655.634436525</v>
      </c>
      <c r="X30" s="12">
        <f>Users!AQ28*Tickets!F254</f>
        <v>20371521.992200747</v>
      </c>
      <c r="Y30" s="12">
        <f>Users!AR28*Tickets!G254</f>
        <v>20921553.085990168</v>
      </c>
      <c r="Z30" s="12">
        <f>Users!AS28*Tickets!H254</f>
        <v>21611964.337827843</v>
      </c>
      <c r="AA30" s="12">
        <f>Users!AT28*Tickets!I254</f>
        <v>22389995.053989641</v>
      </c>
      <c r="AB30" s="12">
        <f>Users!AU28*Tickets!J254</f>
        <v>23240814.866041247</v>
      </c>
      <c r="AC30" s="12">
        <f>Users!AV28*Tickets!K254</f>
        <v>24147206.645816859</v>
      </c>
      <c r="AD30" s="12">
        <f>Users!AW28*Tickets!L254</f>
        <v>25052726.895034991</v>
      </c>
      <c r="AE30" s="12">
        <f>Users!AX28*Tickets!M254</f>
        <v>25954625.063256249</v>
      </c>
      <c r="AF30" s="12">
        <f>Users!AY28*Tickets!N254</f>
        <v>26850059.627938591</v>
      </c>
      <c r="AG30" s="12">
        <f>Users!AZ28*Tickets!O254</f>
        <v>27736111.595660564</v>
      </c>
      <c r="AH30" s="12">
        <f>Users!BA28*Tickets!P254</f>
        <v>28651403.278317358</v>
      </c>
      <c r="AI30" s="12">
        <f>Users!BB28*Tickets!Q254</f>
        <v>29596899.586501829</v>
      </c>
      <c r="AJ30" s="12">
        <f>Users!BC28*Tickets!R254</f>
        <v>30573597.272856388</v>
      </c>
      <c r="AK30" s="12">
        <f>Users!BD28*Tickets!S254</f>
        <v>31582525.982860647</v>
      </c>
      <c r="AL30" s="12">
        <f>Users!BE28*Tickets!T254</f>
        <v>32624749.340295043</v>
      </c>
      <c r="AM30" s="12">
        <f>Users!BF28*Tickets!U254</f>
        <v>33701366.068524778</v>
      </c>
      <c r="AN30" s="12">
        <f>Users!BG28*Tickets!V254</f>
        <v>34880913.880923145</v>
      </c>
      <c r="AO30" s="12">
        <f>Users!BH28*Tickets!W254</f>
        <v>34880913.880923145</v>
      </c>
      <c r="AP30" s="12">
        <f>Users!BI28*Tickets!X254</f>
        <v>34880913.880923145</v>
      </c>
      <c r="AQ30" s="12">
        <f>Users!BJ28*Tickets!Y254</f>
        <v>34880913.880923145</v>
      </c>
      <c r="AR30" s="12">
        <f>Users!BK28*Tickets!Z254</f>
        <v>34880913.880923145</v>
      </c>
      <c r="AS30" s="12">
        <f>Users!BL28*Tickets!AA254</f>
        <v>34880913.880923145</v>
      </c>
      <c r="AT30" s="12">
        <f>Users!BM28*Tickets!AB254</f>
        <v>34880913.880923145</v>
      </c>
      <c r="AU30" s="12">
        <f>Users!BN28*Tickets!AC254</f>
        <v>34880913.880923145</v>
      </c>
      <c r="AV30" s="12">
        <f>Users!BO28*Tickets!AD254</f>
        <v>34880913.880923145</v>
      </c>
      <c r="AW30" s="12">
        <f>Users!BP28*Tickets!AE254</f>
        <v>34880913.880923145</v>
      </c>
      <c r="AX30" s="12">
        <f>Users!BQ28*Tickets!AF254</f>
        <v>34880913.880923145</v>
      </c>
      <c r="AY30" s="12">
        <f>Users!BR28*Tickets!AG254</f>
        <v>34880913.880923145</v>
      </c>
      <c r="AZ30" s="12">
        <f>Users!BS28*Tickets!AH254</f>
        <v>34880913.880923145</v>
      </c>
      <c r="BA30" s="12">
        <f>Users!BT28*Tickets!AI254</f>
        <v>34880913.880923145</v>
      </c>
      <c r="BB30" s="12">
        <f>Users!BU28*Tickets!AJ254</f>
        <v>34880913.880923145</v>
      </c>
      <c r="BC30" s="12">
        <f>Users!BV28*Tickets!AK254</f>
        <v>34880913.880923145</v>
      </c>
      <c r="BD30" s="12">
        <f>Users!BW28*Tickets!AL254</f>
        <v>34880913.880923145</v>
      </c>
      <c r="BE30" s="12">
        <f>Users!BX28*Tickets!AM254</f>
        <v>34880913.880923145</v>
      </c>
      <c r="BF30" s="12">
        <f>Users!BY28*Tickets!AN254</f>
        <v>34880913.880923145</v>
      </c>
      <c r="BG30" s="12">
        <f>Users!BZ28*Tickets!AO254</f>
        <v>34880913.880923145</v>
      </c>
      <c r="BH30" s="12">
        <f>Users!CA28*Tickets!AP254</f>
        <v>34880913.880923145</v>
      </c>
      <c r="BI30" s="12">
        <f>Users!CB28*Tickets!AQ254</f>
        <v>34880913.880923145</v>
      </c>
      <c r="BJ30" s="12">
        <f>Users!CC28*Tickets!AR254</f>
        <v>34880913.880923145</v>
      </c>
      <c r="BK30" s="12">
        <f>Users!CD28*Tickets!AS254</f>
        <v>34880913.880923145</v>
      </c>
      <c r="BL30" s="12">
        <f>Users!CE28*Tickets!AT254</f>
        <v>34880913.880923145</v>
      </c>
      <c r="BM30" s="12">
        <f>Users!CF28*Tickets!AU254</f>
        <v>34880913.880923145</v>
      </c>
      <c r="BN30" s="12">
        <f>Users!CG28*Tickets!AV254</f>
        <v>34880913.880923145</v>
      </c>
      <c r="BO30" s="12">
        <f>Users!CH28*Tickets!AW254</f>
        <v>34880913.880923145</v>
      </c>
      <c r="BP30" s="12">
        <f>Users!CI28*Tickets!AX254</f>
        <v>34880913.880923145</v>
      </c>
      <c r="BQ30" s="12">
        <f>Users!CJ28*Tickets!AY254</f>
        <v>34880913.880923145</v>
      </c>
      <c r="BR30" s="12">
        <f>Users!CK28*Tickets!AZ254</f>
        <v>34880913.880923145</v>
      </c>
      <c r="BS30" s="12">
        <f>Users!CL28*Tickets!BA254</f>
        <v>34880913.880923145</v>
      </c>
      <c r="BT30" s="12">
        <f>Users!CM28*Tickets!BB254</f>
        <v>34880913.880923145</v>
      </c>
      <c r="BU30" s="12">
        <f>Users!CN28*Tickets!BC254</f>
        <v>34880913.880923145</v>
      </c>
      <c r="BV30" s="12">
        <f>Users!CO28*Tickets!BD254</f>
        <v>34880913.880923145</v>
      </c>
      <c r="BW30" s="12">
        <f>Users!CP28*Tickets!BE254</f>
        <v>34880913.880923145</v>
      </c>
      <c r="BX30" s="12">
        <f>Users!CQ28*Tickets!BF254</f>
        <v>34880913.880923145</v>
      </c>
      <c r="BY30" s="12">
        <f>Users!CR28*Tickets!BG254</f>
        <v>34880913.880923145</v>
      </c>
      <c r="BZ30" s="12">
        <f>Users!CS28*Tickets!BH254</f>
        <v>34880913.880923145</v>
      </c>
      <c r="CA30" s="12">
        <f>Users!CT28*Tickets!BI254</f>
        <v>34880913.880923145</v>
      </c>
      <c r="CB30" s="12">
        <f>Users!CU28*Tickets!BJ254</f>
        <v>34880913.880923145</v>
      </c>
      <c r="CC30" s="12">
        <f>Users!CV28*Tickets!BK254</f>
        <v>34880913.880923145</v>
      </c>
    </row>
    <row r="31" spans="1:8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Q31" s="12" t="s">
        <v>277</v>
      </c>
      <c r="R31" s="12"/>
      <c r="S31" s="12"/>
      <c r="U31" s="12">
        <f>Users!AN29*Tickets!C255</f>
        <v>20722579.545728877</v>
      </c>
      <c r="V31" s="12">
        <f>Users!AO29*Tickets!D255</f>
        <v>21717263.363923866</v>
      </c>
      <c r="W31" s="12">
        <f>Users!AP29*Tickets!E255</f>
        <v>22390498.528205507</v>
      </c>
      <c r="X31" s="12">
        <f>Users!AQ29*Tickets!F255</f>
        <v>23017432.486995257</v>
      </c>
      <c r="Y31" s="12">
        <f>Users!AR29*Tickets!G255</f>
        <v>23638903.164144132</v>
      </c>
      <c r="Z31" s="12">
        <f>Users!AS29*Tickets!H255</f>
        <v>24418986.968560886</v>
      </c>
      <c r="AA31" s="12">
        <f>Users!AT29*Tickets!I255</f>
        <v>25298070.499429073</v>
      </c>
      <c r="AB31" s="12">
        <f>Users!AU29*Tickets!J255</f>
        <v>26259397.178407371</v>
      </c>
      <c r="AC31" s="12">
        <f>Users!AV29*Tickets!K255</f>
        <v>27283513.668365266</v>
      </c>
      <c r="AD31" s="12">
        <f>Users!AW29*Tickets!L255</f>
        <v>28306645.430928964</v>
      </c>
      <c r="AE31" s="12">
        <f>Users!AX29*Tickets!M255</f>
        <v>29325684.666442405</v>
      </c>
      <c r="AF31" s="12">
        <f>Users!AY29*Tickets!N255</f>
        <v>30337420.787434667</v>
      </c>
      <c r="AG31" s="12">
        <f>Users!AZ29*Tickets!O255</f>
        <v>31338555.673420008</v>
      </c>
      <c r="AH31" s="12">
        <f>Users!BA29*Tickets!P255</f>
        <v>32372728.010642871</v>
      </c>
      <c r="AI31" s="12">
        <f>Users!BB29*Tickets!Q255</f>
        <v>33441028.034994084</v>
      </c>
      <c r="AJ31" s="12">
        <f>Users!BC29*Tickets!R255</f>
        <v>34544581.960148886</v>
      </c>
      <c r="AK31" s="12">
        <f>Users!BD29*Tickets!S255</f>
        <v>35684553.164833799</v>
      </c>
      <c r="AL31" s="12">
        <f>Users!BE29*Tickets!T255</f>
        <v>36862143.419273309</v>
      </c>
      <c r="AM31" s="12">
        <f>Users!BF29*Tickets!U255</f>
        <v>38078594.152109332</v>
      </c>
      <c r="AN31" s="12">
        <f>Users!BG29*Tickets!V255</f>
        <v>39411344.947433159</v>
      </c>
      <c r="AO31" s="12">
        <f>Users!BH29*Tickets!W255</f>
        <v>39411344.947433159</v>
      </c>
      <c r="AP31" s="12">
        <f>Users!BI29*Tickets!X255</f>
        <v>39411344.947433159</v>
      </c>
      <c r="AQ31" s="12">
        <f>Users!BJ29*Tickets!Y255</f>
        <v>39411344.947433159</v>
      </c>
      <c r="AR31" s="12">
        <f>Users!BK29*Tickets!Z255</f>
        <v>39411344.947433159</v>
      </c>
      <c r="AS31" s="12">
        <f>Users!BL29*Tickets!AA255</f>
        <v>39411344.947433159</v>
      </c>
      <c r="AT31" s="12">
        <f>Users!BM29*Tickets!AB255</f>
        <v>39411344.947433159</v>
      </c>
      <c r="AU31" s="12">
        <f>Users!BN29*Tickets!AC255</f>
        <v>39411344.947433159</v>
      </c>
      <c r="AV31" s="12">
        <f>Users!BO29*Tickets!AD255</f>
        <v>39411344.947433159</v>
      </c>
      <c r="AW31" s="12">
        <f>Users!BP29*Tickets!AE255</f>
        <v>39411344.947433159</v>
      </c>
      <c r="AX31" s="12">
        <f>Users!BQ29*Tickets!AF255</f>
        <v>39411344.947433159</v>
      </c>
      <c r="AY31" s="12">
        <f>Users!BR29*Tickets!AG255</f>
        <v>39411344.947433159</v>
      </c>
      <c r="AZ31" s="12">
        <f>Users!BS29*Tickets!AH255</f>
        <v>39411344.947433159</v>
      </c>
      <c r="BA31" s="12">
        <f>Users!BT29*Tickets!AI255</f>
        <v>39411344.947433159</v>
      </c>
      <c r="BB31" s="12">
        <f>Users!BU29*Tickets!AJ255</f>
        <v>39411344.947433159</v>
      </c>
      <c r="BC31" s="12">
        <f>Users!BV29*Tickets!AK255</f>
        <v>39411344.947433159</v>
      </c>
      <c r="BD31" s="12">
        <f>Users!BW29*Tickets!AL255</f>
        <v>39411344.947433159</v>
      </c>
      <c r="BE31" s="12">
        <f>Users!BX29*Tickets!AM255</f>
        <v>39411344.947433159</v>
      </c>
      <c r="BF31" s="12">
        <f>Users!BY29*Tickets!AN255</f>
        <v>39411344.947433159</v>
      </c>
      <c r="BG31" s="12">
        <f>Users!BZ29*Tickets!AO255</f>
        <v>39411344.947433159</v>
      </c>
      <c r="BH31" s="12">
        <f>Users!CA29*Tickets!AP255</f>
        <v>39411344.947433159</v>
      </c>
      <c r="BI31" s="12">
        <f>Users!CB29*Tickets!AQ255</f>
        <v>39411344.947433159</v>
      </c>
      <c r="BJ31" s="12">
        <f>Users!CC29*Tickets!AR255</f>
        <v>39411344.947433159</v>
      </c>
      <c r="BK31" s="12">
        <f>Users!CD29*Tickets!AS255</f>
        <v>39411344.947433159</v>
      </c>
      <c r="BL31" s="12">
        <f>Users!CE29*Tickets!AT255</f>
        <v>39411344.947433159</v>
      </c>
      <c r="BM31" s="12">
        <f>Users!CF29*Tickets!AU255</f>
        <v>39411344.947433159</v>
      </c>
      <c r="BN31" s="12">
        <f>Users!CG29*Tickets!AV255</f>
        <v>39411344.947433159</v>
      </c>
      <c r="BO31" s="12">
        <f>Users!CH29*Tickets!AW255</f>
        <v>39411344.947433159</v>
      </c>
      <c r="BP31" s="12">
        <f>Users!CI29*Tickets!AX255</f>
        <v>39411344.947433159</v>
      </c>
      <c r="BQ31" s="12">
        <f>Users!CJ29*Tickets!AY255</f>
        <v>39411344.947433159</v>
      </c>
      <c r="BR31" s="12">
        <f>Users!CK29*Tickets!AZ255</f>
        <v>39411344.947433159</v>
      </c>
      <c r="BS31" s="12">
        <f>Users!CL29*Tickets!BA255</f>
        <v>39411344.947433159</v>
      </c>
      <c r="BT31" s="12">
        <f>Users!CM29*Tickets!BB255</f>
        <v>39411344.947433159</v>
      </c>
      <c r="BU31" s="12">
        <f>Users!CN29*Tickets!BC255</f>
        <v>39411344.947433159</v>
      </c>
      <c r="BV31" s="12">
        <f>Users!CO29*Tickets!BD255</f>
        <v>39411344.947433159</v>
      </c>
      <c r="BW31" s="12">
        <f>Users!CP29*Tickets!BE255</f>
        <v>39411344.947433159</v>
      </c>
      <c r="BX31" s="12">
        <f>Users!CQ29*Tickets!BF255</f>
        <v>39411344.947433159</v>
      </c>
      <c r="BY31" s="12">
        <f>Users!CR29*Tickets!BG255</f>
        <v>39411344.947433159</v>
      </c>
      <c r="BZ31" s="12">
        <f>Users!CS29*Tickets!BH255</f>
        <v>39411344.947433159</v>
      </c>
      <c r="CA31" s="12">
        <f>Users!CT29*Tickets!BI255</f>
        <v>39411344.947433159</v>
      </c>
      <c r="CB31" s="12">
        <f>Users!CU29*Tickets!BJ255</f>
        <v>39411344.947433159</v>
      </c>
      <c r="CC31" s="12">
        <f>Users!CV29*Tickets!BK255</f>
        <v>39411344.947433159</v>
      </c>
    </row>
    <row r="32" spans="1:81">
      <c r="A32" s="12"/>
      <c r="B32" s="12"/>
      <c r="C32" s="12"/>
      <c r="D32" s="12"/>
      <c r="E32" s="12"/>
      <c r="F32" s="17"/>
      <c r="G32" s="17"/>
      <c r="H32" s="17"/>
      <c r="I32" s="17"/>
      <c r="J32" s="17"/>
      <c r="K32" s="17"/>
      <c r="L32" s="12"/>
      <c r="Q32" s="12" t="s">
        <v>278</v>
      </c>
      <c r="R32" s="12"/>
      <c r="S32" s="12"/>
      <c r="U32" s="12">
        <f>Users!AN30*Tickets!C256</f>
        <v>12954011.438062681</v>
      </c>
      <c r="V32" s="12">
        <f>Users!AO30*Tickets!D256</f>
        <v>13575803.987089692</v>
      </c>
      <c r="W32" s="12">
        <f>Users!AP30*Tickets!E256</f>
        <v>13996653.910689477</v>
      </c>
      <c r="X32" s="12">
        <f>Users!AQ30*Tickets!F256</f>
        <v>14388560.220188778</v>
      </c>
      <c r="Y32" s="12">
        <f>Users!AR30*Tickets!G256</f>
        <v>14777051.346133875</v>
      </c>
      <c r="Z32" s="12">
        <f>Users!AS30*Tickets!H256</f>
        <v>15264694.040556291</v>
      </c>
      <c r="AA32" s="12">
        <f>Users!AT30*Tickets!I256</f>
        <v>15814223.026016314</v>
      </c>
      <c r="AB32" s="12">
        <f>Users!AU30*Tickets!J256</f>
        <v>16415163.501004931</v>
      </c>
      <c r="AC32" s="12">
        <f>Users!AV30*Tickets!K256</f>
        <v>17055354.877544127</v>
      </c>
      <c r="AD32" s="12">
        <f>Users!AW30*Tickets!L256</f>
        <v>17694930.685452029</v>
      </c>
      <c r="AE32" s="12">
        <f>Users!AX30*Tickets!M256</f>
        <v>18331948.1901283</v>
      </c>
      <c r="AF32" s="12">
        <f>Users!AY30*Tickets!N256</f>
        <v>18964400.402687728</v>
      </c>
      <c r="AG32" s="12">
        <f>Users!AZ30*Tickets!O256</f>
        <v>19590225.615976419</v>
      </c>
      <c r="AH32" s="12">
        <f>Users!BA30*Tickets!P256</f>
        <v>20236703.061303638</v>
      </c>
      <c r="AI32" s="12">
        <f>Users!BB30*Tickets!Q256</f>
        <v>20904514.262326658</v>
      </c>
      <c r="AJ32" s="12">
        <f>Users!BC30*Tickets!R256</f>
        <v>21594363.232983436</v>
      </c>
      <c r="AK32" s="12">
        <f>Users!BD30*Tickets!S256</f>
        <v>22306977.21967189</v>
      </c>
      <c r="AL32" s="12">
        <f>Users!BE30*Tickets!T256</f>
        <v>23043107.46792106</v>
      </c>
      <c r="AM32" s="12">
        <f>Users!BF30*Tickets!U256</f>
        <v>23803530.014362451</v>
      </c>
      <c r="AN32" s="12">
        <f>Users!BG30*Tickets!V256</f>
        <v>24636653.564865138</v>
      </c>
      <c r="AO32" s="12">
        <f>Users!BH30*Tickets!W256</f>
        <v>24636653.564865138</v>
      </c>
      <c r="AP32" s="12">
        <f>Users!BI30*Tickets!X256</f>
        <v>24636653.564865138</v>
      </c>
      <c r="AQ32" s="12">
        <f>Users!BJ30*Tickets!Y256</f>
        <v>24636653.564865138</v>
      </c>
      <c r="AR32" s="12">
        <f>Users!BK30*Tickets!Z256</f>
        <v>24636653.564865138</v>
      </c>
      <c r="AS32" s="12">
        <f>Users!BL30*Tickets!AA256</f>
        <v>24636653.564865138</v>
      </c>
      <c r="AT32" s="12">
        <f>Users!BM30*Tickets!AB256</f>
        <v>24636653.564865138</v>
      </c>
      <c r="AU32" s="12">
        <f>Users!BN30*Tickets!AC256</f>
        <v>24636653.564865138</v>
      </c>
      <c r="AV32" s="12">
        <f>Users!BO30*Tickets!AD256</f>
        <v>24636653.564865138</v>
      </c>
      <c r="AW32" s="12">
        <f>Users!BP30*Tickets!AE256</f>
        <v>24636653.564865138</v>
      </c>
      <c r="AX32" s="12">
        <f>Users!BQ30*Tickets!AF256</f>
        <v>24636653.564865138</v>
      </c>
      <c r="AY32" s="12">
        <f>Users!BR30*Tickets!AG256</f>
        <v>24636653.564865138</v>
      </c>
      <c r="AZ32" s="12">
        <f>Users!BS30*Tickets!AH256</f>
        <v>24636653.564865138</v>
      </c>
      <c r="BA32" s="12">
        <f>Users!BT30*Tickets!AI256</f>
        <v>24636653.564865138</v>
      </c>
      <c r="BB32" s="12">
        <f>Users!BU30*Tickets!AJ256</f>
        <v>24636653.564865138</v>
      </c>
      <c r="BC32" s="12">
        <f>Users!BV30*Tickets!AK256</f>
        <v>24636653.564865138</v>
      </c>
      <c r="BD32" s="12">
        <f>Users!BW30*Tickets!AL256</f>
        <v>24636653.564865138</v>
      </c>
      <c r="BE32" s="12">
        <f>Users!BX30*Tickets!AM256</f>
        <v>24636653.564865138</v>
      </c>
      <c r="BF32" s="12">
        <f>Users!BY30*Tickets!AN256</f>
        <v>24636653.564865138</v>
      </c>
      <c r="BG32" s="12">
        <f>Users!BZ30*Tickets!AO256</f>
        <v>24636653.564865138</v>
      </c>
      <c r="BH32" s="12">
        <f>Users!CA30*Tickets!AP256</f>
        <v>24636653.564865138</v>
      </c>
      <c r="BI32" s="12">
        <f>Users!CB30*Tickets!AQ256</f>
        <v>24636653.564865138</v>
      </c>
      <c r="BJ32" s="12">
        <f>Users!CC30*Tickets!AR256</f>
        <v>24636653.564865138</v>
      </c>
      <c r="BK32" s="12">
        <f>Users!CD30*Tickets!AS256</f>
        <v>24636653.564865138</v>
      </c>
      <c r="BL32" s="12">
        <f>Users!CE30*Tickets!AT256</f>
        <v>24636653.564865138</v>
      </c>
      <c r="BM32" s="12">
        <f>Users!CF30*Tickets!AU256</f>
        <v>24636653.564865138</v>
      </c>
      <c r="BN32" s="12">
        <f>Users!CG30*Tickets!AV256</f>
        <v>24636653.564865138</v>
      </c>
      <c r="BO32" s="12">
        <f>Users!CH30*Tickets!AW256</f>
        <v>24636653.564865138</v>
      </c>
      <c r="BP32" s="12">
        <f>Users!CI30*Tickets!AX256</f>
        <v>24636653.564865138</v>
      </c>
      <c r="BQ32" s="12">
        <f>Users!CJ30*Tickets!AY256</f>
        <v>24636653.564865138</v>
      </c>
      <c r="BR32" s="12">
        <f>Users!CK30*Tickets!AZ256</f>
        <v>24636653.564865138</v>
      </c>
      <c r="BS32" s="12">
        <f>Users!CL30*Tickets!BA256</f>
        <v>24636653.564865138</v>
      </c>
      <c r="BT32" s="12">
        <f>Users!CM30*Tickets!BB256</f>
        <v>24636653.564865138</v>
      </c>
      <c r="BU32" s="12">
        <f>Users!CN30*Tickets!BC256</f>
        <v>24636653.564865138</v>
      </c>
      <c r="BV32" s="12">
        <f>Users!CO30*Tickets!BD256</f>
        <v>24636653.564865138</v>
      </c>
      <c r="BW32" s="12">
        <f>Users!CP30*Tickets!BE256</f>
        <v>24636653.564865138</v>
      </c>
      <c r="BX32" s="12">
        <f>Users!CQ30*Tickets!BF256</f>
        <v>24636653.564865138</v>
      </c>
      <c r="BY32" s="12">
        <f>Users!CR30*Tickets!BG256</f>
        <v>24636653.564865138</v>
      </c>
      <c r="BZ32" s="12">
        <f>Users!CS30*Tickets!BH256</f>
        <v>24636653.564865138</v>
      </c>
      <c r="CA32" s="12">
        <f>Users!CT30*Tickets!BI256</f>
        <v>24636653.564865138</v>
      </c>
      <c r="CB32" s="12">
        <f>Users!CU30*Tickets!BJ256</f>
        <v>24636653.564865138</v>
      </c>
      <c r="CC32" s="12">
        <f>Users!CV30*Tickets!BK256</f>
        <v>24636653.564865138</v>
      </c>
    </row>
    <row r="33" spans="1:8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Q33" s="12" t="s">
        <v>279</v>
      </c>
      <c r="R33" s="12"/>
      <c r="S33" s="12"/>
      <c r="U33" s="12">
        <f>Users!AN31*Tickets!C257</f>
        <v>14572173.456177419</v>
      </c>
      <c r="V33" s="12">
        <f>Users!AO31*Tickets!D257</f>
        <v>15271637.782073935</v>
      </c>
      <c r="W33" s="12">
        <f>Users!AP31*Tickets!E257</f>
        <v>15745058.553318229</v>
      </c>
      <c r="X33" s="12">
        <f>Users!AQ31*Tickets!F257</f>
        <v>16185920.192811137</v>
      </c>
      <c r="Y33" s="12">
        <f>Users!AR31*Tickets!G257</f>
        <v>16622940.03801704</v>
      </c>
      <c r="Z33" s="12">
        <f>Users!AS31*Tickets!H257</f>
        <v>17171497.0592716</v>
      </c>
      <c r="AA33" s="12">
        <f>Users!AT31*Tickets!I257</f>
        <v>17789670.953405377</v>
      </c>
      <c r="AB33" s="12">
        <f>Users!AU31*Tickets!J257</f>
        <v>18465678.449634783</v>
      </c>
      <c r="AC33" s="12">
        <f>Users!AV31*Tickets!K257</f>
        <v>19185839.909170542</v>
      </c>
      <c r="AD33" s="12">
        <f>Users!AW31*Tickets!L257</f>
        <v>19905308.905764434</v>
      </c>
      <c r="AE33" s="12">
        <f>Users!AX31*Tickets!M257</f>
        <v>20621900.026371952</v>
      </c>
      <c r="AF33" s="12">
        <f>Users!AY31*Tickets!N257</f>
        <v>21333355.577281784</v>
      </c>
      <c r="AG33" s="12">
        <f>Users!AZ31*Tickets!O257</f>
        <v>22037356.311332081</v>
      </c>
      <c r="AH33" s="12">
        <f>Users!BA31*Tickets!P257</f>
        <v>22764589.06960604</v>
      </c>
      <c r="AI33" s="12">
        <f>Users!BB31*Tickets!Q257</f>
        <v>23515820.508903034</v>
      </c>
      <c r="AJ33" s="12">
        <f>Users!BC31*Tickets!R257</f>
        <v>24291842.585696831</v>
      </c>
      <c r="AK33" s="12">
        <f>Users!BD31*Tickets!S257</f>
        <v>25093473.391024828</v>
      </c>
      <c r="AL33" s="12">
        <f>Users!BE31*Tickets!T257</f>
        <v>25921558.012928646</v>
      </c>
      <c r="AM33" s="12">
        <f>Users!BF31*Tickets!U257</f>
        <v>26776969.427355289</v>
      </c>
      <c r="AN33" s="12">
        <f>Users!BG31*Tickets!V257</f>
        <v>27714163.357312728</v>
      </c>
      <c r="AO33" s="12">
        <f>Users!BH31*Tickets!W257</f>
        <v>27714163.357312728</v>
      </c>
      <c r="AP33" s="12">
        <f>Users!BI31*Tickets!X257</f>
        <v>27714163.357312728</v>
      </c>
      <c r="AQ33" s="12">
        <f>Users!BJ31*Tickets!Y257</f>
        <v>27714163.357312728</v>
      </c>
      <c r="AR33" s="12">
        <f>Users!BK31*Tickets!Z257</f>
        <v>27714163.357312728</v>
      </c>
      <c r="AS33" s="12">
        <f>Users!BL31*Tickets!AA257</f>
        <v>27714163.357312728</v>
      </c>
      <c r="AT33" s="12">
        <f>Users!BM31*Tickets!AB257</f>
        <v>27714163.357312728</v>
      </c>
      <c r="AU33" s="12">
        <f>Users!BN31*Tickets!AC257</f>
        <v>27714163.357312728</v>
      </c>
      <c r="AV33" s="12">
        <f>Users!BO31*Tickets!AD257</f>
        <v>27714163.357312728</v>
      </c>
      <c r="AW33" s="12">
        <f>Users!BP31*Tickets!AE257</f>
        <v>27714163.357312728</v>
      </c>
      <c r="AX33" s="12">
        <f>Users!BQ31*Tickets!AF257</f>
        <v>27714163.357312728</v>
      </c>
      <c r="AY33" s="12">
        <f>Users!BR31*Tickets!AG257</f>
        <v>27714163.357312728</v>
      </c>
      <c r="AZ33" s="12">
        <f>Users!BS31*Tickets!AH257</f>
        <v>27714163.357312728</v>
      </c>
      <c r="BA33" s="12">
        <f>Users!BT31*Tickets!AI257</f>
        <v>27714163.357312728</v>
      </c>
      <c r="BB33" s="12">
        <f>Users!BU31*Tickets!AJ257</f>
        <v>27714163.357312728</v>
      </c>
      <c r="BC33" s="12">
        <f>Users!BV31*Tickets!AK257</f>
        <v>27714163.357312728</v>
      </c>
      <c r="BD33" s="12">
        <f>Users!BW31*Tickets!AL257</f>
        <v>27714163.357312728</v>
      </c>
      <c r="BE33" s="12">
        <f>Users!BX31*Tickets!AM257</f>
        <v>27714163.357312728</v>
      </c>
      <c r="BF33" s="12">
        <f>Users!BY31*Tickets!AN257</f>
        <v>27714163.357312728</v>
      </c>
      <c r="BG33" s="12">
        <f>Users!BZ31*Tickets!AO257</f>
        <v>27714163.357312728</v>
      </c>
      <c r="BH33" s="12">
        <f>Users!CA31*Tickets!AP257</f>
        <v>27714163.357312728</v>
      </c>
      <c r="BI33" s="12">
        <f>Users!CB31*Tickets!AQ257</f>
        <v>27714163.357312728</v>
      </c>
      <c r="BJ33" s="12">
        <f>Users!CC31*Tickets!AR257</f>
        <v>27714163.357312728</v>
      </c>
      <c r="BK33" s="12">
        <f>Users!CD31*Tickets!AS257</f>
        <v>27714163.357312728</v>
      </c>
      <c r="BL33" s="12">
        <f>Users!CE31*Tickets!AT257</f>
        <v>27714163.357312728</v>
      </c>
      <c r="BM33" s="12">
        <f>Users!CF31*Tickets!AU257</f>
        <v>27714163.357312728</v>
      </c>
      <c r="BN33" s="12">
        <f>Users!CG31*Tickets!AV257</f>
        <v>27714163.357312728</v>
      </c>
      <c r="BO33" s="12">
        <f>Users!CH31*Tickets!AW257</f>
        <v>27714163.357312728</v>
      </c>
      <c r="BP33" s="12">
        <f>Users!CI31*Tickets!AX257</f>
        <v>27714163.357312728</v>
      </c>
      <c r="BQ33" s="12">
        <f>Users!CJ31*Tickets!AY257</f>
        <v>27714163.357312728</v>
      </c>
      <c r="BR33" s="12">
        <f>Users!CK31*Tickets!AZ257</f>
        <v>27714163.357312728</v>
      </c>
      <c r="BS33" s="12">
        <f>Users!CL31*Tickets!BA257</f>
        <v>27714163.357312728</v>
      </c>
      <c r="BT33" s="12">
        <f>Users!CM31*Tickets!BB257</f>
        <v>27714163.357312728</v>
      </c>
      <c r="BU33" s="12">
        <f>Users!CN31*Tickets!BC257</f>
        <v>27714163.357312728</v>
      </c>
      <c r="BV33" s="12">
        <f>Users!CO31*Tickets!BD257</f>
        <v>27714163.357312728</v>
      </c>
      <c r="BW33" s="12">
        <f>Users!CP31*Tickets!BE257</f>
        <v>27714163.357312728</v>
      </c>
      <c r="BX33" s="12">
        <f>Users!CQ31*Tickets!BF257</f>
        <v>27714163.357312728</v>
      </c>
      <c r="BY33" s="12">
        <f>Users!CR31*Tickets!BG257</f>
        <v>27714163.357312728</v>
      </c>
      <c r="BZ33" s="12">
        <f>Users!CS31*Tickets!BH257</f>
        <v>27714163.357312728</v>
      </c>
      <c r="CA33" s="12">
        <f>Users!CT31*Tickets!BI257</f>
        <v>27714163.357312728</v>
      </c>
      <c r="CB33" s="12">
        <f>Users!CU31*Tickets!BJ257</f>
        <v>27714163.357312728</v>
      </c>
      <c r="CC33" s="12">
        <f>Users!CV31*Tickets!BK257</f>
        <v>27714163.357312728</v>
      </c>
    </row>
    <row r="34" spans="1:81" s="12" customFormat="1">
      <c r="Q34" s="12" t="s">
        <v>280</v>
      </c>
      <c r="U34" s="12">
        <f>Users!AN32*Tickets!C258</f>
        <v>6094451.5528244693</v>
      </c>
      <c r="V34" s="12">
        <f>Users!AO32*Tickets!D258</f>
        <v>6386985.2273600455</v>
      </c>
      <c r="W34" s="12">
        <f>Users!AP32*Tickets!E258</f>
        <v>6584981.7694082074</v>
      </c>
      <c r="X34" s="12">
        <f>Users!AQ32*Tickets!F258</f>
        <v>6769361.258951636</v>
      </c>
      <c r="Y34" s="12">
        <f>Users!AR32*Tickets!G258</f>
        <v>6952134.0129433302</v>
      </c>
      <c r="Z34" s="12">
        <f>Users!AS32*Tickets!H258</f>
        <v>7181554.4353704602</v>
      </c>
      <c r="AA34" s="12">
        <f>Users!AT32*Tickets!I258</f>
        <v>7440090.395043795</v>
      </c>
      <c r="AB34" s="12">
        <f>Users!AU32*Tickets!J258</f>
        <v>7722813.8300554575</v>
      </c>
      <c r="AC34" s="12">
        <f>Users!AV32*Tickets!K258</f>
        <v>8024003.5694276216</v>
      </c>
      <c r="AD34" s="12">
        <f>Users!AW32*Tickets!L258</f>
        <v>8324903.7032811558</v>
      </c>
      <c r="AE34" s="12">
        <f>Users!AX32*Tickets!M258</f>
        <v>8624600.2365992758</v>
      </c>
      <c r="AF34" s="12">
        <f>Users!AY32*Tickets!N258</f>
        <v>8922148.9447619524</v>
      </c>
      <c r="AG34" s="12">
        <f>Users!AZ32*Tickets!O258</f>
        <v>9216579.8599390965</v>
      </c>
      <c r="AH34" s="12">
        <f>Users!BA32*Tickets!P258</f>
        <v>9520726.9953170847</v>
      </c>
      <c r="AI34" s="12">
        <f>Users!BB32*Tickets!Q258</f>
        <v>9834910.9861625489</v>
      </c>
      <c r="AJ34" s="12">
        <f>Users!BC32*Tickets!R258</f>
        <v>10159463.048705913</v>
      </c>
      <c r="AK34" s="12">
        <f>Users!BD32*Tickets!S258</f>
        <v>10494725.329313207</v>
      </c>
      <c r="AL34" s="12">
        <f>Users!BE32*Tickets!T258</f>
        <v>10841051.265180543</v>
      </c>
      <c r="AM34" s="12">
        <f>Users!BF32*Tickets!U258</f>
        <v>11198805.9569315</v>
      </c>
      <c r="AN34" s="12">
        <f>Users!BG32*Tickets!V258</f>
        <v>11590764.165424103</v>
      </c>
      <c r="AO34" s="12">
        <f>Users!BH32*Tickets!W258</f>
        <v>11590764.165424103</v>
      </c>
      <c r="AP34" s="12">
        <f>Users!BI32*Tickets!X258</f>
        <v>11590764.165424103</v>
      </c>
      <c r="AQ34" s="12">
        <f>Users!BJ32*Tickets!Y258</f>
        <v>11590764.165424103</v>
      </c>
      <c r="AR34" s="12">
        <f>Users!BK32*Tickets!Z258</f>
        <v>11590764.165424103</v>
      </c>
      <c r="AS34" s="12">
        <f>Users!BL32*Tickets!AA258</f>
        <v>11590764.165424103</v>
      </c>
      <c r="AT34" s="12">
        <f>Users!BM32*Tickets!AB258</f>
        <v>11590764.165424103</v>
      </c>
      <c r="AU34" s="12">
        <f>Users!BN32*Tickets!AC258</f>
        <v>11590764.165424103</v>
      </c>
      <c r="AV34" s="12">
        <f>Users!BO32*Tickets!AD258</f>
        <v>11590764.165424103</v>
      </c>
      <c r="AW34" s="12">
        <f>Users!BP32*Tickets!AE258</f>
        <v>11590764.165424103</v>
      </c>
      <c r="AX34" s="12">
        <f>Users!BQ32*Tickets!AF258</f>
        <v>11590764.165424103</v>
      </c>
      <c r="AY34" s="12">
        <f>Users!BR32*Tickets!AG258</f>
        <v>11590764.165424103</v>
      </c>
      <c r="AZ34" s="12">
        <f>Users!BS32*Tickets!AH258</f>
        <v>11590764.165424103</v>
      </c>
      <c r="BA34" s="12">
        <f>Users!BT32*Tickets!AI258</f>
        <v>11590764.165424103</v>
      </c>
      <c r="BB34" s="12">
        <f>Users!BU32*Tickets!AJ258</f>
        <v>11590764.165424103</v>
      </c>
      <c r="BC34" s="12">
        <f>Users!BV32*Tickets!AK258</f>
        <v>11590764.165424103</v>
      </c>
      <c r="BD34" s="12">
        <f>Users!BW32*Tickets!AL258</f>
        <v>11590764.165424103</v>
      </c>
      <c r="BE34" s="12">
        <f>Users!BX32*Tickets!AM258</f>
        <v>11590764.165424103</v>
      </c>
      <c r="BF34" s="12">
        <f>Users!BY32*Tickets!AN258</f>
        <v>11590764.165424103</v>
      </c>
      <c r="BG34" s="12">
        <f>Users!BZ32*Tickets!AO258</f>
        <v>11590764.165424103</v>
      </c>
      <c r="BH34" s="12">
        <f>Users!CA32*Tickets!AP258</f>
        <v>11590764.165424103</v>
      </c>
      <c r="BI34" s="12">
        <f>Users!CB32*Tickets!AQ258</f>
        <v>11590764.165424103</v>
      </c>
      <c r="BJ34" s="12">
        <f>Users!CC32*Tickets!AR258</f>
        <v>11590764.165424103</v>
      </c>
      <c r="BK34" s="12">
        <f>Users!CD32*Tickets!AS258</f>
        <v>11590764.165424103</v>
      </c>
      <c r="BL34" s="12">
        <f>Users!CE32*Tickets!AT258</f>
        <v>11590764.165424103</v>
      </c>
      <c r="BM34" s="12">
        <f>Users!CF32*Tickets!AU258</f>
        <v>11590764.165424103</v>
      </c>
      <c r="BN34" s="12">
        <f>Users!CG32*Tickets!AV258</f>
        <v>11590764.165424103</v>
      </c>
      <c r="BO34" s="12">
        <f>Users!CH32*Tickets!AW258</f>
        <v>11590764.165424103</v>
      </c>
      <c r="BP34" s="12">
        <f>Users!CI32*Tickets!AX258</f>
        <v>11590764.165424103</v>
      </c>
      <c r="BQ34" s="12">
        <f>Users!CJ32*Tickets!AY258</f>
        <v>11590764.165424103</v>
      </c>
      <c r="BR34" s="12">
        <f>Users!CK32*Tickets!AZ258</f>
        <v>11590764.165424103</v>
      </c>
      <c r="BS34" s="12">
        <f>Users!CL32*Tickets!BA258</f>
        <v>11590764.165424103</v>
      </c>
      <c r="BT34" s="12">
        <f>Users!CM32*Tickets!BB258</f>
        <v>11590764.165424103</v>
      </c>
      <c r="BU34" s="12">
        <f>Users!CN32*Tickets!BC258</f>
        <v>11590764.165424103</v>
      </c>
      <c r="BV34" s="12">
        <f>Users!CO32*Tickets!BD258</f>
        <v>11590764.165424103</v>
      </c>
      <c r="BW34" s="12">
        <f>Users!CP32*Tickets!BE258</f>
        <v>11590764.165424103</v>
      </c>
      <c r="BX34" s="12">
        <f>Users!CQ32*Tickets!BF258</f>
        <v>11590764.165424103</v>
      </c>
      <c r="BY34" s="12">
        <f>Users!CR32*Tickets!BG258</f>
        <v>11590764.165424103</v>
      </c>
      <c r="BZ34" s="12">
        <f>Users!CS32*Tickets!BH258</f>
        <v>11590764.165424103</v>
      </c>
      <c r="CA34" s="12">
        <f>Users!CT32*Tickets!BI258</f>
        <v>11590764.165424103</v>
      </c>
      <c r="CB34" s="12">
        <f>Users!CU32*Tickets!BJ258</f>
        <v>11590764.165424103</v>
      </c>
      <c r="CC34" s="12">
        <f>Users!CV32*Tickets!BK258</f>
        <v>11590764.165424103</v>
      </c>
    </row>
    <row r="35" spans="1:81" s="12" customFormat="1">
      <c r="Q35" s="12" t="s">
        <v>281</v>
      </c>
      <c r="U35" s="12">
        <f>Users!AN33*Tickets!C259</f>
        <v>5378688.8677521767</v>
      </c>
      <c r="V35" s="12">
        <f>Users!AO33*Tickets!D259</f>
        <v>5636865.9334042808</v>
      </c>
      <c r="W35" s="12">
        <f>Users!AP33*Tickets!E259</f>
        <v>5811608.7773398142</v>
      </c>
      <c r="X35" s="12">
        <f>Users!AQ33*Tickets!F259</f>
        <v>5974333.8231053278</v>
      </c>
      <c r="Y35" s="12">
        <f>Users!AR33*Tickets!G259</f>
        <v>6135640.8363291724</v>
      </c>
      <c r="Z35" s="12">
        <f>Users!AS33*Tickets!H259</f>
        <v>6338116.983928035</v>
      </c>
      <c r="AA35" s="12">
        <f>Users!AT33*Tickets!I259</f>
        <v>6566289.1953494428</v>
      </c>
      <c r="AB35" s="12">
        <f>Users!AU33*Tickets!J259</f>
        <v>6815808.1847727215</v>
      </c>
      <c r="AC35" s="12">
        <f>Users!AV33*Tickets!K259</f>
        <v>7081624.703978858</v>
      </c>
      <c r="AD35" s="12">
        <f>Users!AW33*Tickets!L259</f>
        <v>7347185.6303780647</v>
      </c>
      <c r="AE35" s="12">
        <f>Users!AX33*Tickets!M259</f>
        <v>7611684.3130716737</v>
      </c>
      <c r="AF35" s="12">
        <f>Users!AY33*Tickets!N259</f>
        <v>7874287.4218726465</v>
      </c>
      <c r="AG35" s="12">
        <f>Users!AZ33*Tickets!O259</f>
        <v>8134138.9067944437</v>
      </c>
      <c r="AH35" s="12">
        <f>Users!BA33*Tickets!P259</f>
        <v>8402565.4907186609</v>
      </c>
      <c r="AI35" s="12">
        <f>Users!BB33*Tickets!Q259</f>
        <v>8679850.1519123763</v>
      </c>
      <c r="AJ35" s="12">
        <f>Users!BC33*Tickets!R259</f>
        <v>8966285.2069254834</v>
      </c>
      <c r="AK35" s="12">
        <f>Users!BD33*Tickets!S259</f>
        <v>9262172.6187540255</v>
      </c>
      <c r="AL35" s="12">
        <f>Users!BE33*Tickets!T259</f>
        <v>9567824.315172907</v>
      </c>
      <c r="AM35" s="12">
        <f>Users!BF33*Tickets!U259</f>
        <v>9883562.5175736137</v>
      </c>
      <c r="AN35" s="12">
        <f>Users!BG33*Tickets!V259</f>
        <v>10229487.205688691</v>
      </c>
      <c r="AO35" s="12">
        <f>Users!BH33*Tickets!W259</f>
        <v>10229487.205688691</v>
      </c>
      <c r="AP35" s="12">
        <f>Users!BI33*Tickets!X259</f>
        <v>10229487.205688691</v>
      </c>
      <c r="AQ35" s="12">
        <f>Users!BJ33*Tickets!Y259</f>
        <v>10229487.205688691</v>
      </c>
      <c r="AR35" s="12">
        <f>Users!BK33*Tickets!Z259</f>
        <v>10229487.205688691</v>
      </c>
      <c r="AS35" s="12">
        <f>Users!BL33*Tickets!AA259</f>
        <v>10229487.205688691</v>
      </c>
      <c r="AT35" s="12">
        <f>Users!BM33*Tickets!AB259</f>
        <v>10229487.205688691</v>
      </c>
      <c r="AU35" s="12">
        <f>Users!BN33*Tickets!AC259</f>
        <v>10229487.205688691</v>
      </c>
      <c r="AV35" s="12">
        <f>Users!BO33*Tickets!AD259</f>
        <v>10229487.205688691</v>
      </c>
      <c r="AW35" s="12">
        <f>Users!BP33*Tickets!AE259</f>
        <v>10229487.205688691</v>
      </c>
      <c r="AX35" s="12">
        <f>Users!BQ33*Tickets!AF259</f>
        <v>10229487.205688691</v>
      </c>
      <c r="AY35" s="12">
        <f>Users!BR33*Tickets!AG259</f>
        <v>10229487.205688691</v>
      </c>
      <c r="AZ35" s="12">
        <f>Users!BS33*Tickets!AH259</f>
        <v>10229487.205688691</v>
      </c>
      <c r="BA35" s="12">
        <f>Users!BT33*Tickets!AI259</f>
        <v>10229487.205688691</v>
      </c>
      <c r="BB35" s="12">
        <f>Users!BU33*Tickets!AJ259</f>
        <v>10229487.205688691</v>
      </c>
      <c r="BC35" s="12">
        <f>Users!BV33*Tickets!AK259</f>
        <v>10229487.205688691</v>
      </c>
      <c r="BD35" s="12">
        <f>Users!BW33*Tickets!AL259</f>
        <v>10229487.205688691</v>
      </c>
      <c r="BE35" s="12">
        <f>Users!BX33*Tickets!AM259</f>
        <v>10229487.205688691</v>
      </c>
      <c r="BF35" s="12">
        <f>Users!BY33*Tickets!AN259</f>
        <v>10229487.205688691</v>
      </c>
      <c r="BG35" s="12">
        <f>Users!BZ33*Tickets!AO259</f>
        <v>10229487.205688691</v>
      </c>
      <c r="BH35" s="12">
        <f>Users!CA33*Tickets!AP259</f>
        <v>10229487.205688691</v>
      </c>
      <c r="BI35" s="12">
        <f>Users!CB33*Tickets!AQ259</f>
        <v>10229487.205688691</v>
      </c>
      <c r="BJ35" s="12">
        <f>Users!CC33*Tickets!AR259</f>
        <v>10229487.205688691</v>
      </c>
      <c r="BK35" s="12">
        <f>Users!CD33*Tickets!AS259</f>
        <v>10229487.205688691</v>
      </c>
      <c r="BL35" s="12">
        <f>Users!CE33*Tickets!AT259</f>
        <v>10229487.205688691</v>
      </c>
      <c r="BM35" s="12">
        <f>Users!CF33*Tickets!AU259</f>
        <v>10229487.205688691</v>
      </c>
      <c r="BN35" s="12">
        <f>Users!CG33*Tickets!AV259</f>
        <v>10229487.205688691</v>
      </c>
      <c r="BO35" s="12">
        <f>Users!CH33*Tickets!AW259</f>
        <v>10229487.205688691</v>
      </c>
      <c r="BP35" s="12">
        <f>Users!CI33*Tickets!AX259</f>
        <v>10229487.205688691</v>
      </c>
      <c r="BQ35" s="12">
        <f>Users!CJ33*Tickets!AY259</f>
        <v>10229487.205688691</v>
      </c>
      <c r="BR35" s="12">
        <f>Users!CK33*Tickets!AZ259</f>
        <v>10229487.205688691</v>
      </c>
      <c r="BS35" s="12">
        <f>Users!CL33*Tickets!BA259</f>
        <v>10229487.205688691</v>
      </c>
      <c r="BT35" s="12">
        <f>Users!CM33*Tickets!BB259</f>
        <v>10229487.205688691</v>
      </c>
      <c r="BU35" s="12">
        <f>Users!CN33*Tickets!BC259</f>
        <v>10229487.205688691</v>
      </c>
      <c r="BV35" s="12">
        <f>Users!CO33*Tickets!BD259</f>
        <v>10229487.205688691</v>
      </c>
      <c r="BW35" s="12">
        <f>Users!CP33*Tickets!BE259</f>
        <v>10229487.205688691</v>
      </c>
      <c r="BX35" s="12">
        <f>Users!CQ33*Tickets!BF259</f>
        <v>10229487.205688691</v>
      </c>
      <c r="BY35" s="12">
        <f>Users!CR33*Tickets!BG259</f>
        <v>10229487.205688691</v>
      </c>
      <c r="BZ35" s="12">
        <f>Users!CS33*Tickets!BH259</f>
        <v>10229487.205688691</v>
      </c>
      <c r="CA35" s="12">
        <f>Users!CT33*Tickets!BI259</f>
        <v>10229487.205688691</v>
      </c>
      <c r="CB35" s="12">
        <f>Users!CU33*Tickets!BJ259</f>
        <v>10229487.205688691</v>
      </c>
      <c r="CC35" s="12">
        <f>Users!CV33*Tickets!BK259</f>
        <v>10229487.205688691</v>
      </c>
    </row>
    <row r="36" spans="1:81" s="12" customFormat="1">
      <c r="Q36" s="12" t="s">
        <v>282</v>
      </c>
      <c r="U36" s="12">
        <f>Users!AN34*Tickets!C260</f>
        <v>20351877.847634964</v>
      </c>
      <c r="V36" s="12">
        <f>Users!AO34*Tickets!D260</f>
        <v>21328767.984321445</v>
      </c>
      <c r="W36" s="12">
        <f>Users!AP34*Tickets!E260</f>
        <v>21989959.791835412</v>
      </c>
      <c r="X36" s="12">
        <f>Users!AQ34*Tickets!F260</f>
        <v>22605678.666006796</v>
      </c>
      <c r="Y36" s="12">
        <f>Users!AR34*Tickets!G260</f>
        <v>23216031.989988979</v>
      </c>
      <c r="Z36" s="12">
        <f>Users!AS34*Tickets!H260</f>
        <v>23982161.045658614</v>
      </c>
      <c r="AA36" s="12">
        <f>Users!AT34*Tickets!I260</f>
        <v>24845518.843302324</v>
      </c>
      <c r="AB36" s="12">
        <f>Users!AU34*Tickets!J260</f>
        <v>25789648.559347812</v>
      </c>
      <c r="AC36" s="12">
        <f>Users!AV34*Tickets!K260</f>
        <v>26795444.853162378</v>
      </c>
      <c r="AD36" s="12">
        <f>Users!AW34*Tickets!L260</f>
        <v>27800274.035155963</v>
      </c>
      <c r="AE36" s="12">
        <f>Users!AX34*Tickets!M260</f>
        <v>28801083.900421575</v>
      </c>
      <c r="AF36" s="12">
        <f>Users!AY34*Tickets!N260</f>
        <v>29794721.294986118</v>
      </c>
      <c r="AG36" s="12">
        <f>Users!AZ34*Tickets!O260</f>
        <v>30777947.097720657</v>
      </c>
      <c r="AH36" s="12">
        <f>Users!BA34*Tickets!P260</f>
        <v>31793619.351945437</v>
      </c>
      <c r="AI36" s="12">
        <f>Users!BB34*Tickets!Q260</f>
        <v>32842808.790559638</v>
      </c>
      <c r="AJ36" s="12">
        <f>Users!BC34*Tickets!R260</f>
        <v>33926621.480648108</v>
      </c>
      <c r="AK36" s="12">
        <f>Users!BD34*Tickets!S260</f>
        <v>35046199.989509493</v>
      </c>
      <c r="AL36" s="12">
        <f>Users!BE34*Tickets!T260</f>
        <v>36202724.589163303</v>
      </c>
      <c r="AM36" s="12">
        <f>Users!BF34*Tickets!U260</f>
        <v>37397414.500605695</v>
      </c>
      <c r="AN36" s="12">
        <f>Users!BG34*Tickets!V260</f>
        <v>38706324.008126892</v>
      </c>
      <c r="AO36" s="12">
        <f>Users!BH34*Tickets!W260</f>
        <v>38706324.008126892</v>
      </c>
      <c r="AP36" s="12">
        <f>Users!BI34*Tickets!X260</f>
        <v>38706324.008126892</v>
      </c>
      <c r="AQ36" s="12">
        <f>Users!BJ34*Tickets!Y260</f>
        <v>38706324.008126892</v>
      </c>
      <c r="AR36" s="12">
        <f>Users!BK34*Tickets!Z260</f>
        <v>38706324.008126892</v>
      </c>
      <c r="AS36" s="12">
        <f>Users!BL34*Tickets!AA260</f>
        <v>38706324.008126892</v>
      </c>
      <c r="AT36" s="12">
        <f>Users!BM34*Tickets!AB260</f>
        <v>38706324.008126892</v>
      </c>
      <c r="AU36" s="12">
        <f>Users!BN34*Tickets!AC260</f>
        <v>38706324.008126892</v>
      </c>
      <c r="AV36" s="12">
        <f>Users!BO34*Tickets!AD260</f>
        <v>38706324.008126892</v>
      </c>
      <c r="AW36" s="12">
        <f>Users!BP34*Tickets!AE260</f>
        <v>38706324.008126892</v>
      </c>
      <c r="AX36" s="12">
        <f>Users!BQ34*Tickets!AF260</f>
        <v>38706324.008126892</v>
      </c>
      <c r="AY36" s="12">
        <f>Users!BR34*Tickets!AG260</f>
        <v>38706324.008126892</v>
      </c>
      <c r="AZ36" s="12">
        <f>Users!BS34*Tickets!AH260</f>
        <v>38706324.008126892</v>
      </c>
      <c r="BA36" s="12">
        <f>Users!BT34*Tickets!AI260</f>
        <v>38706324.008126892</v>
      </c>
      <c r="BB36" s="12">
        <f>Users!BU34*Tickets!AJ260</f>
        <v>38706324.008126892</v>
      </c>
      <c r="BC36" s="12">
        <f>Users!BV34*Tickets!AK260</f>
        <v>38706324.008126892</v>
      </c>
      <c r="BD36" s="12">
        <f>Users!BW34*Tickets!AL260</f>
        <v>38706324.008126892</v>
      </c>
      <c r="BE36" s="12">
        <f>Users!BX34*Tickets!AM260</f>
        <v>38706324.008126892</v>
      </c>
      <c r="BF36" s="12">
        <f>Users!BY34*Tickets!AN260</f>
        <v>38706324.008126892</v>
      </c>
      <c r="BG36" s="12">
        <f>Users!BZ34*Tickets!AO260</f>
        <v>38706324.008126892</v>
      </c>
      <c r="BH36" s="12">
        <f>Users!CA34*Tickets!AP260</f>
        <v>38706324.008126892</v>
      </c>
      <c r="BI36" s="12">
        <f>Users!CB34*Tickets!AQ260</f>
        <v>38706324.008126892</v>
      </c>
      <c r="BJ36" s="12">
        <f>Users!CC34*Tickets!AR260</f>
        <v>38706324.008126892</v>
      </c>
      <c r="BK36" s="12">
        <f>Users!CD34*Tickets!AS260</f>
        <v>38706324.008126892</v>
      </c>
      <c r="BL36" s="12">
        <f>Users!CE34*Tickets!AT260</f>
        <v>38706324.008126892</v>
      </c>
      <c r="BM36" s="12">
        <f>Users!CF34*Tickets!AU260</f>
        <v>38706324.008126892</v>
      </c>
      <c r="BN36" s="12">
        <f>Users!CG34*Tickets!AV260</f>
        <v>38706324.008126892</v>
      </c>
      <c r="BO36" s="12">
        <f>Users!CH34*Tickets!AW260</f>
        <v>38706324.008126892</v>
      </c>
      <c r="BP36" s="12">
        <f>Users!CI34*Tickets!AX260</f>
        <v>38706324.008126892</v>
      </c>
      <c r="BQ36" s="12">
        <f>Users!CJ34*Tickets!AY260</f>
        <v>38706324.008126892</v>
      </c>
      <c r="BR36" s="12">
        <f>Users!CK34*Tickets!AZ260</f>
        <v>38706324.008126892</v>
      </c>
      <c r="BS36" s="12">
        <f>Users!CL34*Tickets!BA260</f>
        <v>38706324.008126892</v>
      </c>
      <c r="BT36" s="12">
        <f>Users!CM34*Tickets!BB260</f>
        <v>38706324.008126892</v>
      </c>
      <c r="BU36" s="12">
        <f>Users!CN34*Tickets!BC260</f>
        <v>38706324.008126892</v>
      </c>
      <c r="BV36" s="12">
        <f>Users!CO34*Tickets!BD260</f>
        <v>38706324.008126892</v>
      </c>
      <c r="BW36" s="12">
        <f>Users!CP34*Tickets!BE260</f>
        <v>38706324.008126892</v>
      </c>
      <c r="BX36" s="12">
        <f>Users!CQ34*Tickets!BF260</f>
        <v>38706324.008126892</v>
      </c>
      <c r="BY36" s="12">
        <f>Users!CR34*Tickets!BG260</f>
        <v>38706324.008126892</v>
      </c>
      <c r="BZ36" s="12">
        <f>Users!CS34*Tickets!BH260</f>
        <v>38706324.008126892</v>
      </c>
      <c r="CA36" s="12">
        <f>Users!CT34*Tickets!BI260</f>
        <v>38706324.008126892</v>
      </c>
      <c r="CB36" s="12">
        <f>Users!CU34*Tickets!BJ260</f>
        <v>38706324.008126892</v>
      </c>
      <c r="CC36" s="12">
        <f>Users!CV34*Tickets!BK260</f>
        <v>38706324.008126892</v>
      </c>
    </row>
    <row r="37" spans="1:81">
      <c r="A37" s="12"/>
      <c r="B37" s="12"/>
      <c r="C37" s="12"/>
      <c r="D37" s="12"/>
      <c r="E37" s="12"/>
      <c r="F37" s="17"/>
      <c r="G37" s="17"/>
      <c r="H37" s="17"/>
      <c r="I37" s="17"/>
      <c r="J37" s="17"/>
      <c r="K37" s="12"/>
      <c r="L37" s="12"/>
      <c r="Q37" s="12" t="s">
        <v>92</v>
      </c>
      <c r="R37" s="12"/>
      <c r="S37" s="12"/>
      <c r="U37" s="12">
        <f>Users!AN35*Tickets!C261</f>
        <v>13819727.644021023</v>
      </c>
      <c r="V37" s="12">
        <f>Users!AO35*Tickets!D261</f>
        <v>14483074.570934033</v>
      </c>
      <c r="W37" s="12">
        <f>Users!AP35*Tickets!E261</f>
        <v>14932049.882632991</v>
      </c>
      <c r="X37" s="12">
        <f>Users!AQ35*Tickets!F261</f>
        <v>15350147.279346714</v>
      </c>
      <c r="Y37" s="12">
        <f>Users!AR35*Tickets!G261</f>
        <v>15764601.255889077</v>
      </c>
      <c r="Z37" s="12">
        <f>Users!AS35*Tickets!H261</f>
        <v>16284833.097333416</v>
      </c>
      <c r="AA37" s="12">
        <f>Users!AT35*Tickets!I261</f>
        <v>16871087.088837415</v>
      </c>
      <c r="AB37" s="12">
        <f>Users!AU35*Tickets!J261</f>
        <v>17512188.398213234</v>
      </c>
      <c r="AC37" s="12">
        <f>Users!AV35*Tickets!K261</f>
        <v>18195163.745743554</v>
      </c>
      <c r="AD37" s="12">
        <f>Users!AW35*Tickets!L261</f>
        <v>18877482.386208933</v>
      </c>
      <c r="AE37" s="12">
        <f>Users!AX35*Tickets!M261</f>
        <v>19557071.752112448</v>
      </c>
      <c r="AF37" s="12">
        <f>Users!AY35*Tickets!N261</f>
        <v>20231790.727560326</v>
      </c>
      <c r="AG37" s="12">
        <f>Users!AZ35*Tickets!O261</f>
        <v>20899439.821569819</v>
      </c>
      <c r="AH37" s="12">
        <f>Users!BA35*Tickets!P261</f>
        <v>21589121.335681621</v>
      </c>
      <c r="AI37" s="12">
        <f>Users!BB35*Tickets!Q261</f>
        <v>22301562.339759115</v>
      </c>
      <c r="AJ37" s="12">
        <f>Users!BC35*Tickets!R261</f>
        <v>23037513.896971162</v>
      </c>
      <c r="AK37" s="12">
        <f>Users!BD35*Tickets!S261</f>
        <v>23797751.85557121</v>
      </c>
      <c r="AL37" s="12">
        <f>Users!BE35*Tickets!T261</f>
        <v>24583077.666805062</v>
      </c>
      <c r="AM37" s="12">
        <f>Users!BF35*Tickets!U261</f>
        <v>25394319.229809627</v>
      </c>
      <c r="AN37" s="12">
        <f>Users!BG35*Tickets!V261</f>
        <v>26283120.402852964</v>
      </c>
      <c r="AO37" s="12">
        <f>Users!BH35*Tickets!W261</f>
        <v>26283120.402852964</v>
      </c>
      <c r="AP37" s="12">
        <f>Users!BI35*Tickets!X261</f>
        <v>26283120.402852964</v>
      </c>
      <c r="AQ37" s="12">
        <f>Users!BJ35*Tickets!Y261</f>
        <v>26283120.402852964</v>
      </c>
      <c r="AR37" s="12">
        <f>Users!BK35*Tickets!Z261</f>
        <v>26283120.402852964</v>
      </c>
      <c r="AS37" s="12">
        <f>Users!BL35*Tickets!AA261</f>
        <v>26283120.402852964</v>
      </c>
      <c r="AT37" s="12">
        <f>Users!BM35*Tickets!AB261</f>
        <v>26283120.402852964</v>
      </c>
      <c r="AU37" s="12">
        <f>Users!BN35*Tickets!AC261</f>
        <v>26283120.402852964</v>
      </c>
      <c r="AV37" s="12">
        <f>Users!BO35*Tickets!AD261</f>
        <v>26283120.402852964</v>
      </c>
      <c r="AW37" s="12">
        <f>Users!BP35*Tickets!AE261</f>
        <v>26283120.402852964</v>
      </c>
      <c r="AX37" s="12">
        <f>Users!BQ35*Tickets!AF261</f>
        <v>26283120.402852964</v>
      </c>
      <c r="AY37" s="12">
        <f>Users!BR35*Tickets!AG261</f>
        <v>26283120.402852964</v>
      </c>
      <c r="AZ37" s="12">
        <f>Users!BS35*Tickets!AH261</f>
        <v>26283120.402852964</v>
      </c>
      <c r="BA37" s="12">
        <f>Users!BT35*Tickets!AI261</f>
        <v>26283120.402852964</v>
      </c>
      <c r="BB37" s="12">
        <f>Users!BU35*Tickets!AJ261</f>
        <v>26283120.402852964</v>
      </c>
      <c r="BC37" s="12">
        <f>Users!BV35*Tickets!AK261</f>
        <v>26283120.402852964</v>
      </c>
      <c r="BD37" s="12">
        <f>Users!BW35*Tickets!AL261</f>
        <v>26283120.402852964</v>
      </c>
      <c r="BE37" s="12">
        <f>Users!BX35*Tickets!AM261</f>
        <v>26283120.402852964</v>
      </c>
      <c r="BF37" s="12">
        <f>Users!BY35*Tickets!AN261</f>
        <v>26283120.402852964</v>
      </c>
      <c r="BG37" s="12">
        <f>Users!BZ35*Tickets!AO261</f>
        <v>26283120.402852964</v>
      </c>
      <c r="BH37" s="12">
        <f>Users!CA35*Tickets!AP261</f>
        <v>26283120.402852964</v>
      </c>
      <c r="BI37" s="12">
        <f>Users!CB35*Tickets!AQ261</f>
        <v>26283120.402852964</v>
      </c>
      <c r="BJ37" s="12">
        <f>Users!CC35*Tickets!AR261</f>
        <v>26283120.402852964</v>
      </c>
      <c r="BK37" s="12">
        <f>Users!CD35*Tickets!AS261</f>
        <v>26283120.402852964</v>
      </c>
      <c r="BL37" s="12">
        <f>Users!CE35*Tickets!AT261</f>
        <v>26283120.402852964</v>
      </c>
      <c r="BM37" s="12">
        <f>Users!CF35*Tickets!AU261</f>
        <v>26283120.402852964</v>
      </c>
      <c r="BN37" s="12">
        <f>Users!CG35*Tickets!AV261</f>
        <v>26283120.402852964</v>
      </c>
      <c r="BO37" s="12">
        <f>Users!CH35*Tickets!AW261</f>
        <v>26283120.402852964</v>
      </c>
      <c r="BP37" s="12">
        <f>Users!CI35*Tickets!AX261</f>
        <v>26283120.402852964</v>
      </c>
      <c r="BQ37" s="12">
        <f>Users!CJ35*Tickets!AY261</f>
        <v>26283120.402852964</v>
      </c>
      <c r="BR37" s="12">
        <f>Users!CK35*Tickets!AZ261</f>
        <v>26283120.402852964</v>
      </c>
      <c r="BS37" s="12">
        <f>Users!CL35*Tickets!BA261</f>
        <v>26283120.402852964</v>
      </c>
      <c r="BT37" s="12">
        <f>Users!CM35*Tickets!BB261</f>
        <v>26283120.402852964</v>
      </c>
      <c r="BU37" s="12">
        <f>Users!CN35*Tickets!BC261</f>
        <v>26283120.402852964</v>
      </c>
      <c r="BV37" s="12">
        <f>Users!CO35*Tickets!BD261</f>
        <v>26283120.402852964</v>
      </c>
      <c r="BW37" s="12">
        <f>Users!CP35*Tickets!BE261</f>
        <v>26283120.402852964</v>
      </c>
      <c r="BX37" s="12">
        <f>Users!CQ35*Tickets!BF261</f>
        <v>26283120.402852964</v>
      </c>
      <c r="BY37" s="12">
        <f>Users!CR35*Tickets!BG261</f>
        <v>26283120.402852964</v>
      </c>
      <c r="BZ37" s="12">
        <f>Users!CS35*Tickets!BH261</f>
        <v>26283120.402852964</v>
      </c>
      <c r="CA37" s="12">
        <f>Users!CT35*Tickets!BI261</f>
        <v>26283120.402852964</v>
      </c>
      <c r="CB37" s="12">
        <f>Users!CU35*Tickets!BJ261</f>
        <v>26283120.402852964</v>
      </c>
      <c r="CC37" s="12">
        <f>Users!CV35*Tickets!BK261</f>
        <v>26283120.402852964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8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8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Q40" t="s">
        <v>204</v>
      </c>
      <c r="U40">
        <f>SUM(U6:U37)</f>
        <v>259017581.74326831</v>
      </c>
      <c r="V40" s="12">
        <f t="shared" ref="V40:CC40" si="4">SUM(V6:V37)</f>
        <v>271450425.66694522</v>
      </c>
      <c r="W40" s="12">
        <f t="shared" si="4"/>
        <v>279865388.86262053</v>
      </c>
      <c r="X40" s="12">
        <f t="shared" si="4"/>
        <v>287701619.75077385</v>
      </c>
      <c r="Y40" s="12">
        <f t="shared" si="4"/>
        <v>295469563.48404473</v>
      </c>
      <c r="Z40" s="12">
        <f t="shared" si="4"/>
        <v>305220059.07901824</v>
      </c>
      <c r="AA40" s="12">
        <f t="shared" si="4"/>
        <v>316207981.20586288</v>
      </c>
      <c r="AB40" s="12">
        <f t="shared" si="4"/>
        <v>328223884.49168563</v>
      </c>
      <c r="AC40" s="12">
        <f t="shared" si="4"/>
        <v>341024615.98686141</v>
      </c>
      <c r="AD40" s="12">
        <f t="shared" si="4"/>
        <v>353813039.08636874</v>
      </c>
      <c r="AE40" s="12">
        <f t="shared" si="4"/>
        <v>366550308.49347794</v>
      </c>
      <c r="AF40" s="12">
        <f t="shared" si="4"/>
        <v>379196294.13650292</v>
      </c>
      <c r="AG40" s="12">
        <f t="shared" si="4"/>
        <v>391709771.8430075</v>
      </c>
      <c r="AH40" s="12">
        <f t="shared" si="4"/>
        <v>404636194.31382674</v>
      </c>
      <c r="AI40" s="12">
        <f t="shared" si="4"/>
        <v>417989188.72618294</v>
      </c>
      <c r="AJ40" s="12">
        <f t="shared" si="4"/>
        <v>431782831.95414698</v>
      </c>
      <c r="AK40" s="12">
        <f t="shared" si="4"/>
        <v>446031665.40863389</v>
      </c>
      <c r="AL40" s="12">
        <f t="shared" si="4"/>
        <v>460750710.36711878</v>
      </c>
      <c r="AM40" s="12">
        <f t="shared" si="4"/>
        <v>475955483.80923355</v>
      </c>
      <c r="AN40" s="12">
        <f t="shared" si="4"/>
        <v>492613925.74255681</v>
      </c>
      <c r="AO40" s="12">
        <f t="shared" si="4"/>
        <v>492613925.74255681</v>
      </c>
      <c r="AP40" s="12">
        <f t="shared" si="4"/>
        <v>492613925.74255681</v>
      </c>
      <c r="AQ40" s="12">
        <f t="shared" si="4"/>
        <v>492613925.74255681</v>
      </c>
      <c r="AR40" s="12">
        <f t="shared" si="4"/>
        <v>492613925.74255681</v>
      </c>
      <c r="AS40" s="12">
        <f t="shared" si="4"/>
        <v>492613925.74255681</v>
      </c>
      <c r="AT40" s="12">
        <f t="shared" si="4"/>
        <v>492613925.74255681</v>
      </c>
      <c r="AU40" s="12">
        <f t="shared" si="4"/>
        <v>492613925.74255681</v>
      </c>
      <c r="AV40" s="12">
        <f t="shared" si="4"/>
        <v>492613925.74255681</v>
      </c>
      <c r="AW40" s="12">
        <f t="shared" si="4"/>
        <v>492613925.74255681</v>
      </c>
      <c r="AX40" s="12">
        <f t="shared" si="4"/>
        <v>492613925.74255681</v>
      </c>
      <c r="AY40" s="12">
        <f t="shared" si="4"/>
        <v>492613925.74255681</v>
      </c>
      <c r="AZ40" s="12">
        <f t="shared" si="4"/>
        <v>492613925.74255681</v>
      </c>
      <c r="BA40" s="12">
        <f t="shared" si="4"/>
        <v>492613925.74255681</v>
      </c>
      <c r="BB40" s="12">
        <f t="shared" si="4"/>
        <v>492613925.74255681</v>
      </c>
      <c r="BC40" s="12">
        <f t="shared" si="4"/>
        <v>492613925.74255681</v>
      </c>
      <c r="BD40" s="12">
        <f t="shared" si="4"/>
        <v>492613925.74255681</v>
      </c>
      <c r="BE40" s="12">
        <f t="shared" si="4"/>
        <v>492613925.74255681</v>
      </c>
      <c r="BF40" s="12">
        <f t="shared" si="4"/>
        <v>492613925.74255681</v>
      </c>
      <c r="BG40" s="12">
        <f t="shared" si="4"/>
        <v>492613925.74255681</v>
      </c>
      <c r="BH40" s="12">
        <f t="shared" si="4"/>
        <v>492613925.74255681</v>
      </c>
      <c r="BI40" s="12">
        <f t="shared" si="4"/>
        <v>492613925.74255681</v>
      </c>
      <c r="BJ40" s="12">
        <f t="shared" si="4"/>
        <v>492613925.74255681</v>
      </c>
      <c r="BK40" s="12">
        <f t="shared" si="4"/>
        <v>492613925.74255681</v>
      </c>
      <c r="BL40" s="12">
        <f t="shared" si="4"/>
        <v>492613925.74255681</v>
      </c>
      <c r="BM40" s="12">
        <f t="shared" si="4"/>
        <v>492613925.74255681</v>
      </c>
      <c r="BN40" s="12">
        <f t="shared" si="4"/>
        <v>492613925.74255681</v>
      </c>
      <c r="BO40" s="12">
        <f t="shared" si="4"/>
        <v>492613925.74255681</v>
      </c>
      <c r="BP40" s="12">
        <f>SUM(BP6:BP37)</f>
        <v>492613925.74255681</v>
      </c>
      <c r="BQ40" s="12">
        <f t="shared" si="4"/>
        <v>492613925.74255681</v>
      </c>
      <c r="BR40" s="12">
        <f t="shared" si="4"/>
        <v>492613925.74255681</v>
      </c>
      <c r="BS40" s="12">
        <f t="shared" si="4"/>
        <v>492613925.74255681</v>
      </c>
      <c r="BT40" s="12">
        <f t="shared" si="4"/>
        <v>492613925.74255681</v>
      </c>
      <c r="BU40" s="12">
        <f t="shared" si="4"/>
        <v>492613925.74255681</v>
      </c>
      <c r="BV40" s="12">
        <f t="shared" si="4"/>
        <v>492613925.74255681</v>
      </c>
      <c r="BW40" s="12">
        <f t="shared" si="4"/>
        <v>492613925.74255681</v>
      </c>
      <c r="BX40" s="12">
        <f t="shared" si="4"/>
        <v>492613925.74255681</v>
      </c>
      <c r="BY40" s="12">
        <f t="shared" si="4"/>
        <v>492613925.74255681</v>
      </c>
      <c r="BZ40" s="12">
        <f t="shared" si="4"/>
        <v>492613925.74255681</v>
      </c>
      <c r="CA40" s="12">
        <f t="shared" si="4"/>
        <v>492613925.74255681</v>
      </c>
      <c r="CB40" s="12">
        <f t="shared" si="4"/>
        <v>492613925.74255681</v>
      </c>
      <c r="CC40" s="12">
        <f t="shared" si="4"/>
        <v>492613925.74255681</v>
      </c>
    </row>
    <row r="41" spans="1:8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V42" s="12"/>
      <c r="W42" s="12"/>
    </row>
    <row r="43" spans="1:8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U43" s="12"/>
      <c r="V43" s="12"/>
      <c r="W43" s="12"/>
    </row>
    <row r="44" spans="1:8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O44" s="12"/>
      <c r="U44" s="12"/>
      <c r="V44" s="12"/>
      <c r="W44" s="12"/>
    </row>
    <row r="45" spans="1:8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V45" s="12"/>
      <c r="W45" s="12"/>
    </row>
    <row r="46" spans="1:8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8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81">
      <c r="A48" s="12"/>
      <c r="B48" s="12"/>
      <c r="C48" s="12"/>
      <c r="D48" s="12"/>
      <c r="E48" s="12"/>
      <c r="F48" s="17"/>
      <c r="G48" s="17"/>
      <c r="H48" s="17"/>
      <c r="I48" s="17"/>
      <c r="J48" s="17"/>
      <c r="K48" s="17"/>
      <c r="L48" s="12"/>
    </row>
    <row r="51" spans="1:16">
      <c r="F51" s="17"/>
      <c r="G51" s="17"/>
      <c r="H51" s="17"/>
      <c r="I51" s="17"/>
      <c r="J51" s="17"/>
      <c r="K51" s="17"/>
      <c r="P51" s="17"/>
    </row>
    <row r="54" spans="1:16">
      <c r="A54" s="8"/>
      <c r="C54" s="8"/>
      <c r="F54" s="17"/>
    </row>
    <row r="56" spans="1:16">
      <c r="F56" s="17"/>
      <c r="G56" s="17"/>
      <c r="H56" s="17"/>
      <c r="I56" s="17"/>
      <c r="J56" s="17"/>
    </row>
    <row r="58" spans="1:16">
      <c r="F58" s="17"/>
      <c r="H58" s="17"/>
      <c r="I58" s="18"/>
    </row>
    <row r="59" spans="1:16">
      <c r="H59" s="8"/>
    </row>
    <row r="60" spans="1:16">
      <c r="A60" s="12"/>
      <c r="F60" s="18"/>
      <c r="H60" s="18"/>
    </row>
    <row r="62" spans="1:16">
      <c r="A62" s="8"/>
      <c r="G62" s="12"/>
      <c r="H62" s="12"/>
      <c r="I62" s="12"/>
      <c r="J62" s="12"/>
    </row>
    <row r="63" spans="1:16">
      <c r="A63" s="2"/>
      <c r="F63" s="17"/>
      <c r="G63" s="17"/>
      <c r="H63" s="17"/>
      <c r="I63" s="17"/>
      <c r="J63" s="17"/>
    </row>
    <row r="64" spans="1:16">
      <c r="F64" s="17"/>
      <c r="H64" s="17"/>
    </row>
    <row r="65" spans="1:21">
      <c r="A65" s="2"/>
      <c r="G65" s="12"/>
      <c r="H65" s="12"/>
      <c r="I65" s="12"/>
      <c r="J65" s="12"/>
    </row>
    <row r="66" spans="1:21">
      <c r="F66" s="17"/>
      <c r="G66" s="17"/>
      <c r="H66" s="17"/>
      <c r="I66" s="17"/>
      <c r="J66" s="17"/>
      <c r="K66" s="12"/>
    </row>
    <row r="67" spans="1:21">
      <c r="F67" s="16"/>
    </row>
    <row r="68" spans="1:21">
      <c r="A68" s="8"/>
      <c r="B68" s="8"/>
    </row>
    <row r="69" spans="1:21">
      <c r="A69" s="8"/>
      <c r="B69" s="8"/>
      <c r="G69" s="12"/>
      <c r="H69" s="12"/>
      <c r="I69" s="12"/>
      <c r="J69" s="12"/>
    </row>
    <row r="70" spans="1:21">
      <c r="J70" s="16"/>
    </row>
    <row r="71" spans="1:21">
      <c r="J71" s="17"/>
      <c r="O71" s="12"/>
      <c r="S71" s="12"/>
    </row>
    <row r="72" spans="1:21">
      <c r="K72" s="12"/>
      <c r="L72" s="12"/>
      <c r="M72" s="12"/>
      <c r="N72" s="12"/>
      <c r="O72" s="12"/>
      <c r="P72" s="12"/>
      <c r="Q72" s="12"/>
      <c r="S72" s="12"/>
      <c r="T72" s="12"/>
      <c r="U72" s="12"/>
    </row>
    <row r="73" spans="1:21">
      <c r="A73" s="12"/>
      <c r="M73" s="12"/>
    </row>
    <row r="74" spans="1:21">
      <c r="A74" s="12"/>
      <c r="D74" s="12"/>
      <c r="E74" s="12"/>
      <c r="H74" s="12"/>
      <c r="I74" s="12"/>
      <c r="L74" s="12"/>
      <c r="M74" s="12"/>
      <c r="P74" s="12"/>
      <c r="Q74" s="12"/>
      <c r="T74" s="12"/>
      <c r="U74" s="12"/>
    </row>
    <row r="75" spans="1:21">
      <c r="A75" s="12"/>
      <c r="D75" s="12"/>
      <c r="E75" s="12"/>
      <c r="H75" s="12"/>
      <c r="I75" s="12"/>
      <c r="L75" s="12"/>
      <c r="M75" s="12"/>
      <c r="P75" s="12"/>
      <c r="Q75" s="12"/>
      <c r="T75" s="12"/>
      <c r="U75" s="12"/>
    </row>
    <row r="76" spans="1:21">
      <c r="A76" s="12"/>
      <c r="D76" s="12"/>
      <c r="E76" s="12"/>
      <c r="H76" s="12"/>
      <c r="I76" s="12"/>
      <c r="L76" s="12"/>
      <c r="M76" s="12"/>
      <c r="P76" s="12"/>
      <c r="Q76" s="12"/>
      <c r="T76" s="12"/>
      <c r="U76" s="12"/>
    </row>
    <row r="77" spans="1:21">
      <c r="A77" s="12"/>
      <c r="D77" s="12"/>
      <c r="E77" s="12"/>
      <c r="H77" s="12"/>
      <c r="I77" s="12"/>
      <c r="L77" s="12"/>
      <c r="M77" s="12"/>
      <c r="P77" s="12"/>
      <c r="Q77" s="12"/>
      <c r="T77" s="12"/>
      <c r="U77" s="12"/>
    </row>
    <row r="79" spans="1:21"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>
      <c r="Q80" s="12"/>
      <c r="R80" s="12"/>
      <c r="S80" s="12"/>
      <c r="T80" s="12"/>
    </row>
    <row r="83" spans="11:22">
      <c r="S83" s="12"/>
    </row>
    <row r="84" spans="11:22"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1:22"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1:22"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1:22"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1:22"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1:22"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1:22"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1:22"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1:22"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1:22"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1:22"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7" spans="1:9">
      <c r="C97" s="12"/>
      <c r="D97" s="12"/>
      <c r="E97" s="12"/>
      <c r="F97" s="12"/>
      <c r="G97" s="12"/>
      <c r="H97" s="12"/>
      <c r="I97" s="12"/>
    </row>
    <row r="98" spans="1:9">
      <c r="A98" s="12"/>
      <c r="E98" s="12"/>
    </row>
    <row r="99" spans="1:9">
      <c r="A99" s="12"/>
      <c r="D99" s="12"/>
      <c r="E99" s="12"/>
      <c r="H99" s="12"/>
      <c r="I99" s="12"/>
    </row>
    <row r="100" spans="1:9">
      <c r="A100" s="12"/>
      <c r="D100" s="12"/>
      <c r="E100" s="12"/>
      <c r="H100" s="12"/>
      <c r="I100" s="12"/>
    </row>
    <row r="101" spans="1:9">
      <c r="A101" s="12"/>
      <c r="D101" s="12"/>
      <c r="E101" s="12"/>
      <c r="H101" s="12"/>
      <c r="I101" s="12"/>
    </row>
    <row r="102" spans="1:9">
      <c r="A102" s="12"/>
      <c r="D102" s="12"/>
      <c r="E102" s="12"/>
      <c r="H102" s="12"/>
      <c r="I10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P173"/>
  <sheetViews>
    <sheetView workbookViewId="0">
      <selection activeCell="L3" sqref="L3"/>
    </sheetView>
  </sheetViews>
  <sheetFormatPr defaultRowHeight="14.25"/>
  <cols>
    <col min="3" max="3" width="13.86328125" bestFit="1" customWidth="1"/>
    <col min="4" max="4" width="14.265625" bestFit="1" customWidth="1"/>
    <col min="5" max="5" width="20.3984375" bestFit="1" customWidth="1"/>
    <col min="6" max="7" width="12.73046875" bestFit="1" customWidth="1"/>
    <col min="13" max="13" width="11.1328125" bestFit="1" customWidth="1"/>
  </cols>
  <sheetData>
    <row r="1" spans="1:68">
      <c r="A1" t="s">
        <v>128</v>
      </c>
    </row>
    <row r="2" spans="1:68">
      <c r="C2">
        <v>2009</v>
      </c>
      <c r="D2">
        <v>2010</v>
      </c>
    </row>
    <row r="3" spans="1:68">
      <c r="A3" t="s">
        <v>243</v>
      </c>
      <c r="C3">
        <v>108473</v>
      </c>
      <c r="D3">
        <f>C3*(1+D8/100)</f>
        <v>109379.83428</v>
      </c>
      <c r="E3" s="12"/>
      <c r="F3" s="12"/>
      <c r="G3" s="12"/>
    </row>
    <row r="4" spans="1:68">
      <c r="A4" s="12" t="s">
        <v>244</v>
      </c>
      <c r="C4">
        <v>30525</v>
      </c>
      <c r="D4" s="12"/>
    </row>
    <row r="5" spans="1:68">
      <c r="A5" s="21" t="s">
        <v>249</v>
      </c>
      <c r="B5" s="21"/>
      <c r="C5" s="21"/>
      <c r="D5" s="21"/>
      <c r="F5" s="21">
        <v>20</v>
      </c>
      <c r="I5" s="21" t="s">
        <v>250</v>
      </c>
      <c r="O5">
        <f>F5</f>
        <v>20</v>
      </c>
    </row>
    <row r="6" spans="1:68" s="12" customFormat="1">
      <c r="F6" s="21"/>
    </row>
    <row r="7" spans="1:68">
      <c r="A7" t="s">
        <v>182</v>
      </c>
      <c r="D7">
        <v>2010</v>
      </c>
      <c r="E7">
        <f>D7 +1</f>
        <v>2011</v>
      </c>
      <c r="F7" s="12">
        <f t="shared" ref="F7:BL7" si="0">E7 +1</f>
        <v>2012</v>
      </c>
      <c r="G7" s="12">
        <f t="shared" si="0"/>
        <v>2013</v>
      </c>
      <c r="H7" s="12">
        <f t="shared" si="0"/>
        <v>2014</v>
      </c>
      <c r="I7" s="12">
        <f t="shared" si="0"/>
        <v>2015</v>
      </c>
      <c r="J7" s="12">
        <f t="shared" si="0"/>
        <v>2016</v>
      </c>
      <c r="K7" s="12">
        <f t="shared" si="0"/>
        <v>2017</v>
      </c>
      <c r="L7" s="12">
        <f t="shared" si="0"/>
        <v>2018</v>
      </c>
      <c r="M7" s="12">
        <f t="shared" si="0"/>
        <v>2019</v>
      </c>
      <c r="N7" s="12">
        <f t="shared" si="0"/>
        <v>2020</v>
      </c>
      <c r="O7" s="12">
        <f t="shared" si="0"/>
        <v>2021</v>
      </c>
      <c r="P7" s="12">
        <f t="shared" si="0"/>
        <v>2022</v>
      </c>
      <c r="Q7" s="12">
        <f t="shared" si="0"/>
        <v>2023</v>
      </c>
      <c r="R7" s="12">
        <f t="shared" si="0"/>
        <v>2024</v>
      </c>
      <c r="S7" s="12">
        <f t="shared" si="0"/>
        <v>2025</v>
      </c>
      <c r="T7" s="12">
        <f t="shared" si="0"/>
        <v>2026</v>
      </c>
      <c r="U7" s="12">
        <f t="shared" si="0"/>
        <v>2027</v>
      </c>
      <c r="V7" s="12">
        <f t="shared" si="0"/>
        <v>2028</v>
      </c>
      <c r="W7" s="12">
        <f t="shared" si="0"/>
        <v>2029</v>
      </c>
      <c r="X7" s="12">
        <f t="shared" si="0"/>
        <v>2030</v>
      </c>
      <c r="Y7" s="12">
        <f t="shared" si="0"/>
        <v>2031</v>
      </c>
      <c r="Z7" s="12">
        <f t="shared" si="0"/>
        <v>2032</v>
      </c>
      <c r="AA7" s="12">
        <f t="shared" si="0"/>
        <v>2033</v>
      </c>
      <c r="AB7" s="12">
        <f t="shared" si="0"/>
        <v>2034</v>
      </c>
      <c r="AC7" s="12">
        <f t="shared" si="0"/>
        <v>2035</v>
      </c>
      <c r="AD7" s="12">
        <f t="shared" si="0"/>
        <v>2036</v>
      </c>
      <c r="AE7" s="12">
        <f t="shared" si="0"/>
        <v>2037</v>
      </c>
      <c r="AF7" s="12">
        <f t="shared" si="0"/>
        <v>2038</v>
      </c>
      <c r="AG7" s="12">
        <f t="shared" si="0"/>
        <v>2039</v>
      </c>
      <c r="AH7" s="12">
        <f t="shared" si="0"/>
        <v>2040</v>
      </c>
      <c r="AI7" s="12">
        <f t="shared" si="0"/>
        <v>2041</v>
      </c>
      <c r="AJ7" s="12">
        <f t="shared" si="0"/>
        <v>2042</v>
      </c>
      <c r="AK7" s="12">
        <f t="shared" si="0"/>
        <v>2043</v>
      </c>
      <c r="AL7" s="12">
        <f t="shared" si="0"/>
        <v>2044</v>
      </c>
      <c r="AM7" s="12">
        <f t="shared" si="0"/>
        <v>2045</v>
      </c>
      <c r="AN7" s="12">
        <f t="shared" si="0"/>
        <v>2046</v>
      </c>
      <c r="AO7" s="12">
        <f t="shared" si="0"/>
        <v>2047</v>
      </c>
      <c r="AP7" s="12">
        <f t="shared" si="0"/>
        <v>2048</v>
      </c>
      <c r="AQ7" s="12">
        <f t="shared" si="0"/>
        <v>2049</v>
      </c>
      <c r="AR7" s="12">
        <f t="shared" si="0"/>
        <v>2050</v>
      </c>
      <c r="AS7" s="12">
        <f t="shared" si="0"/>
        <v>2051</v>
      </c>
      <c r="AT7" s="12">
        <f t="shared" si="0"/>
        <v>2052</v>
      </c>
      <c r="AU7" s="12">
        <f t="shared" si="0"/>
        <v>2053</v>
      </c>
      <c r="AV7" s="12">
        <f t="shared" si="0"/>
        <v>2054</v>
      </c>
      <c r="AW7" s="12">
        <f t="shared" si="0"/>
        <v>2055</v>
      </c>
      <c r="AX7" s="12">
        <f t="shared" si="0"/>
        <v>2056</v>
      </c>
      <c r="AY7" s="12">
        <f t="shared" si="0"/>
        <v>2057</v>
      </c>
      <c r="AZ7" s="12">
        <f t="shared" si="0"/>
        <v>2058</v>
      </c>
      <c r="BA7" s="12">
        <f t="shared" si="0"/>
        <v>2059</v>
      </c>
      <c r="BB7" s="12">
        <f t="shared" si="0"/>
        <v>2060</v>
      </c>
      <c r="BC7" s="12">
        <f t="shared" si="0"/>
        <v>2061</v>
      </c>
      <c r="BD7" s="12">
        <f t="shared" si="0"/>
        <v>2062</v>
      </c>
      <c r="BE7" s="12">
        <f t="shared" si="0"/>
        <v>2063</v>
      </c>
      <c r="BF7" s="12">
        <f>BE7 +1</f>
        <v>2064</v>
      </c>
      <c r="BG7" s="12">
        <f t="shared" si="0"/>
        <v>2065</v>
      </c>
      <c r="BH7" s="12">
        <f t="shared" si="0"/>
        <v>2066</v>
      </c>
      <c r="BI7" s="12">
        <f t="shared" si="0"/>
        <v>2067</v>
      </c>
      <c r="BJ7" s="12">
        <f t="shared" si="0"/>
        <v>2068</v>
      </c>
      <c r="BK7" s="12">
        <f t="shared" si="0"/>
        <v>2069</v>
      </c>
      <c r="BL7" s="12">
        <f t="shared" si="0"/>
        <v>2070</v>
      </c>
      <c r="BM7" s="12"/>
      <c r="BN7" s="12"/>
      <c r="BO7" s="12"/>
      <c r="BP7" s="12"/>
    </row>
    <row r="8" spans="1:68" s="12" customFormat="1">
      <c r="A8" s="12" t="s">
        <v>129</v>
      </c>
      <c r="D8" s="16">
        <f>0.76*Variables!E10</f>
        <v>0.83600000000000008</v>
      </c>
      <c r="E8" s="16">
        <f>0.76*Variables!E10</f>
        <v>0.83600000000000008</v>
      </c>
      <c r="F8" s="16">
        <f>0.67*Variables!E10</f>
        <v>0.7370000000000001</v>
      </c>
      <c r="G8" s="16">
        <f>0.67*Variables!E10</f>
        <v>0.7370000000000001</v>
      </c>
      <c r="H8" s="16">
        <f>0.67*Variables!E10</f>
        <v>0.7370000000000001</v>
      </c>
      <c r="I8" s="16">
        <f>0.67*Variables!E10</f>
        <v>0.7370000000000001</v>
      </c>
      <c r="J8" s="16">
        <f>0.67*Variables!E10</f>
        <v>0.7370000000000001</v>
      </c>
      <c r="K8" s="16">
        <f>0.67*Variables!E10</f>
        <v>0.7370000000000001</v>
      </c>
      <c r="L8" s="16">
        <f>0.67*Variables!E10</f>
        <v>0.7370000000000001</v>
      </c>
      <c r="M8" s="16">
        <f>0.67*Variables!E10</f>
        <v>0.7370000000000001</v>
      </c>
      <c r="N8" s="16">
        <f>0.67*Variables!E10</f>
        <v>0.7370000000000001</v>
      </c>
      <c r="O8" s="16">
        <f>0.67*Variables!E10</f>
        <v>0.7370000000000001</v>
      </c>
      <c r="P8" s="16">
        <f>0.33*Variables!E10</f>
        <v>0.36300000000000004</v>
      </c>
      <c r="Q8" s="16">
        <f>0.33*Variables!E10</f>
        <v>0.36300000000000004</v>
      </c>
      <c r="R8" s="16">
        <f>0.33*Variables!E10</f>
        <v>0.36300000000000004</v>
      </c>
      <c r="S8" s="16">
        <f>0.33*Variables!E10</f>
        <v>0.36300000000000004</v>
      </c>
      <c r="T8" s="16">
        <f>0.33*Variables!E10</f>
        <v>0.36300000000000004</v>
      </c>
      <c r="U8" s="16">
        <f>0.33*Variables!E10</f>
        <v>0.36300000000000004</v>
      </c>
      <c r="V8" s="16">
        <f>0.33*Variables!E10</f>
        <v>0.36300000000000004</v>
      </c>
      <c r="W8" s="16">
        <f>0.33*Variables!E10</f>
        <v>0.36300000000000004</v>
      </c>
      <c r="X8" s="16">
        <f>0.33*Variables!E10</f>
        <v>0.36300000000000004</v>
      </c>
      <c r="Y8" s="16">
        <f>0.33*Variables!E10</f>
        <v>0.36300000000000004</v>
      </c>
      <c r="Z8" s="16">
        <f>0.17*Variables!E10</f>
        <v>0.18700000000000003</v>
      </c>
      <c r="AA8" s="16">
        <f>0.17*Variables!E10</f>
        <v>0.18700000000000003</v>
      </c>
      <c r="AB8" s="16">
        <f>0.17*Variables!E10</f>
        <v>0.18700000000000003</v>
      </c>
      <c r="AC8" s="16">
        <f>0.17*Variables!E10</f>
        <v>0.18700000000000003</v>
      </c>
      <c r="AD8" s="16">
        <f>0.17*Variables!E10</f>
        <v>0.18700000000000003</v>
      </c>
      <c r="AE8" s="16">
        <f>0.17*Variables!E10</f>
        <v>0.18700000000000003</v>
      </c>
      <c r="AF8" s="16">
        <f>0.17*Variables!E10</f>
        <v>0.18700000000000003</v>
      </c>
      <c r="AG8" s="16">
        <f>0.17*Variables!E10</f>
        <v>0.18700000000000003</v>
      </c>
      <c r="AH8" s="16">
        <f>0.17*Variables!E10</f>
        <v>0.18700000000000003</v>
      </c>
      <c r="AI8" s="16">
        <f>0.17*Variables!E10</f>
        <v>0.18700000000000003</v>
      </c>
      <c r="AJ8" s="16">
        <f>0.17*Variables!E10</f>
        <v>0.18700000000000003</v>
      </c>
      <c r="AK8" s="16">
        <f>0.17*Variables!E10</f>
        <v>0.18700000000000003</v>
      </c>
      <c r="AL8" s="16">
        <f>0.17*Variables!E10</f>
        <v>0.18700000000000003</v>
      </c>
      <c r="AM8" s="16">
        <f>0.17*Variables!E10</f>
        <v>0.18700000000000003</v>
      </c>
      <c r="AN8" s="16">
        <f>0.17*Variables!E10</f>
        <v>0.18700000000000003</v>
      </c>
      <c r="AO8" s="16">
        <f>0.17*Variables!E10</f>
        <v>0.18700000000000003</v>
      </c>
      <c r="AP8" s="16">
        <f>0.17*Variables!E10</f>
        <v>0.18700000000000003</v>
      </c>
      <c r="AQ8" s="16">
        <f>0.17*Variables!E10</f>
        <v>0.18700000000000003</v>
      </c>
      <c r="AR8" s="16">
        <f>0.17*Variables!E10</f>
        <v>0.18700000000000003</v>
      </c>
      <c r="AS8" s="16">
        <f>0.17*Variables!E10</f>
        <v>0.18700000000000003</v>
      </c>
      <c r="AT8" s="16">
        <f>0.17*Variables!E10</f>
        <v>0.18700000000000003</v>
      </c>
      <c r="AU8" s="16">
        <f>0.17*Variables!E10</f>
        <v>0.18700000000000003</v>
      </c>
      <c r="AV8" s="16">
        <f>0.17*Variables!E10</f>
        <v>0.18700000000000003</v>
      </c>
      <c r="AW8" s="16">
        <f>0.17*Variables!E10</f>
        <v>0.18700000000000003</v>
      </c>
      <c r="AX8" s="16">
        <f>0.17*Variables!E10</f>
        <v>0.18700000000000003</v>
      </c>
      <c r="AY8" s="16">
        <f>0.17*Variables!E10</f>
        <v>0.18700000000000003</v>
      </c>
      <c r="AZ8" s="16">
        <f>0.17*Variables!E10</f>
        <v>0.18700000000000003</v>
      </c>
      <c r="BA8" s="16">
        <f>0.17*Variables!E10</f>
        <v>0.18700000000000003</v>
      </c>
      <c r="BB8" s="16">
        <f>0.17*Variables!E10</f>
        <v>0.18700000000000003</v>
      </c>
      <c r="BC8" s="16">
        <f>0.17*Variables!E10</f>
        <v>0.18700000000000003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</row>
    <row r="9" spans="1:68" s="12" customFormat="1">
      <c r="A9" s="12" t="s">
        <v>130</v>
      </c>
      <c r="D9" s="16">
        <f>1.7269*Variables!E15</f>
        <v>1.8995900000000003</v>
      </c>
      <c r="E9" s="16">
        <f>1.7269*Variables!E15</f>
        <v>1.8995900000000003</v>
      </c>
      <c r="F9" s="16">
        <f>1.5695*Variables!E15</f>
        <v>1.72645</v>
      </c>
      <c r="G9" s="16">
        <f>1.5695*Variables!E15</f>
        <v>1.72645</v>
      </c>
      <c r="H9" s="16">
        <f>1.5695*Variables!E15</f>
        <v>1.72645</v>
      </c>
      <c r="I9" s="16">
        <f>1.5695*Variables!E15</f>
        <v>1.72645</v>
      </c>
      <c r="J9" s="16">
        <f>1.5695*Variables!E15</f>
        <v>1.72645</v>
      </c>
      <c r="K9" s="16">
        <f>1.5695*Variables!E15</f>
        <v>1.72645</v>
      </c>
      <c r="L9" s="16">
        <f>1.5695*Variables!E15</f>
        <v>1.72645</v>
      </c>
      <c r="M9" s="16">
        <f>1.5695*Variables!E15</f>
        <v>1.72645</v>
      </c>
      <c r="N9" s="16">
        <f>1.5695*Variables!E15</f>
        <v>1.72645</v>
      </c>
      <c r="O9" s="16">
        <f>1.5695*Variables!E15</f>
        <v>1.72645</v>
      </c>
      <c r="P9" s="16">
        <f>1.4153*Variables!E15</f>
        <v>1.5568300000000002</v>
      </c>
      <c r="Q9" s="16">
        <f>1.4153*Variables!E15</f>
        <v>1.5568300000000002</v>
      </c>
      <c r="R9" s="16">
        <f>1.4153*Variables!E15</f>
        <v>1.5568300000000002</v>
      </c>
      <c r="S9" s="16">
        <f>1.4153*Variables!E15</f>
        <v>1.5568300000000002</v>
      </c>
      <c r="T9" s="16">
        <f>1.4153*Variables!E15</f>
        <v>1.5568300000000002</v>
      </c>
      <c r="U9" s="16">
        <f>1.4153*Variables!E15</f>
        <v>1.5568300000000002</v>
      </c>
      <c r="V9" s="16">
        <f>1.4153*Variables!E15</f>
        <v>1.5568300000000002</v>
      </c>
      <c r="W9" s="16">
        <f>1.4153*Variables!E15</f>
        <v>1.5568300000000002</v>
      </c>
      <c r="X9" s="16">
        <f>1.4153*Variables!E15</f>
        <v>1.5568300000000002</v>
      </c>
      <c r="Y9" s="16">
        <f>1.4153*Variables!E15</f>
        <v>1.5568300000000002</v>
      </c>
      <c r="Z9" s="16">
        <f>1.8269*Variables!E15</f>
        <v>2.0095900000000002</v>
      </c>
      <c r="AA9" s="16">
        <f>1.5417*Variables!E15</f>
        <v>1.6958700000000002</v>
      </c>
      <c r="AB9" s="16">
        <f>1.5417*Variables!E15</f>
        <v>1.6958700000000002</v>
      </c>
      <c r="AC9" s="16">
        <f>1.5417*Variables!E15</f>
        <v>1.6958700000000002</v>
      </c>
      <c r="AD9" s="16">
        <f>1.5417*Variables!E15</f>
        <v>1.6958700000000002</v>
      </c>
      <c r="AE9" s="16">
        <f>1.7143*Variables!E15</f>
        <v>1.8857300000000001</v>
      </c>
      <c r="AF9" s="16">
        <f>1.7143*Variables!E15</f>
        <v>1.8857300000000001</v>
      </c>
      <c r="AG9" s="16">
        <f>1.7143*Variables!E15</f>
        <v>1.8857300000000001</v>
      </c>
      <c r="AH9" s="16">
        <f>1.7143*Variables!E15</f>
        <v>1.8857300000000001</v>
      </c>
      <c r="AI9" s="16">
        <f>1.7143*Variables!E15</f>
        <v>1.8857300000000001</v>
      </c>
      <c r="AJ9" s="16">
        <f>1.7143*Variables!E15</f>
        <v>1.8857300000000001</v>
      </c>
      <c r="AK9" s="16">
        <f>1.7143*Variables!E15</f>
        <v>1.8857300000000001</v>
      </c>
      <c r="AL9" s="16">
        <f>1.7143*Variables!E15</f>
        <v>1.8857300000000001</v>
      </c>
      <c r="AM9" s="16">
        <f>1.7143*Variables!E15</f>
        <v>1.8857300000000001</v>
      </c>
      <c r="AN9" s="16">
        <f>1.7143*Variables!E15</f>
        <v>1.8857300000000001</v>
      </c>
      <c r="AO9" s="16">
        <f>1.7143*Variables!E15</f>
        <v>1.8857300000000001</v>
      </c>
      <c r="AP9" s="16">
        <f>1.7143*Variables!E15</f>
        <v>1.8857300000000001</v>
      </c>
      <c r="AQ9" s="16">
        <f>1.7143*Variables!E15</f>
        <v>1.8857300000000001</v>
      </c>
      <c r="AR9" s="16">
        <f>1.7143*Variables!E15</f>
        <v>1.8857300000000001</v>
      </c>
      <c r="AS9" s="16">
        <f>1.7143*Variables!E15</f>
        <v>1.8857300000000001</v>
      </c>
      <c r="AT9" s="16">
        <f>1.5*Variables!E15</f>
        <v>1.6500000000000001</v>
      </c>
      <c r="AU9" s="16">
        <f>1.5*Variables!E15</f>
        <v>1.6500000000000001</v>
      </c>
      <c r="AV9" s="16">
        <f>1.5*Variables!E15</f>
        <v>1.6500000000000001</v>
      </c>
      <c r="AW9" s="16">
        <f>1.5*Variables!E15</f>
        <v>1.6500000000000001</v>
      </c>
      <c r="AX9" s="16">
        <f>1.5*Variables!E15</f>
        <v>1.6500000000000001</v>
      </c>
      <c r="AY9" s="16">
        <f>1.5*Variables!E15</f>
        <v>1.6500000000000001</v>
      </c>
      <c r="AZ9" s="16">
        <f>1.5*Variables!E15</f>
        <v>1.6500000000000001</v>
      </c>
      <c r="BA9" s="16">
        <f>1.5*Variables!E15</f>
        <v>1.6500000000000001</v>
      </c>
      <c r="BB9" s="16">
        <f>1.5*Variables!E15</f>
        <v>1.6500000000000001</v>
      </c>
      <c r="BC9" s="16">
        <f>1.5*Variables!E15</f>
        <v>1.6500000000000001</v>
      </c>
      <c r="BD9" s="16">
        <f>1.7143*Variables!E15</f>
        <v>1.8857300000000001</v>
      </c>
      <c r="BE9" s="16">
        <f>1.7143*Variables!E15</f>
        <v>1.8857300000000001</v>
      </c>
      <c r="BF9" s="16">
        <f>1.7143*Variables!E15</f>
        <v>1.8857300000000001</v>
      </c>
      <c r="BG9" s="16">
        <f>1.7143*Variables!E15</f>
        <v>1.8857300000000001</v>
      </c>
      <c r="BH9" s="16">
        <f>1.7143*Variables!E15</f>
        <v>1.8857300000000001</v>
      </c>
      <c r="BI9" s="16">
        <f>1.7143*Variables!E15</f>
        <v>1.8857300000000001</v>
      </c>
      <c r="BJ9" s="16">
        <f>1.7143*Variables!E15</f>
        <v>1.8857300000000001</v>
      </c>
      <c r="BK9" s="16">
        <f>1.7143*Variables!E15</f>
        <v>1.8857300000000001</v>
      </c>
      <c r="BL9" s="16">
        <f>1.7143*Variables!E15</f>
        <v>1.8857300000000001</v>
      </c>
    </row>
    <row r="10" spans="1:68" s="12" customFormat="1">
      <c r="A10" s="23" t="s">
        <v>248</v>
      </c>
      <c r="D10" s="16">
        <f>O5*(1 + D9/100)</f>
        <v>20.379918</v>
      </c>
      <c r="E10" s="16">
        <f>D10*(1 + E9/100)</f>
        <v>20.767052884336199</v>
      </c>
      <c r="F10" s="16">
        <f>E10*(1 + F9/100)</f>
        <v>21.12558566885782</v>
      </c>
      <c r="G10" s="16">
        <f t="shared" ref="G10:BL10" si="1">F10*(1 + G9/100)</f>
        <v>21.490308342637817</v>
      </c>
      <c r="H10" s="16">
        <f t="shared" si="1"/>
        <v>21.861327771019287</v>
      </c>
      <c r="I10" s="16">
        <f t="shared" si="1"/>
        <v>22.23875266432205</v>
      </c>
      <c r="J10" s="16">
        <f t="shared" si="1"/>
        <v>22.622693609695236</v>
      </c>
      <c r="K10" s="16">
        <f t="shared" si="1"/>
        <v>23.013263103519819</v>
      </c>
      <c r="L10" s="16">
        <f t="shared" si="1"/>
        <v>23.410575584370537</v>
      </c>
      <c r="M10" s="16">
        <f t="shared" si="1"/>
        <v>23.814747466546901</v>
      </c>
      <c r="N10" s="16">
        <f t="shared" si="1"/>
        <v>24.2258971741831</v>
      </c>
      <c r="O10" s="16">
        <f t="shared" si="1"/>
        <v>24.644145175946786</v>
      </c>
      <c r="P10" s="16">
        <f t="shared" si="1"/>
        <v>25.027812621289478</v>
      </c>
      <c r="Q10" s="16">
        <f t="shared" si="1"/>
        <v>25.417453116521497</v>
      </c>
      <c r="R10" s="16">
        <f t="shared" si="1"/>
        <v>25.813159651875438</v>
      </c>
      <c r="S10" s="16">
        <f t="shared" si="1"/>
        <v>26.21502666528373</v>
      </c>
      <c r="T10" s="16">
        <f t="shared" si="1"/>
        <v>26.623150064916867</v>
      </c>
      <c r="U10" s="16">
        <f t="shared" si="1"/>
        <v>27.037627252072511</v>
      </c>
      <c r="V10" s="16">
        <f t="shared" si="1"/>
        <v>27.458557144420951</v>
      </c>
      <c r="W10" s="16">
        <f t="shared" si="1"/>
        <v>27.886040199612438</v>
      </c>
      <c r="X10" s="16">
        <f t="shared" si="1"/>
        <v>28.320178439252064</v>
      </c>
      <c r="Y10" s="16">
        <f t="shared" si="1"/>
        <v>28.761075473247871</v>
      </c>
      <c r="Z10" s="16">
        <f t="shared" si="1"/>
        <v>29.339055169850713</v>
      </c>
      <c r="AA10" s="16">
        <f t="shared" si="1"/>
        <v>29.836607404759661</v>
      </c>
      <c r="AB10" s="16">
        <f t="shared" si="1"/>
        <v>30.342597478754758</v>
      </c>
      <c r="AC10" s="16">
        <f t="shared" si="1"/>
        <v>30.857168486617716</v>
      </c>
      <c r="AD10" s="16">
        <f t="shared" si="1"/>
        <v>31.38046594983172</v>
      </c>
      <c r="AE10" s="16">
        <f t="shared" si="1"/>
        <v>31.972216810387483</v>
      </c>
      <c r="AF10" s="16">
        <f t="shared" si="1"/>
        <v>32.575126494446003</v>
      </c>
      <c r="AG10" s="16">
        <f t="shared" si="1"/>
        <v>33.189405427289721</v>
      </c>
      <c r="AH10" s="16">
        <f t="shared" si="1"/>
        <v>33.815268002253752</v>
      </c>
      <c r="AI10" s="16">
        <f t="shared" si="1"/>
        <v>34.452932655552658</v>
      </c>
      <c r="AJ10" s="16">
        <f t="shared" si="1"/>
        <v>35.102621942518212</v>
      </c>
      <c r="AK10" s="16">
        <f t="shared" si="1"/>
        <v>35.764562615274862</v>
      </c>
      <c r="AL10" s="16">
        <f t="shared" si="1"/>
        <v>36.438985701879886</v>
      </c>
      <c r="AM10" s="16">
        <f t="shared" si="1"/>
        <v>37.126126586955948</v>
      </c>
      <c r="AN10" s="16">
        <f t="shared" si="1"/>
        <v>37.826225093844158</v>
      </c>
      <c r="AO10" s="16">
        <f t="shared" si="1"/>
        <v>38.53952556830631</v>
      </c>
      <c r="AP10" s="16">
        <f t="shared" si="1"/>
        <v>39.266276963805538</v>
      </c>
      <c r="AQ10" s="16">
        <f t="shared" si="1"/>
        <v>40.00673292839511</v>
      </c>
      <c r="AR10" s="16">
        <f t="shared" si="1"/>
        <v>40.761151893245739</v>
      </c>
      <c r="AS10" s="16">
        <f t="shared" si="1"/>
        <v>41.529797162842243</v>
      </c>
      <c r="AT10" s="16">
        <f t="shared" si="1"/>
        <v>42.215038816029136</v>
      </c>
      <c r="AU10" s="16">
        <f t="shared" si="1"/>
        <v>42.911586956493615</v>
      </c>
      <c r="AV10" s="16">
        <f t="shared" si="1"/>
        <v>43.619628141275754</v>
      </c>
      <c r="AW10" s="16">
        <f t="shared" si="1"/>
        <v>44.339352005606806</v>
      </c>
      <c r="AX10" s="16">
        <f t="shared" si="1"/>
        <v>45.070951313699318</v>
      </c>
      <c r="AY10" s="16">
        <f t="shared" si="1"/>
        <v>45.814622010375352</v>
      </c>
      <c r="AZ10" s="16">
        <f t="shared" si="1"/>
        <v>46.57056327354654</v>
      </c>
      <c r="BA10" s="16">
        <f t="shared" si="1"/>
        <v>47.338977567560057</v>
      </c>
      <c r="BB10" s="16">
        <f t="shared" si="1"/>
        <v>48.120070697424794</v>
      </c>
      <c r="BC10" s="16">
        <f t="shared" si="1"/>
        <v>48.914051863932301</v>
      </c>
      <c r="BD10" s="16">
        <f t="shared" si="1"/>
        <v>49.836438814146035</v>
      </c>
      <c r="BE10" s="16">
        <f t="shared" si="1"/>
        <v>50.776219491796034</v>
      </c>
      <c r="BF10" s="16">
        <f t="shared" si="1"/>
        <v>51.733721895618686</v>
      </c>
      <c r="BG10" s="16">
        <f t="shared" si="1"/>
        <v>52.709280209520941</v>
      </c>
      <c r="BH10" s="16">
        <f t="shared" si="1"/>
        <v>53.703234919215944</v>
      </c>
      <c r="BI10" s="16">
        <f t="shared" si="1"/>
        <v>54.715932931058077</v>
      </c>
      <c r="BJ10" s="16">
        <f t="shared" si="1"/>
        <v>55.747727693118925</v>
      </c>
      <c r="BK10" s="16">
        <f t="shared" si="1"/>
        <v>56.79897931854638</v>
      </c>
      <c r="BL10" s="16">
        <f t="shared" si="1"/>
        <v>57.870054711250006</v>
      </c>
    </row>
    <row r="11" spans="1:68" s="16" customFormat="1">
      <c r="A11" s="23" t="s">
        <v>247</v>
      </c>
      <c r="D11" s="16">
        <f>F5*(1 + D9/100)</f>
        <v>20.379918</v>
      </c>
      <c r="E11" s="16">
        <f>D11*(1 + E9/100)</f>
        <v>20.767052884336199</v>
      </c>
      <c r="F11" s="16">
        <f>E11*(1 + F9/100)</f>
        <v>21.12558566885782</v>
      </c>
      <c r="G11" s="16">
        <f t="shared" ref="G11:BL11" si="2">F11*(1 + G9/100)</f>
        <v>21.490308342637817</v>
      </c>
      <c r="H11" s="16">
        <f>G11*(1 + H9/100)</f>
        <v>21.861327771019287</v>
      </c>
      <c r="I11" s="16">
        <f t="shared" si="2"/>
        <v>22.23875266432205</v>
      </c>
      <c r="J11" s="16">
        <f t="shared" si="2"/>
        <v>22.622693609695236</v>
      </c>
      <c r="K11" s="16">
        <f t="shared" si="2"/>
        <v>23.013263103519819</v>
      </c>
      <c r="L11" s="16">
        <f t="shared" si="2"/>
        <v>23.410575584370537</v>
      </c>
      <c r="M11" s="16">
        <f t="shared" si="2"/>
        <v>23.814747466546901</v>
      </c>
      <c r="N11" s="16">
        <f t="shared" si="2"/>
        <v>24.2258971741831</v>
      </c>
      <c r="O11" s="16">
        <f t="shared" si="2"/>
        <v>24.644145175946786</v>
      </c>
      <c r="P11" s="16">
        <f t="shared" si="2"/>
        <v>25.027812621289478</v>
      </c>
      <c r="Q11" s="16">
        <f t="shared" si="2"/>
        <v>25.417453116521497</v>
      </c>
      <c r="R11" s="16">
        <f t="shared" si="2"/>
        <v>25.813159651875438</v>
      </c>
      <c r="S11" s="16">
        <f t="shared" si="2"/>
        <v>26.21502666528373</v>
      </c>
      <c r="T11" s="16">
        <f t="shared" si="2"/>
        <v>26.623150064916867</v>
      </c>
      <c r="U11" s="16">
        <f t="shared" si="2"/>
        <v>27.037627252072511</v>
      </c>
      <c r="V11" s="16">
        <f t="shared" si="2"/>
        <v>27.458557144420951</v>
      </c>
      <c r="W11" s="16">
        <f t="shared" si="2"/>
        <v>27.886040199612438</v>
      </c>
      <c r="X11" s="16">
        <f t="shared" si="2"/>
        <v>28.320178439252064</v>
      </c>
      <c r="Y11" s="16">
        <f t="shared" si="2"/>
        <v>28.761075473247871</v>
      </c>
      <c r="Z11" s="16">
        <f t="shared" si="2"/>
        <v>29.339055169850713</v>
      </c>
      <c r="AA11" s="16">
        <f t="shared" si="2"/>
        <v>29.836607404759661</v>
      </c>
      <c r="AB11" s="16">
        <f t="shared" si="2"/>
        <v>30.342597478754758</v>
      </c>
      <c r="AC11" s="16">
        <f t="shared" si="2"/>
        <v>30.857168486617716</v>
      </c>
      <c r="AD11" s="16">
        <f t="shared" si="2"/>
        <v>31.38046594983172</v>
      </c>
      <c r="AE11" s="16">
        <f t="shared" si="2"/>
        <v>31.972216810387483</v>
      </c>
      <c r="AF11" s="16">
        <f t="shared" si="2"/>
        <v>32.575126494446003</v>
      </c>
      <c r="AG11" s="16">
        <f t="shared" si="2"/>
        <v>33.189405427289721</v>
      </c>
      <c r="AH11" s="16">
        <f t="shared" si="2"/>
        <v>33.815268002253752</v>
      </c>
      <c r="AI11" s="16">
        <f t="shared" si="2"/>
        <v>34.452932655552658</v>
      </c>
      <c r="AJ11" s="16">
        <f t="shared" si="2"/>
        <v>35.102621942518212</v>
      </c>
      <c r="AK11" s="16">
        <f t="shared" si="2"/>
        <v>35.764562615274862</v>
      </c>
      <c r="AL11" s="16">
        <f t="shared" si="2"/>
        <v>36.438985701879886</v>
      </c>
      <c r="AM11" s="16">
        <f t="shared" si="2"/>
        <v>37.126126586955948</v>
      </c>
      <c r="AN11" s="16">
        <f t="shared" si="2"/>
        <v>37.826225093844158</v>
      </c>
      <c r="AO11" s="16">
        <f t="shared" si="2"/>
        <v>38.53952556830631</v>
      </c>
      <c r="AP11" s="16">
        <f t="shared" si="2"/>
        <v>39.266276963805538</v>
      </c>
      <c r="AQ11" s="16">
        <f t="shared" si="2"/>
        <v>40.00673292839511</v>
      </c>
      <c r="AR11" s="16">
        <f t="shared" si="2"/>
        <v>40.761151893245739</v>
      </c>
      <c r="AS11" s="16">
        <f t="shared" si="2"/>
        <v>41.529797162842243</v>
      </c>
      <c r="AT11" s="16">
        <f t="shared" si="2"/>
        <v>42.215038816029136</v>
      </c>
      <c r="AU11" s="16">
        <f t="shared" si="2"/>
        <v>42.911586956493615</v>
      </c>
      <c r="AV11" s="16">
        <f t="shared" si="2"/>
        <v>43.619628141275754</v>
      </c>
      <c r="AW11" s="16">
        <f t="shared" si="2"/>
        <v>44.339352005606806</v>
      </c>
      <c r="AX11" s="16">
        <f t="shared" si="2"/>
        <v>45.070951313699318</v>
      </c>
      <c r="AY11" s="16">
        <f t="shared" si="2"/>
        <v>45.814622010375352</v>
      </c>
      <c r="AZ11" s="16">
        <f t="shared" si="2"/>
        <v>46.57056327354654</v>
      </c>
      <c r="BA11" s="16">
        <f t="shared" si="2"/>
        <v>47.338977567560057</v>
      </c>
      <c r="BB11" s="16">
        <f t="shared" si="2"/>
        <v>48.120070697424794</v>
      </c>
      <c r="BC11" s="16">
        <f t="shared" si="2"/>
        <v>48.914051863932301</v>
      </c>
      <c r="BD11" s="16">
        <f t="shared" si="2"/>
        <v>49.836438814146035</v>
      </c>
      <c r="BE11" s="16">
        <f t="shared" si="2"/>
        <v>50.776219491796034</v>
      </c>
      <c r="BF11" s="16">
        <f t="shared" si="2"/>
        <v>51.733721895618686</v>
      </c>
      <c r="BG11" s="16">
        <f t="shared" si="2"/>
        <v>52.709280209520941</v>
      </c>
      <c r="BH11" s="16">
        <f t="shared" si="2"/>
        <v>53.703234919215944</v>
      </c>
      <c r="BI11" s="16">
        <f t="shared" si="2"/>
        <v>54.715932931058077</v>
      </c>
      <c r="BJ11" s="16">
        <f t="shared" si="2"/>
        <v>55.747727693118925</v>
      </c>
      <c r="BK11" s="16">
        <f t="shared" si="2"/>
        <v>56.79897931854638</v>
      </c>
      <c r="BL11" s="16">
        <f t="shared" si="2"/>
        <v>57.870054711250006</v>
      </c>
    </row>
    <row r="12" spans="1:68" s="16" customFormat="1">
      <c r="A12" s="23" t="s">
        <v>257</v>
      </c>
      <c r="D12" s="16">
        <f>(C3 - C4)*(1 + D8/100)</f>
        <v>78599.645279999997</v>
      </c>
      <c r="E12" s="16">
        <f>D12*(1 + E8/100)</f>
        <v>79256.738314540795</v>
      </c>
      <c r="F12" s="16">
        <f>E12*(1 + F8/100)</f>
        <v>79840.860475918962</v>
      </c>
      <c r="G12" s="16">
        <f t="shared" ref="G12:BL12" si="3">F12*(1 + G8/100)</f>
        <v>80429.287617626498</v>
      </c>
      <c r="H12" s="16">
        <f t="shared" si="3"/>
        <v>81022.051467368408</v>
      </c>
      <c r="I12" s="16">
        <f t="shared" si="3"/>
        <v>81619.183986682925</v>
      </c>
      <c r="J12" s="16">
        <f t="shared" si="3"/>
        <v>82220.717372664789</v>
      </c>
      <c r="K12" s="16">
        <f t="shared" si="3"/>
        <v>82826.684059701336</v>
      </c>
      <c r="L12" s="16">
        <f t="shared" si="3"/>
        <v>83437.116721221348</v>
      </c>
      <c r="M12" s="16">
        <f t="shared" si="3"/>
        <v>84052.048271456762</v>
      </c>
      <c r="N12" s="16">
        <f t="shared" si="3"/>
        <v>84671.511867217414</v>
      </c>
      <c r="O12" s="16">
        <f t="shared" si="3"/>
        <v>85295.540909678821</v>
      </c>
      <c r="P12" s="16">
        <f t="shared" si="3"/>
        <v>85605.163723180958</v>
      </c>
      <c r="Q12" s="16">
        <f t="shared" si="3"/>
        <v>85915.910467496113</v>
      </c>
      <c r="R12" s="16">
        <f t="shared" si="3"/>
        <v>86227.785222493127</v>
      </c>
      <c r="S12" s="16">
        <f t="shared" si="3"/>
        <v>86540.792082850778</v>
      </c>
      <c r="T12" s="16">
        <f t="shared" si="3"/>
        <v>86854.935158111533</v>
      </c>
      <c r="U12" s="16">
        <f t="shared" si="3"/>
        <v>87170.218572735481</v>
      </c>
      <c r="V12" s="16">
        <f t="shared" si="3"/>
        <v>87486.646466154518</v>
      </c>
      <c r="W12" s="16">
        <f t="shared" si="3"/>
        <v>87804.222992826661</v>
      </c>
      <c r="X12" s="16">
        <f t="shared" si="3"/>
        <v>88122.952322290628</v>
      </c>
      <c r="Y12" s="16">
        <f t="shared" si="3"/>
        <v>88442.838639220543</v>
      </c>
      <c r="Z12" s="16">
        <f t="shared" si="3"/>
        <v>88608.226747475885</v>
      </c>
      <c r="AA12" s="16">
        <f t="shared" si="3"/>
        <v>88773.924131493666</v>
      </c>
      <c r="AB12" s="16">
        <f t="shared" si="3"/>
        <v>88939.93136961956</v>
      </c>
      <c r="AC12" s="16">
        <f t="shared" si="3"/>
        <v>89106.249041280753</v>
      </c>
      <c r="AD12" s="16">
        <f t="shared" si="3"/>
        <v>89272.87772698795</v>
      </c>
      <c r="AE12" s="16">
        <f t="shared" si="3"/>
        <v>89439.818008337417</v>
      </c>
      <c r="AF12" s="16">
        <f t="shared" si="3"/>
        <v>89607.070468013015</v>
      </c>
      <c r="AG12" s="16">
        <f t="shared" si="3"/>
        <v>89774.635689788207</v>
      </c>
      <c r="AH12" s="16">
        <f t="shared" si="3"/>
        <v>89942.514258528114</v>
      </c>
      <c r="AI12" s="16">
        <f t="shared" si="3"/>
        <v>90110.706760191562</v>
      </c>
      <c r="AJ12" s="16">
        <f t="shared" si="3"/>
        <v>90279.213781833125</v>
      </c>
      <c r="AK12" s="16">
        <f t="shared" si="3"/>
        <v>90448.035911605155</v>
      </c>
      <c r="AL12" s="16">
        <f t="shared" si="3"/>
        <v>90617.173738759855</v>
      </c>
      <c r="AM12" s="16">
        <f t="shared" si="3"/>
        <v>90786.627853651342</v>
      </c>
      <c r="AN12" s="16">
        <f t="shared" si="3"/>
        <v>90956.39884773767</v>
      </c>
      <c r="AO12" s="16">
        <f t="shared" si="3"/>
        <v>91126.48731358294</v>
      </c>
      <c r="AP12" s="16">
        <f t="shared" si="3"/>
        <v>91296.89384485934</v>
      </c>
      <c r="AQ12" s="16">
        <f t="shared" si="3"/>
        <v>91467.619036349235</v>
      </c>
      <c r="AR12" s="16">
        <f t="shared" si="3"/>
        <v>91638.66348394721</v>
      </c>
      <c r="AS12" s="16">
        <f t="shared" si="3"/>
        <v>91810.02778466219</v>
      </c>
      <c r="AT12" s="16">
        <f t="shared" si="3"/>
        <v>91981.712536619511</v>
      </c>
      <c r="AU12" s="16">
        <f t="shared" si="3"/>
        <v>92153.718339062994</v>
      </c>
      <c r="AV12" s="16">
        <f t="shared" si="3"/>
        <v>92326.04579235705</v>
      </c>
      <c r="AW12" s="16">
        <f t="shared" si="3"/>
        <v>92498.695497988767</v>
      </c>
      <c r="AX12" s="16">
        <f t="shared" si="3"/>
        <v>92671.668058570009</v>
      </c>
      <c r="AY12" s="16">
        <f t="shared" si="3"/>
        <v>92844.964077839541</v>
      </c>
      <c r="AZ12" s="16">
        <f t="shared" si="3"/>
        <v>93018.584160665108</v>
      </c>
      <c r="BA12" s="16">
        <f t="shared" si="3"/>
        <v>93192.528913045549</v>
      </c>
      <c r="BB12" s="16">
        <f t="shared" si="3"/>
        <v>93366.798942112946</v>
      </c>
      <c r="BC12" s="16">
        <f t="shared" si="3"/>
        <v>93541.394856134706</v>
      </c>
      <c r="BD12" s="16">
        <f t="shared" si="3"/>
        <v>93541.394856134706</v>
      </c>
      <c r="BE12" s="16">
        <f t="shared" si="3"/>
        <v>93541.394856134706</v>
      </c>
      <c r="BF12" s="16">
        <f t="shared" si="3"/>
        <v>93541.394856134706</v>
      </c>
      <c r="BG12" s="16">
        <f t="shared" si="3"/>
        <v>93541.394856134706</v>
      </c>
      <c r="BH12" s="16">
        <f t="shared" si="3"/>
        <v>93541.394856134706</v>
      </c>
      <c r="BI12" s="16">
        <f t="shared" si="3"/>
        <v>93541.394856134706</v>
      </c>
      <c r="BJ12" s="16">
        <f t="shared" si="3"/>
        <v>93541.394856134706</v>
      </c>
      <c r="BK12" s="16">
        <f t="shared" si="3"/>
        <v>93541.394856134706</v>
      </c>
      <c r="BL12" s="16">
        <f t="shared" si="3"/>
        <v>93541.394856134706</v>
      </c>
    </row>
    <row r="13" spans="1:68" s="16" customFormat="1">
      <c r="A13" s="23" t="s">
        <v>244</v>
      </c>
      <c r="D13" s="16">
        <f>C4*(1 + D8/100)</f>
        <v>30780.188999999998</v>
      </c>
      <c r="E13" s="16">
        <f>D13*(1 + E8/100)</f>
        <v>31037.511380039996</v>
      </c>
      <c r="F13" s="16">
        <f>E13*(1 + F8/100)</f>
        <v>31266.257838910893</v>
      </c>
      <c r="G13" s="16">
        <f t="shared" ref="G13:BL13" si="4">F13*(1 + G8/100)</f>
        <v>31496.690159183669</v>
      </c>
      <c r="H13" s="16">
        <f t="shared" si="4"/>
        <v>31728.820765656856</v>
      </c>
      <c r="I13" s="16">
        <f t="shared" si="4"/>
        <v>31962.662174699752</v>
      </c>
      <c r="J13" s="16">
        <f t="shared" si="4"/>
        <v>32198.226994927292</v>
      </c>
      <c r="K13" s="16">
        <f t="shared" si="4"/>
        <v>32435.52792787991</v>
      </c>
      <c r="L13" s="16">
        <f t="shared" si="4"/>
        <v>32674.577768708386</v>
      </c>
      <c r="M13" s="16">
        <f t="shared" si="4"/>
        <v>32915.389406863767</v>
      </c>
      <c r="N13" s="16">
        <f t="shared" si="4"/>
        <v>33157.975826792353</v>
      </c>
      <c r="O13" s="16">
        <f t="shared" si="4"/>
        <v>33402.350108635816</v>
      </c>
      <c r="P13" s="16">
        <f t="shared" si="4"/>
        <v>33523.600639530167</v>
      </c>
      <c r="Q13" s="16">
        <f t="shared" si="4"/>
        <v>33645.291309851658</v>
      </c>
      <c r="R13" s="16">
        <f t="shared" si="4"/>
        <v>33767.423717306418</v>
      </c>
      <c r="S13" s="16">
        <f t="shared" si="4"/>
        <v>33889.999465400244</v>
      </c>
      <c r="T13" s="16">
        <f t="shared" si="4"/>
        <v>34013.020163459645</v>
      </c>
      <c r="U13" s="16">
        <f t="shared" si="4"/>
        <v>34136.487426653002</v>
      </c>
      <c r="V13" s="16">
        <f t="shared" si="4"/>
        <v>34260.402876011751</v>
      </c>
      <c r="W13" s="16">
        <f t="shared" si="4"/>
        <v>34384.768138451676</v>
      </c>
      <c r="X13" s="16">
        <f t="shared" si="4"/>
        <v>34509.584846794256</v>
      </c>
      <c r="Y13" s="16">
        <f t="shared" si="4"/>
        <v>34634.854639788122</v>
      </c>
      <c r="Z13" s="16">
        <f t="shared" si="4"/>
        <v>34699.621817964529</v>
      </c>
      <c r="AA13" s="16">
        <f t="shared" si="4"/>
        <v>34764.510110764124</v>
      </c>
      <c r="AB13" s="16">
        <f t="shared" si="4"/>
        <v>34829.519744671255</v>
      </c>
      <c r="AC13" s="16">
        <f t="shared" si="4"/>
        <v>34894.650946593792</v>
      </c>
      <c r="AD13" s="16">
        <f t="shared" si="4"/>
        <v>34959.903943863923</v>
      </c>
      <c r="AE13" s="16">
        <f t="shared" si="4"/>
        <v>35025.278964238947</v>
      </c>
      <c r="AF13" s="16">
        <f t="shared" si="4"/>
        <v>35090.776235902078</v>
      </c>
      <c r="AG13" s="16">
        <f t="shared" si="4"/>
        <v>35156.395987463213</v>
      </c>
      <c r="AH13" s="16">
        <f t="shared" si="4"/>
        <v>35222.138447959769</v>
      </c>
      <c r="AI13" s="16">
        <f t="shared" si="4"/>
        <v>35288.003846857457</v>
      </c>
      <c r="AJ13" s="16">
        <f t="shared" si="4"/>
        <v>35353.992414051085</v>
      </c>
      <c r="AK13" s="16">
        <f t="shared" si="4"/>
        <v>35420.104379865363</v>
      </c>
      <c r="AL13" s="16">
        <f t="shared" si="4"/>
        <v>35486.339975055715</v>
      </c>
      <c r="AM13" s="16">
        <f t="shared" si="4"/>
        <v>35552.699430809073</v>
      </c>
      <c r="AN13" s="16">
        <f t="shared" si="4"/>
        <v>35619.182978744684</v>
      </c>
      <c r="AO13" s="16">
        <f t="shared" si="4"/>
        <v>35685.790850914935</v>
      </c>
      <c r="AP13" s="16">
        <f t="shared" si="4"/>
        <v>35752.523279806148</v>
      </c>
      <c r="AQ13" s="16">
        <f t="shared" si="4"/>
        <v>35819.380498339386</v>
      </c>
      <c r="AR13" s="16">
        <f t="shared" si="4"/>
        <v>35886.362739871285</v>
      </c>
      <c r="AS13" s="16">
        <f t="shared" si="4"/>
        <v>35953.470238194845</v>
      </c>
      <c r="AT13" s="16">
        <f t="shared" si="4"/>
        <v>36020.703227540267</v>
      </c>
      <c r="AU13" s="16">
        <f t="shared" si="4"/>
        <v>36088.061942575769</v>
      </c>
      <c r="AV13" s="16">
        <f t="shared" si="4"/>
        <v>36155.546618408385</v>
      </c>
      <c r="AW13" s="16">
        <f t="shared" si="4"/>
        <v>36223.15749058481</v>
      </c>
      <c r="AX13" s="16">
        <f t="shared" si="4"/>
        <v>36290.894795092208</v>
      </c>
      <c r="AY13" s="16">
        <f t="shared" si="4"/>
        <v>36358.758768359032</v>
      </c>
      <c r="AZ13" s="16">
        <f t="shared" si="4"/>
        <v>36426.749647255863</v>
      </c>
      <c r="BA13" s="16">
        <f t="shared" si="4"/>
        <v>36494.867669096231</v>
      </c>
      <c r="BB13" s="16">
        <f t="shared" si="4"/>
        <v>36563.113071637439</v>
      </c>
      <c r="BC13" s="16">
        <f t="shared" si="4"/>
        <v>36631.486093081403</v>
      </c>
      <c r="BD13" s="16">
        <f t="shared" si="4"/>
        <v>36631.486093081403</v>
      </c>
      <c r="BE13" s="16">
        <f t="shared" si="4"/>
        <v>36631.486093081403</v>
      </c>
      <c r="BF13" s="16">
        <f t="shared" si="4"/>
        <v>36631.486093081403</v>
      </c>
      <c r="BG13" s="16">
        <f t="shared" si="4"/>
        <v>36631.486093081403</v>
      </c>
      <c r="BH13" s="16">
        <f t="shared" si="4"/>
        <v>36631.486093081403</v>
      </c>
      <c r="BI13" s="16">
        <f t="shared" si="4"/>
        <v>36631.486093081403</v>
      </c>
      <c r="BJ13" s="16">
        <f t="shared" si="4"/>
        <v>36631.486093081403</v>
      </c>
      <c r="BK13" s="16">
        <f t="shared" si="4"/>
        <v>36631.486093081403</v>
      </c>
      <c r="BL13" s="16">
        <f t="shared" si="4"/>
        <v>36631.486093081403</v>
      </c>
    </row>
    <row r="14" spans="1:68" s="12" customFormat="1">
      <c r="D14" s="8"/>
      <c r="E14" s="8"/>
      <c r="F14" s="8"/>
      <c r="G14" s="8"/>
    </row>
    <row r="15" spans="1:68" s="16" customFormat="1">
      <c r="A15" s="16" t="s">
        <v>258</v>
      </c>
      <c r="D15" s="16">
        <f>D11*D12</f>
        <v>1601854.325635487</v>
      </c>
      <c r="E15" s="16">
        <f t="shared" ref="E15:BL15" si="5">E11*E12</f>
        <v>1645928.8760180636</v>
      </c>
      <c r="F15" s="16">
        <f>F11*F12</f>
        <v>1686684.9378593503</v>
      </c>
      <c r="G15" s="16">
        <f t="shared" si="5"/>
        <v>1728450.1906814952</v>
      </c>
      <c r="H15" s="16">
        <f t="shared" si="5"/>
        <v>1771249.623808535</v>
      </c>
      <c r="I15" s="16">
        <f t="shared" si="5"/>
        <v>1815108.8453436366</v>
      </c>
      <c r="J15" s="16">
        <f t="shared" si="5"/>
        <v>1860054.0974911419</v>
      </c>
      <c r="K15" s="16">
        <f t="shared" si="5"/>
        <v>1906112.2722580179</v>
      </c>
      <c r="L15" s="16">
        <f t="shared" si="5"/>
        <v>1953310.9275440993</v>
      </c>
      <c r="M15" s="16">
        <f t="shared" si="5"/>
        <v>2001678.3036307527</v>
      </c>
      <c r="N15" s="16">
        <f t="shared" si="5"/>
        <v>2051243.340077833</v>
      </c>
      <c r="O15" s="16">
        <f t="shared" si="5"/>
        <v>2102035.6930390331</v>
      </c>
      <c r="P15" s="16">
        <f t="shared" si="5"/>
        <v>2142509.9970785803</v>
      </c>
      <c r="Q15" s="16">
        <f t="shared" si="5"/>
        <v>2183763.6262708409</v>
      </c>
      <c r="R15" s="16">
        <f t="shared" si="5"/>
        <v>2225811.5863758405</v>
      </c>
      <c r="S15" s="16">
        <f t="shared" si="5"/>
        <v>2268669.1720867082</v>
      </c>
      <c r="T15" s="16">
        <f t="shared" si="5"/>
        <v>2312351.9725930272</v>
      </c>
      <c r="U15" s="16">
        <f t="shared" si="5"/>
        <v>2356875.8772513103</v>
      </c>
      <c r="V15" s="16">
        <f t="shared" si="5"/>
        <v>2402257.0813646573</v>
      </c>
      <c r="W15" s="16">
        <f t="shared" si="5"/>
        <v>2448512.092073699</v>
      </c>
      <c r="X15" s="16">
        <f t="shared" si="5"/>
        <v>2495657.7343609729</v>
      </c>
      <c r="Y15" s="16">
        <f t="shared" si="5"/>
        <v>2543711.1571709053</v>
      </c>
      <c r="Z15" s="16">
        <f t="shared" si="5"/>
        <v>2599681.6530468366</v>
      </c>
      <c r="AA15" s="16">
        <f t="shared" si="5"/>
        <v>2648712.7220912962</v>
      </c>
      <c r="AB15" s="16">
        <f t="shared" si="5"/>
        <v>2698668.5373364398</v>
      </c>
      <c r="AC15" s="16">
        <f t="shared" si="5"/>
        <v>2749566.5398773188</v>
      </c>
      <c r="AD15" s="16">
        <f t="shared" si="5"/>
        <v>2801424.4997552359</v>
      </c>
      <c r="AE15" s="16">
        <f t="shared" si="5"/>
        <v>2859589.2528441628</v>
      </c>
      <c r="AF15" s="16">
        <f t="shared" si="5"/>
        <v>2918961.6552922609</v>
      </c>
      <c r="AG15" s="16">
        <f t="shared" si="5"/>
        <v>2979566.7809956144</v>
      </c>
      <c r="AH15" s="16">
        <f t="shared" si="5"/>
        <v>3041430.2244486576</v>
      </c>
      <c r="AI15" s="16">
        <f t="shared" si="5"/>
        <v>3104578.1115531335</v>
      </c>
      <c r="AJ15" s="16">
        <f t="shared" si="5"/>
        <v>3169037.1106514679</v>
      </c>
      <c r="AK15" s="16">
        <f t="shared" si="5"/>
        <v>3234834.4437892321</v>
      </c>
      <c r="AL15" s="16">
        <f t="shared" si="5"/>
        <v>3301997.8982114359</v>
      </c>
      <c r="AM15" s="16">
        <f t="shared" si="5"/>
        <v>3370555.8380975206</v>
      </c>
      <c r="AN15" s="16">
        <f t="shared" si="5"/>
        <v>3440537.2165399925</v>
      </c>
      <c r="AO15" s="16">
        <f t="shared" si="5"/>
        <v>3511971.5877717701</v>
      </c>
      <c r="AP15" s="16">
        <f t="shared" si="5"/>
        <v>3584889.1196474</v>
      </c>
      <c r="AQ15" s="16">
        <f t="shared" si="5"/>
        <v>3659320.6063834121</v>
      </c>
      <c r="AR15" s="16">
        <f t="shared" si="5"/>
        <v>3735297.481563204</v>
      </c>
      <c r="AS15" s="16">
        <f t="shared" si="5"/>
        <v>3812851.8314119312</v>
      </c>
      <c r="AT15" s="16">
        <f t="shared" si="5"/>
        <v>3883011.5650982265</v>
      </c>
      <c r="AU15" s="16">
        <f t="shared" si="5"/>
        <v>3954462.2978709219</v>
      </c>
      <c r="AV15" s="16">
        <f t="shared" si="5"/>
        <v>4027227.7852170113</v>
      </c>
      <c r="AW15" s="16">
        <f t="shared" si="5"/>
        <v>4101332.2197447615</v>
      </c>
      <c r="AX15" s="16">
        <f t="shared" si="5"/>
        <v>4176800.2392271128</v>
      </c>
      <c r="AY15" s="16">
        <f t="shared" si="5"/>
        <v>4253656.934793096</v>
      </c>
      <c r="AZ15" s="16">
        <f t="shared" si="5"/>
        <v>4331927.8592699682</v>
      </c>
      <c r="BA15" s="16">
        <f t="shared" si="5"/>
        <v>4411639.0356788551</v>
      </c>
      <c r="BB15" s="16">
        <f t="shared" si="5"/>
        <v>4492816.9658867214</v>
      </c>
      <c r="BC15" s="16">
        <f t="shared" si="5"/>
        <v>4575488.6394175431</v>
      </c>
      <c r="BD15" s="16">
        <f t="shared" si="5"/>
        <v>4661770.0013376316</v>
      </c>
      <c r="BE15" s="16">
        <f t="shared" si="5"/>
        <v>4749678.3967838567</v>
      </c>
      <c r="BF15" s="16">
        <f t="shared" si="5"/>
        <v>4839244.5072155287</v>
      </c>
      <c r="BG15" s="16">
        <f t="shared" si="5"/>
        <v>4930499.592661445</v>
      </c>
      <c r="BH15" s="16">
        <f t="shared" si="5"/>
        <v>5023475.5026301397</v>
      </c>
      <c r="BI15" s="16">
        <f t="shared" si="5"/>
        <v>5118204.6872258876</v>
      </c>
      <c r="BJ15" s="16">
        <f t="shared" si="5"/>
        <v>5214720.2084743129</v>
      </c>
      <c r="BK15" s="16">
        <f t="shared" si="5"/>
        <v>5313055.751861576</v>
      </c>
      <c r="BL15" s="16">
        <f t="shared" si="5"/>
        <v>5413245.6380911553</v>
      </c>
    </row>
    <row r="16" spans="1:68" s="16" customFormat="1">
      <c r="A16" s="16" t="s">
        <v>246</v>
      </c>
      <c r="D16" s="16">
        <f>D10*D13</f>
        <v>627297.72784450196</v>
      </c>
      <c r="E16" s="16">
        <f>E10*E13</f>
        <v>644557.64022747718</v>
      </c>
      <c r="F16" s="16">
        <f t="shared" ref="F16:BL16" si="6">F10*F13</f>
        <v>660518.00852050947</v>
      </c>
      <c r="G16" s="16">
        <f t="shared" si="6"/>
        <v>676873.58329338324</v>
      </c>
      <c r="H16" s="16">
        <f t="shared" si="6"/>
        <v>693634.1505459476</v>
      </c>
      <c r="I16" s="16">
        <f t="shared" si="6"/>
        <v>710809.7385964297</v>
      </c>
      <c r="J16" s="16">
        <f t="shared" si="6"/>
        <v>728410.62408165832</v>
      </c>
      <c r="K16" s="16">
        <f t="shared" si="6"/>
        <v>746447.3381058654</v>
      </c>
      <c r="L16" s="16">
        <f t="shared" si="6"/>
        <v>764930.67254174093</v>
      </c>
      <c r="M16" s="16">
        <f t="shared" si="6"/>
        <v>783871.68648751359</v>
      </c>
      <c r="N16" s="16">
        <f t="shared" si="6"/>
        <v>803281.71288392041</v>
      </c>
      <c r="O16" s="16">
        <f t="shared" si="6"/>
        <v>823172.36529502296</v>
      </c>
      <c r="P16" s="16">
        <f t="shared" si="6"/>
        <v>839022.39519710105</v>
      </c>
      <c r="Q16" s="16">
        <f t="shared" si="6"/>
        <v>855177.6144598627</v>
      </c>
      <c r="R16" s="16">
        <f t="shared" si="6"/>
        <v>871643.89944735577</v>
      </c>
      <c r="S16" s="16">
        <f t="shared" si="6"/>
        <v>888427.2396719188</v>
      </c>
      <c r="T16" s="16">
        <f t="shared" si="6"/>
        <v>905533.73997282935</v>
      </c>
      <c r="U16" s="16">
        <f t="shared" si="6"/>
        <v>922969.62273690384</v>
      </c>
      <c r="V16" s="16">
        <f t="shared" si="6"/>
        <v>940741.23016185255</v>
      </c>
      <c r="W16" s="16">
        <f t="shared" si="6"/>
        <v>958855.02656321635</v>
      </c>
      <c r="X16" s="16">
        <f t="shared" si="6"/>
        <v>977317.6007257225</v>
      </c>
      <c r="Y16" s="16">
        <f t="shared" si="6"/>
        <v>996135.66829991539</v>
      </c>
      <c r="Z16" s="16">
        <f t="shared" si="6"/>
        <v>1018054.1188902168</v>
      </c>
      <c r="AA16" s="16">
        <f t="shared" si="6"/>
        <v>1037255.0397936669</v>
      </c>
      <c r="AB16" s="16">
        <f t="shared" si="6"/>
        <v>1056818.0979909012</v>
      </c>
      <c r="AC16" s="16">
        <f t="shared" si="6"/>
        <v>1076750.1235407591</v>
      </c>
      <c r="AD16" s="16">
        <f t="shared" si="6"/>
        <v>1097058.0753198096</v>
      </c>
      <c r="AE16" s="16">
        <f t="shared" si="6"/>
        <v>1119835.8128889515</v>
      </c>
      <c r="AF16" s="16">
        <f t="shared" si="6"/>
        <v>1143086.4746728099</v>
      </c>
      <c r="AG16" s="16">
        <f t="shared" si="6"/>
        <v>1166819.8797902581</v>
      </c>
      <c r="AH16" s="16">
        <f t="shared" si="6"/>
        <v>1191046.0512302457</v>
      </c>
      <c r="AI16" s="16">
        <f t="shared" si="6"/>
        <v>1215775.220084663</v>
      </c>
      <c r="AJ16" s="16">
        <f t="shared" si="6"/>
        <v>1241017.829869092</v>
      </c>
      <c r="AK16" s="16">
        <f t="shared" si="6"/>
        <v>1266784.540933266</v>
      </c>
      <c r="AL16" s="16">
        <f t="shared" si="6"/>
        <v>1293086.2349631039</v>
      </c>
      <c r="AM16" s="16">
        <f t="shared" si="6"/>
        <v>1319934.0195762143</v>
      </c>
      <c r="AN16" s="16">
        <f t="shared" si="6"/>
        <v>1347339.233012819</v>
      </c>
      <c r="AO16" s="16">
        <f t="shared" si="6"/>
        <v>1375313.4489240674</v>
      </c>
      <c r="AP16" s="16">
        <f t="shared" si="6"/>
        <v>1403868.4812597733</v>
      </c>
      <c r="AQ16" s="16">
        <f t="shared" si="6"/>
        <v>1433016.389257628</v>
      </c>
      <c r="AR16" s="16">
        <f t="shared" si="6"/>
        <v>1462769.4825360079</v>
      </c>
      <c r="AS16" s="16">
        <f t="shared" si="6"/>
        <v>1493140.3262925174</v>
      </c>
      <c r="AT16" s="16">
        <f t="shared" si="6"/>
        <v>1520615.3849312784</v>
      </c>
      <c r="AU16" s="16">
        <f t="shared" si="6"/>
        <v>1548596.0081401679</v>
      </c>
      <c r="AV16" s="16">
        <f t="shared" si="6"/>
        <v>1577091.4987395338</v>
      </c>
      <c r="AW16" s="16">
        <f t="shared" si="6"/>
        <v>1606111.3307295728</v>
      </c>
      <c r="AX16" s="16">
        <f t="shared" si="6"/>
        <v>1635665.152440185</v>
      </c>
      <c r="AY16" s="16">
        <f t="shared" si="6"/>
        <v>1665762.7897387894</v>
      </c>
      <c r="AZ16" s="16">
        <f t="shared" si="6"/>
        <v>1696414.2492971683</v>
      </c>
      <c r="BA16" s="16">
        <f t="shared" si="6"/>
        <v>1727629.7219184192</v>
      </c>
      <c r="BB16" s="16">
        <f t="shared" si="6"/>
        <v>1759419.5859251302</v>
      </c>
      <c r="BC16" s="16">
        <f t="shared" si="6"/>
        <v>1791794.4106098986</v>
      </c>
      <c r="BD16" s="16">
        <f t="shared" si="6"/>
        <v>1825582.8153490927</v>
      </c>
      <c r="BE16" s="16">
        <f t="shared" si="6"/>
        <v>1860008.3781729753</v>
      </c>
      <c r="BF16" s="16">
        <f t="shared" si="6"/>
        <v>1895083.1141626968</v>
      </c>
      <c r="BG16" s="16">
        <f t="shared" si="6"/>
        <v>1930819.2649713971</v>
      </c>
      <c r="BH16" s="16">
        <f t="shared" si="6"/>
        <v>1967229.3030967424</v>
      </c>
      <c r="BI16" s="16">
        <f t="shared" si="6"/>
        <v>2004325.9362340288</v>
      </c>
      <c r="BJ16" s="16">
        <f t="shared" si="6"/>
        <v>2042122.1117113749</v>
      </c>
      <c r="BK16" s="16">
        <f t="shared" si="6"/>
        <v>2080631.02100855</v>
      </c>
      <c r="BL16" s="16">
        <f t="shared" si="6"/>
        <v>2119866.1043610144</v>
      </c>
    </row>
    <row r="17" spans="1:64" s="12" customFormat="1">
      <c r="D17" s="8"/>
      <c r="E17" s="8"/>
      <c r="F17" s="8"/>
      <c r="G17" s="8"/>
    </row>
    <row r="18" spans="1:64" s="12" customFormat="1">
      <c r="A18" s="12" t="s">
        <v>184</v>
      </c>
      <c r="D18" s="8"/>
      <c r="E18" s="8"/>
      <c r="F18" s="8"/>
      <c r="G18" s="8"/>
      <c r="X18" s="12" t="s">
        <v>187</v>
      </c>
    </row>
    <row r="19" spans="1:64" s="12" customFormat="1">
      <c r="A19" s="12" t="s">
        <v>185</v>
      </c>
      <c r="D19" s="16">
        <v>0.68137824235385214</v>
      </c>
      <c r="E19" s="16">
        <v>0.49603937552872412</v>
      </c>
      <c r="F19" s="16">
        <v>0.84178304955041128</v>
      </c>
      <c r="G19" s="16">
        <v>0.22386643900588124</v>
      </c>
      <c r="H19" s="16">
        <v>1.0676104644798734</v>
      </c>
      <c r="I19" s="16">
        <v>1.0563329434360114</v>
      </c>
      <c r="J19" s="16">
        <v>1.0452911882595783</v>
      </c>
      <c r="K19" s="16">
        <v>1.0344778821133493</v>
      </c>
      <c r="L19" s="16">
        <v>1.0238860078243928</v>
      </c>
      <c r="M19" s="16">
        <v>0.97956356078974238</v>
      </c>
      <c r="N19" s="16">
        <v>0.97006119480804731</v>
      </c>
      <c r="O19" s="16">
        <v>0.96074141515716249</v>
      </c>
      <c r="P19" s="16">
        <v>0.95159900936792052</v>
      </c>
      <c r="Q19" s="16">
        <v>0.9426289615082073</v>
      </c>
      <c r="R19" s="16">
        <v>0.88297450799101895</v>
      </c>
      <c r="S19" s="16">
        <v>0.87524630622493049</v>
      </c>
      <c r="T19" s="16">
        <v>0.86765221228601863</v>
      </c>
      <c r="U19" s="16">
        <v>0.86018876543290101</v>
      </c>
      <c r="V19" s="16">
        <v>0.85285262298426812</v>
      </c>
      <c r="W19" s="16">
        <v>0.77669902912620437</v>
      </c>
      <c r="X19" s="16">
        <v>0.33014370726778264</v>
      </c>
      <c r="Y19" s="16">
        <v>0.31947064619313181</v>
      </c>
      <c r="Z19" s="16">
        <v>0.31039777173893501</v>
      </c>
      <c r="AA19" s="16">
        <v>0.30292092879036225</v>
      </c>
      <c r="AB19" s="16">
        <v>0.2901782559961319</v>
      </c>
      <c r="AC19" s="16">
        <v>0.2901782559961319</v>
      </c>
      <c r="AD19" s="16">
        <v>0.2901782559961319</v>
      </c>
      <c r="AE19" s="16">
        <v>0.2901782559961319</v>
      </c>
      <c r="AF19" s="16">
        <v>0.27242979281723034</v>
      </c>
      <c r="AG19" s="16">
        <v>0.27242979281723034</v>
      </c>
      <c r="AH19" s="16">
        <v>0.27242979281723034</v>
      </c>
      <c r="AI19" s="16">
        <v>0.27242979281723034</v>
      </c>
      <c r="AJ19" s="16">
        <v>0.27242979281723034</v>
      </c>
      <c r="AK19" s="16">
        <v>0.24428588407565677</v>
      </c>
      <c r="AL19" s="16">
        <v>0.24428588407565677</v>
      </c>
      <c r="AM19" s="16">
        <v>0.24428588407565677</v>
      </c>
      <c r="AN19" s="16">
        <v>0.24428588407565677</v>
      </c>
      <c r="AO19" s="16">
        <v>0.24428588407565677</v>
      </c>
      <c r="AP19" s="16">
        <v>0.20927141402511396</v>
      </c>
      <c r="AQ19" s="16">
        <v>0.20927141402511396</v>
      </c>
      <c r="AR19" s="16">
        <v>0.20927141402511396</v>
      </c>
      <c r="AS19" s="16">
        <v>0.20927141402511396</v>
      </c>
      <c r="AT19" s="16">
        <v>0.20927141402511396</v>
      </c>
      <c r="AU19" s="16">
        <v>0.18364610090317868</v>
      </c>
      <c r="AV19" s="16">
        <v>0.18364610090317868</v>
      </c>
      <c r="AW19" s="16">
        <v>0.18364610090317868</v>
      </c>
      <c r="AX19" s="16">
        <v>0.18364610090317868</v>
      </c>
      <c r="AY19" s="16">
        <v>0.18364610090317868</v>
      </c>
      <c r="AZ19" s="16">
        <v>0.18364610090317868</v>
      </c>
      <c r="BA19" s="16">
        <v>0.18364610090317868</v>
      </c>
      <c r="BB19" s="16">
        <v>0.18364610090317868</v>
      </c>
      <c r="BC19" s="16">
        <v>0.18364610090317868</v>
      </c>
      <c r="BD19" s="16">
        <v>0.18364610090317868</v>
      </c>
      <c r="BE19" s="16">
        <v>0.19946856786661193</v>
      </c>
      <c r="BF19" s="16">
        <v>0.19946856786661193</v>
      </c>
      <c r="BG19" s="16">
        <v>0.19946856786661193</v>
      </c>
      <c r="BH19" s="16">
        <v>0.19946856786661193</v>
      </c>
      <c r="BI19" s="16">
        <v>0.19946856786661193</v>
      </c>
      <c r="BJ19" s="16">
        <v>0.22057995930369056</v>
      </c>
      <c r="BK19" s="16">
        <v>0.22057995930369056</v>
      </c>
      <c r="BL19" s="16">
        <v>0.22057995930369056</v>
      </c>
    </row>
    <row r="20" spans="1:64" s="12" customFormat="1">
      <c r="A20" s="12" t="s">
        <v>186</v>
      </c>
      <c r="D20" s="16">
        <v>1.221614590846487</v>
      </c>
      <c r="E20" s="16">
        <v>1.143472259701972</v>
      </c>
      <c r="F20" s="16">
        <v>-0.18122608082978831</v>
      </c>
      <c r="G20" s="16">
        <v>1.5021414538946232</v>
      </c>
      <c r="H20" s="16">
        <v>1.6151460670912332</v>
      </c>
      <c r="I20" s="16">
        <v>1.230667114410422</v>
      </c>
      <c r="J20" s="16">
        <v>1.5386256929516895</v>
      </c>
      <c r="K20" s="16">
        <v>1.5494929559721982</v>
      </c>
      <c r="L20" s="16">
        <v>1.4611534464842091</v>
      </c>
      <c r="M20" s="16">
        <v>1.4809297906204444</v>
      </c>
      <c r="N20" s="16">
        <v>1.4657204201714791</v>
      </c>
      <c r="O20" s="16">
        <v>1.4503247146548937</v>
      </c>
      <c r="P20" s="16">
        <v>1.4347479434156041</v>
      </c>
      <c r="Q20" s="16">
        <v>1.4437617223616472</v>
      </c>
      <c r="R20" s="16">
        <v>1.5037477824256795</v>
      </c>
      <c r="S20" s="16">
        <v>1.5115241346191244</v>
      </c>
      <c r="T20" s="16">
        <v>1.5191667041967172</v>
      </c>
      <c r="U20" s="16">
        <v>1.5266789140641057</v>
      </c>
      <c r="V20" s="16">
        <v>1.5340640713449982</v>
      </c>
      <c r="W20" s="16">
        <v>1.6107899807321857</v>
      </c>
      <c r="X20" s="16">
        <v>2.0630452785669551</v>
      </c>
      <c r="Y20" s="16">
        <v>2.0739038398084109</v>
      </c>
      <c r="Z20" s="16">
        <v>2.0831362198523662</v>
      </c>
      <c r="AA20" s="16">
        <v>2.090745764720503</v>
      </c>
      <c r="AB20" s="16">
        <v>2.1037172140809801</v>
      </c>
      <c r="AC20" s="16">
        <v>2.1037172140809801</v>
      </c>
      <c r="AD20" s="16">
        <v>2.1037172140809801</v>
      </c>
      <c r="AE20" s="16">
        <v>2.1037172140809801</v>
      </c>
      <c r="AF20" s="16">
        <v>2.1217898195732943</v>
      </c>
      <c r="AG20" s="16">
        <v>2.1217898195732943</v>
      </c>
      <c r="AH20" s="16">
        <v>2.1217898195732943</v>
      </c>
      <c r="AI20" s="23">
        <v>2.1217898195732943</v>
      </c>
      <c r="AJ20" s="16">
        <v>2.1217898195732943</v>
      </c>
      <c r="AK20" s="16">
        <v>2.1504608436407668</v>
      </c>
      <c r="AL20" s="16">
        <v>2.1504608436407668</v>
      </c>
      <c r="AM20" s="16">
        <v>2.1504608436407668</v>
      </c>
      <c r="AN20" s="16">
        <v>2.1504608436407668</v>
      </c>
      <c r="AO20" s="16">
        <v>2.1504608436407668</v>
      </c>
      <c r="AP20" s="16">
        <v>2.1861535914413199</v>
      </c>
      <c r="AQ20" s="16">
        <v>2.1861535914413199</v>
      </c>
      <c r="AR20" s="16">
        <v>2.1861535914413199</v>
      </c>
      <c r="AS20" s="16">
        <v>2.1861535914413199</v>
      </c>
      <c r="AT20" s="16">
        <v>2.1861535914413199</v>
      </c>
      <c r="AU20" s="12">
        <v>2.2122911127276712</v>
      </c>
      <c r="AV20" s="12">
        <v>2.2122911127276712</v>
      </c>
      <c r="AW20" s="12">
        <v>2.2122911127276712</v>
      </c>
      <c r="AX20" s="12">
        <v>2.2122911127276712</v>
      </c>
      <c r="AY20" s="12">
        <v>2.2122911127276712</v>
      </c>
      <c r="AZ20" s="12">
        <v>2.2181288114146103</v>
      </c>
      <c r="BA20" s="12">
        <v>2.2140884620266643</v>
      </c>
      <c r="BB20" s="12">
        <v>2.2140884620266643</v>
      </c>
      <c r="BC20" s="12">
        <v>2.2140884620266643</v>
      </c>
      <c r="BD20" s="12">
        <v>2.2140884620266643</v>
      </c>
      <c r="BE20" s="12">
        <v>2.1961508015812869</v>
      </c>
      <c r="BF20" s="12">
        <v>2.1961508015812869</v>
      </c>
      <c r="BG20" s="12">
        <v>2.1961508015812869</v>
      </c>
      <c r="BH20" s="12">
        <v>2.1961508015812869</v>
      </c>
      <c r="BI20" s="12">
        <v>2.1961508015812869</v>
      </c>
      <c r="BJ20" s="12">
        <v>2.1746232575996949</v>
      </c>
      <c r="BK20" s="12">
        <v>2.1746232575996949</v>
      </c>
      <c r="BL20" s="12">
        <v>2.1746232575996949</v>
      </c>
    </row>
    <row r="21" spans="1:64" s="16" customFormat="1">
      <c r="A21" s="23" t="s">
        <v>188</v>
      </c>
      <c r="D21" s="16">
        <f>F5*(1 + D20/100)</f>
        <v>20.244322918169296</v>
      </c>
      <c r="E21" s="16">
        <f>D21*(1 + E20/100)</f>
        <v>20.475811134903051</v>
      </c>
      <c r="F21" s="16">
        <f t="shared" ref="F21:BL21" si="7">E21*(1 + F20/100)</f>
        <v>20.438703624865155</v>
      </c>
      <c r="G21" s="16">
        <f t="shared" si="7"/>
        <v>20.745721864652918</v>
      </c>
      <c r="H21" s="16">
        <f t="shared" si="7"/>
        <v>21.080795575439545</v>
      </c>
      <c r="I21" s="16">
        <f t="shared" si="7"/>
        <v>21.340229994042566</v>
      </c>
      <c r="J21" s="16">
        <f t="shared" si="7"/>
        <v>21.668576255665887</v>
      </c>
      <c r="K21" s="16">
        <f t="shared" si="7"/>
        <v>22.004329318406892</v>
      </c>
      <c r="L21" s="16">
        <f t="shared" si="7"/>
        <v>22.325846334618529</v>
      </c>
      <c r="M21" s="16">
        <f t="shared" si="7"/>
        <v>22.656476443996038</v>
      </c>
      <c r="N21" s="16">
        <f t="shared" si="7"/>
        <v>22.988557045727028</v>
      </c>
      <c r="O21" s="16">
        <f t="shared" si="7"/>
        <v>23.321965770103745</v>
      </c>
      <c r="P21" s="16">
        <f t="shared" si="7"/>
        <v>23.656577194354398</v>
      </c>
      <c r="Q21" s="16">
        <f t="shared" si="7"/>
        <v>23.998121800707423</v>
      </c>
      <c r="R21" s="16">
        <f t="shared" si="7"/>
        <v>24.358993025109374</v>
      </c>
      <c r="S21" s="16">
        <f t="shared" si="7"/>
        <v>24.72718508363409</v>
      </c>
      <c r="T21" s="16">
        <f t="shared" si="7"/>
        <v>25.102832246309756</v>
      </c>
      <c r="U21" s="16">
        <f t="shared" si="7"/>
        <v>25.48607189304705</v>
      </c>
      <c r="V21" s="16">
        <f t="shared" si="7"/>
        <v>25.87704456515544</v>
      </c>
      <c r="W21" s="16">
        <f t="shared" si="7"/>
        <v>26.293869406320567</v>
      </c>
      <c r="X21" s="16">
        <f t="shared" si="7"/>
        <v>26.836323837660224</v>
      </c>
      <c r="Y21" s="16">
        <f t="shared" si="7"/>
        <v>27.392883388192878</v>
      </c>
      <c r="Z21" s="16">
        <f t="shared" si="7"/>
        <v>27.963514463714247</v>
      </c>
      <c r="AA21" s="16">
        <f t="shared" si="7"/>
        <v>28.548160458031358</v>
      </c>
      <c r="AB21" s="16">
        <f t="shared" si="7"/>
        <v>29.148733023890422</v>
      </c>
      <c r="AC21" s="16">
        <f t="shared" si="7"/>
        <v>29.761939938200513</v>
      </c>
      <c r="AD21" s="16">
        <f t="shared" si="7"/>
        <v>30.388046991924877</v>
      </c>
      <c r="AE21" s="16">
        <f t="shared" si="7"/>
        <v>31.027325567517018</v>
      </c>
      <c r="AF21" s="16">
        <f t="shared" si="7"/>
        <v>31.685660202694457</v>
      </c>
      <c r="AG21" s="16">
        <f t="shared" si="7"/>
        <v>32.357963315139813</v>
      </c>
      <c r="AH21" s="16">
        <f t="shared" si="7"/>
        <v>33.044531286581709</v>
      </c>
      <c r="AI21" s="16">
        <f t="shared" si="7"/>
        <v>33.74566678734611</v>
      </c>
      <c r="AJ21" s="16">
        <f t="shared" si="7"/>
        <v>34.461678909787146</v>
      </c>
      <c r="AK21" s="16">
        <f t="shared" si="7"/>
        <v>35.202763820803327</v>
      </c>
      <c r="AL21" s="16">
        <f t="shared" si="7"/>
        <v>35.959785472649038</v>
      </c>
      <c r="AM21" s="16">
        <f t="shared" si="7"/>
        <v>36.733086578695577</v>
      </c>
      <c r="AN21" s="16">
        <f t="shared" si="7"/>
        <v>37.52301722223109</v>
      </c>
      <c r="AO21" s="16">
        <f t="shared" si="7"/>
        <v>38.32993501494775</v>
      </c>
      <c r="AP21" s="16">
        <f t="shared" si="7"/>
        <v>39.167886265874152</v>
      </c>
      <c r="AQ21" s="16">
        <f t="shared" si="7"/>
        <v>40.024156418167209</v>
      </c>
      <c r="AR21" s="16">
        <f t="shared" si="7"/>
        <v>40.899145951147062</v>
      </c>
      <c r="AS21" s="16">
        <f t="shared" si="7"/>
        <v>41.793264099226889</v>
      </c>
      <c r="AT21" s="16">
        <f t="shared" si="7"/>
        <v>42.706929043312691</v>
      </c>
      <c r="AU21" s="16">
        <f t="shared" si="7"/>
        <v>43.651730639056808</v>
      </c>
      <c r="AV21" s="16">
        <f>AU21*(1 + AV20/100)</f>
        <v>44.617433996536484</v>
      </c>
      <c r="AW21" s="16">
        <f t="shared" si="7"/>
        <v>45.604501523568992</v>
      </c>
      <c r="AX21" s="16">
        <f t="shared" si="7"/>
        <v>46.613405857778666</v>
      </c>
      <c r="AY21" s="16">
        <f t="shared" si="7"/>
        <v>47.644630092909985</v>
      </c>
      <c r="AZ21" s="16">
        <f t="shared" si="7"/>
        <v>48.701449360092738</v>
      </c>
      <c r="BA21" s="16">
        <f t="shared" si="7"/>
        <v>49.77974253121431</v>
      </c>
      <c r="BB21" s="16">
        <f t="shared" si="7"/>
        <v>50.881910067024506</v>
      </c>
      <c r="BC21" s="16">
        <f t="shared" si="7"/>
        <v>52.008480567077278</v>
      </c>
      <c r="BD21" s="16">
        <f t="shared" si="7"/>
        <v>53.159994334588319</v>
      </c>
      <c r="BE21" s="16">
        <f t="shared" si="7"/>
        <v>54.327467976287949</v>
      </c>
      <c r="BF21" s="16">
        <f t="shared" si="7"/>
        <v>55.520581099728012</v>
      </c>
      <c r="BG21" s="16">
        <f t="shared" si="7"/>
        <v>56.739896786592276</v>
      </c>
      <c r="BH21" s="16">
        <f t="shared" si="7"/>
        <v>57.98599048468742</v>
      </c>
      <c r="BI21" s="16">
        <f t="shared" si="7"/>
        <v>59.259450279521729</v>
      </c>
      <c r="BJ21" s="16">
        <f t="shared" si="7"/>
        <v>60.548120067625938</v>
      </c>
      <c r="BK21" s="16">
        <f t="shared" si="7"/>
        <v>61.864813568655919</v>
      </c>
      <c r="BL21" s="16">
        <f t="shared" si="7"/>
        <v>63.210140192790604</v>
      </c>
    </row>
    <row r="22" spans="1:64" s="12" customFormat="1">
      <c r="A22" s="16" t="s">
        <v>127</v>
      </c>
      <c r="D22" s="16">
        <f>C3*(1 + D19/100)</f>
        <v>109212.1114208285</v>
      </c>
      <c r="E22" s="16">
        <f>D22*(1 + E19/100)</f>
        <v>109753.84649632212</v>
      </c>
      <c r="F22" s="16">
        <f t="shared" ref="F22:BL22" si="8">E22*(1 + F19/100)</f>
        <v>110677.73577235773</v>
      </c>
      <c r="G22" s="16">
        <f t="shared" si="8"/>
        <v>110925.50607820363</v>
      </c>
      <c r="H22" s="16">
        <f t="shared" si="8"/>
        <v>112109.75838887179</v>
      </c>
      <c r="I22" s="16">
        <f t="shared" si="8"/>
        <v>113294.01069953997</v>
      </c>
      <c r="J22" s="16">
        <f t="shared" si="8"/>
        <v>114478.26301020813</v>
      </c>
      <c r="K22" s="16">
        <f t="shared" si="8"/>
        <v>115662.51532087628</v>
      </c>
      <c r="L22" s="16">
        <f t="shared" si="8"/>
        <v>116846.76763154447</v>
      </c>
      <c r="M22" s="16">
        <f t="shared" si="8"/>
        <v>117991.35598922374</v>
      </c>
      <c r="N22" s="16">
        <f t="shared" si="8"/>
        <v>119135.94434690302</v>
      </c>
      <c r="O22" s="16">
        <f t="shared" si="8"/>
        <v>120280.53270458231</v>
      </c>
      <c r="P22" s="16">
        <f t="shared" si="8"/>
        <v>121425.12106226158</v>
      </c>
      <c r="Q22" s="16">
        <f t="shared" si="8"/>
        <v>122569.70941994086</v>
      </c>
      <c r="R22" s="16">
        <f t="shared" si="8"/>
        <v>123651.96870863761</v>
      </c>
      <c r="S22" s="16">
        <f t="shared" si="8"/>
        <v>124734.22799733437</v>
      </c>
      <c r="T22" s="16">
        <f t="shared" si="8"/>
        <v>125816.48728603113</v>
      </c>
      <c r="U22" s="16">
        <f t="shared" si="8"/>
        <v>126898.74657472788</v>
      </c>
      <c r="V22" s="16">
        <f t="shared" si="8"/>
        <v>127981.00586342461</v>
      </c>
      <c r="W22" s="16">
        <f t="shared" si="8"/>
        <v>128975.03309343178</v>
      </c>
      <c r="X22" s="16">
        <f t="shared" si="8"/>
        <v>129400.83604913628</v>
      </c>
      <c r="Y22" s="16">
        <f t="shared" si="8"/>
        <v>129814.23373624177</v>
      </c>
      <c r="Z22" s="16">
        <f t="shared" si="8"/>
        <v>130217.17422515905</v>
      </c>
      <c r="AA22" s="16">
        <f t="shared" si="8"/>
        <v>130611.62929876646</v>
      </c>
      <c r="AB22" s="16">
        <f t="shared" si="8"/>
        <v>130990.63584679375</v>
      </c>
      <c r="AC22" s="16">
        <f t="shared" si="8"/>
        <v>131370.74218941224</v>
      </c>
      <c r="AD22" s="16">
        <f t="shared" si="8"/>
        <v>131751.95151798666</v>
      </c>
      <c r="AE22" s="16">
        <f t="shared" si="8"/>
        <v>132134.26703314242</v>
      </c>
      <c r="AF22" s="16">
        <f t="shared" si="8"/>
        <v>132494.24014306138</v>
      </c>
      <c r="AG22" s="16">
        <f t="shared" si="8"/>
        <v>132855.1939269779</v>
      </c>
      <c r="AH22" s="16">
        <f t="shared" si="8"/>
        <v>133217.13105654009</v>
      </c>
      <c r="AI22" s="16">
        <f t="shared" si="8"/>
        <v>133580.05421067448</v>
      </c>
      <c r="AJ22" s="16">
        <f t="shared" si="8"/>
        <v>133943.96607560577</v>
      </c>
      <c r="AK22" s="16">
        <f t="shared" si="8"/>
        <v>134271.17227729957</v>
      </c>
      <c r="AL22" s="16">
        <f t="shared" si="8"/>
        <v>134599.17779755592</v>
      </c>
      <c r="AM22" s="16">
        <f t="shared" si="8"/>
        <v>134927.98458899723</v>
      </c>
      <c r="AN22" s="16">
        <f t="shared" si="8"/>
        <v>135257.59460901594</v>
      </c>
      <c r="AO22" s="16">
        <f t="shared" si="8"/>
        <v>135588.00981978604</v>
      </c>
      <c r="AP22" s="16">
        <f t="shared" si="8"/>
        <v>135871.7567651844</v>
      </c>
      <c r="AQ22" s="16">
        <f t="shared" si="8"/>
        <v>136156.09751182765</v>
      </c>
      <c r="AR22" s="16">
        <f t="shared" si="8"/>
        <v>136441.03330237206</v>
      </c>
      <c r="AS22" s="16">
        <f t="shared" si="8"/>
        <v>136726.56538207442</v>
      </c>
      <c r="AT22" s="16">
        <f t="shared" si="8"/>
        <v>137012.69499879747</v>
      </c>
      <c r="AU22" s="16">
        <f t="shared" si="8"/>
        <v>137264.31347090512</v>
      </c>
      <c r="AV22" s="16">
        <f>AU22*(1 + AV19/100)</f>
        <v>137516.39403052596</v>
      </c>
      <c r="AW22" s="16">
        <f t="shared" si="8"/>
        <v>137768.93752626568</v>
      </c>
      <c r="AX22" s="16">
        <f t="shared" si="8"/>
        <v>138021.94480828842</v>
      </c>
      <c r="AY22" s="16">
        <f t="shared" si="8"/>
        <v>138275.41672831957</v>
      </c>
      <c r="AZ22" s="16">
        <f t="shared" si="8"/>
        <v>138529.35413964876</v>
      </c>
      <c r="BA22" s="16">
        <f t="shared" si="8"/>
        <v>138783.75789713257</v>
      </c>
      <c r="BB22" s="16">
        <f t="shared" si="8"/>
        <v>139038.62885719756</v>
      </c>
      <c r="BC22" s="16">
        <f t="shared" si="8"/>
        <v>139293.96787784304</v>
      </c>
      <c r="BD22" s="16">
        <f t="shared" si="8"/>
        <v>139549.77581864403</v>
      </c>
      <c r="BE22" s="16">
        <f t="shared" si="8"/>
        <v>139828.13375793054</v>
      </c>
      <c r="BF22" s="16">
        <f t="shared" si="8"/>
        <v>140107.04693381209</v>
      </c>
      <c r="BG22" s="16">
        <f t="shared" si="8"/>
        <v>140386.51645381117</v>
      </c>
      <c r="BH22" s="16">
        <f t="shared" si="8"/>
        <v>140666.5434276594</v>
      </c>
      <c r="BI22" s="16">
        <f t="shared" si="8"/>
        <v>140947.12896730201</v>
      </c>
      <c r="BJ22" s="16">
        <f t="shared" si="8"/>
        <v>141258.0300870178</v>
      </c>
      <c r="BK22" s="16">
        <f t="shared" si="8"/>
        <v>141569.61699229694</v>
      </c>
      <c r="BL22" s="16">
        <f t="shared" si="8"/>
        <v>141881.89119584495</v>
      </c>
    </row>
    <row r="23" spans="1:64" s="12" customFormat="1">
      <c r="D23" s="8"/>
      <c r="E23" s="8"/>
      <c r="F23" s="8"/>
      <c r="G23" s="8"/>
      <c r="N23" s="22"/>
      <c r="AB23" s="21"/>
      <c r="AC23" s="21"/>
      <c r="AD23" s="21"/>
      <c r="AE23" s="21"/>
      <c r="AF23" s="21"/>
      <c r="AM23" s="21"/>
      <c r="AS23" s="22"/>
      <c r="AZ23" s="21"/>
    </row>
    <row r="24" spans="1:64" s="16" customFormat="1">
      <c r="A24" s="16" t="s">
        <v>183</v>
      </c>
      <c r="D24" s="16">
        <f>D21*D22</f>
        <v>2210925.2501783371</v>
      </c>
      <c r="E24" s="16">
        <f>E21*E22</f>
        <v>2247299.0321878325</v>
      </c>
      <c r="F24" s="16">
        <f t="shared" ref="F24:BL24" si="9">F21*F22</f>
        <v>2262109.4393223557</v>
      </c>
      <c r="G24" s="16">
        <f t="shared" si="9"/>
        <v>2301229.6967942794</v>
      </c>
      <c r="H24" s="16">
        <f t="shared" si="9"/>
        <v>2363362.8986077248</v>
      </c>
      <c r="I24" s="16">
        <f t="shared" si="9"/>
        <v>2417720.2452757023</v>
      </c>
      <c r="J24" s="16">
        <f t="shared" si="9"/>
        <v>2480580.9716528701</v>
      </c>
      <c r="K24" s="16">
        <f t="shared" si="9"/>
        <v>2545076.0769158443</v>
      </c>
      <c r="L24" s="16">
        <f t="shared" si="9"/>
        <v>2608702.9788387399</v>
      </c>
      <c r="M24" s="16">
        <f t="shared" si="9"/>
        <v>2673268.3775649983</v>
      </c>
      <c r="N24" s="16">
        <f t="shared" si="9"/>
        <v>2738763.4528153404</v>
      </c>
      <c r="O24" s="16">
        <f t="shared" si="9"/>
        <v>2805178.4665461127</v>
      </c>
      <c r="P24" s="16">
        <f t="shared" si="9"/>
        <v>2872502.749743219</v>
      </c>
      <c r="Q24" s="16">
        <f t="shared" si="9"/>
        <v>2941442.815737057</v>
      </c>
      <c r="R24" s="16">
        <f t="shared" si="9"/>
        <v>3012037.443314746</v>
      </c>
      <c r="S24" s="16">
        <f t="shared" si="9"/>
        <v>3084326.3419543002</v>
      </c>
      <c r="T24" s="16">
        <f t="shared" si="9"/>
        <v>3158350.1741612037</v>
      </c>
      <c r="U24" s="16">
        <f t="shared" si="9"/>
        <v>3234150.5783410729</v>
      </c>
      <c r="V24" s="16">
        <f t="shared" si="9"/>
        <v>3311770.1922212583</v>
      </c>
      <c r="W24" s="16">
        <f t="shared" si="9"/>
        <v>3391252.6768345684</v>
      </c>
      <c r="X24" s="16">
        <f t="shared" si="9"/>
        <v>3472642.7410785984</v>
      </c>
      <c r="Y24" s="16">
        <f t="shared" si="9"/>
        <v>3555986.166864485</v>
      </c>
      <c r="Z24" s="16">
        <f t="shared" si="9"/>
        <v>3641329.834869233</v>
      </c>
      <c r="AA24" s="16">
        <f t="shared" si="9"/>
        <v>3728721.7509060949</v>
      </c>
      <c r="AB24" s="16">
        <f t="shared" si="9"/>
        <v>3818211.0729278415</v>
      </c>
      <c r="AC24" s="16">
        <f t="shared" si="9"/>
        <v>3909848.1386781111</v>
      </c>
      <c r="AD24" s="16">
        <f t="shared" si="9"/>
        <v>4003684.494006387</v>
      </c>
      <c r="AE24" s="16">
        <f t="shared" si="9"/>
        <v>4099772.9218625408</v>
      </c>
      <c r="AF24" s="16">
        <f t="shared" si="9"/>
        <v>4198167.4719872428</v>
      </c>
      <c r="AG24" s="16">
        <f t="shared" si="9"/>
        <v>4298923.4913149364</v>
      </c>
      <c r="AH24" s="16">
        <f t="shared" si="9"/>
        <v>4402097.6551064951</v>
      </c>
      <c r="AI24" s="16">
        <f t="shared" si="9"/>
        <v>4507747.9988290509</v>
      </c>
      <c r="AJ24" s="16">
        <f t="shared" si="9"/>
        <v>4615933.9508009488</v>
      </c>
      <c r="AK24" s="16">
        <f t="shared" si="9"/>
        <v>4726716.3656201717</v>
      </c>
      <c r="AL24" s="16">
        <f t="shared" si="9"/>
        <v>4840157.5583950561</v>
      </c>
      <c r="AM24" s="16">
        <f t="shared" si="9"/>
        <v>4956321.3397965375</v>
      </c>
      <c r="AN24" s="16">
        <f t="shared" si="9"/>
        <v>5075273.0519516561</v>
      </c>
      <c r="AO24" s="16">
        <f t="shared" si="9"/>
        <v>5197079.605198496</v>
      </c>
      <c r="AP24" s="16">
        <f t="shared" si="9"/>
        <v>5321809.5157232592</v>
      </c>
      <c r="AQ24" s="16">
        <f t="shared" si="9"/>
        <v>5449532.9441006174</v>
      </c>
      <c r="AR24" s="16">
        <f t="shared" si="9"/>
        <v>5580321.7347590318</v>
      </c>
      <c r="AS24" s="16">
        <f t="shared" si="9"/>
        <v>5714249.4563932484</v>
      </c>
      <c r="AT24" s="16">
        <f t="shared" si="9"/>
        <v>5851391.4433466867</v>
      </c>
      <c r="AU24" s="16">
        <f t="shared" si="9"/>
        <v>5991824.8379870076</v>
      </c>
      <c r="AV24" s="16">
        <f>AV21*AV22</f>
        <v>6135628.6340986956</v>
      </c>
      <c r="AW24" s="16">
        <f t="shared" si="9"/>
        <v>6282883.7213170649</v>
      </c>
      <c r="AX24" s="16">
        <f t="shared" si="9"/>
        <v>6433672.930628675</v>
      </c>
      <c r="AY24" s="16">
        <f t="shared" si="9"/>
        <v>6588081.0809637634</v>
      </c>
      <c r="AZ24" s="16">
        <f t="shared" si="9"/>
        <v>6746580.3255184572</v>
      </c>
      <c r="BA24" s="16">
        <f t="shared" si="9"/>
        <v>6908619.7356336406</v>
      </c>
      <c r="BB24" s="16">
        <f t="shared" si="9"/>
        <v>7074551.009354325</v>
      </c>
      <c r="BC24" s="16">
        <f t="shared" si="9"/>
        <v>7244467.6214858862</v>
      </c>
      <c r="BD24" s="16">
        <f t="shared" si="9"/>
        <v>7418465.2919121869</v>
      </c>
      <c r="BE24" s="16">
        <f t="shared" si="9"/>
        <v>7596508.4589180797</v>
      </c>
      <c r="BF24" s="16">
        <f t="shared" si="9"/>
        <v>7778824.6619321126</v>
      </c>
      <c r="BG24" s="16">
        <f t="shared" si="9"/>
        <v>7965516.4538184842</v>
      </c>
      <c r="BH24" s="16">
        <f t="shared" si="9"/>
        <v>8156688.8487101281</v>
      </c>
      <c r="BI24" s="16">
        <f t="shared" si="9"/>
        <v>8352449.3810791699</v>
      </c>
      <c r="BJ24" s="16">
        <f t="shared" si="9"/>
        <v>8552908.166225072</v>
      </c>
      <c r="BK24" s="16">
        <f t="shared" si="9"/>
        <v>8758177.9622144736</v>
      </c>
      <c r="BL24" s="16">
        <f t="shared" si="9"/>
        <v>8968374.2333076224</v>
      </c>
    </row>
    <row r="25" spans="1:64" s="12" customFormat="1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4" s="12" customFormat="1">
      <c r="M26" s="18"/>
      <c r="N26" s="22"/>
      <c r="AB26" s="22"/>
      <c r="AC26" s="21"/>
      <c r="AD26" s="21"/>
      <c r="AE26" s="21"/>
      <c r="AF26" s="21"/>
      <c r="AM26" s="22"/>
      <c r="AS26" s="22"/>
      <c r="AZ26" s="22"/>
    </row>
    <row r="27" spans="1:64">
      <c r="N27" s="22"/>
      <c r="Q27" s="22"/>
      <c r="AB27" s="22"/>
      <c r="AC27" s="21"/>
      <c r="AD27" s="21"/>
      <c r="AE27" s="21"/>
      <c r="AF27" s="21"/>
      <c r="AM27" s="22"/>
      <c r="AS27" s="22"/>
      <c r="AZ27" s="22"/>
    </row>
    <row r="28" spans="1:64">
      <c r="N28" s="22"/>
      <c r="Q28" s="22"/>
      <c r="AB28" s="22"/>
      <c r="AC28" s="21"/>
      <c r="AD28" s="21"/>
      <c r="AE28" s="21"/>
      <c r="AF28" s="21"/>
      <c r="AM28" s="22"/>
      <c r="AS28" s="22"/>
      <c r="AZ28" s="22"/>
    </row>
    <row r="29" spans="1:64">
      <c r="C29" s="17"/>
      <c r="D29" s="17"/>
      <c r="E29" s="17"/>
      <c r="F29" s="17"/>
      <c r="G29" s="17"/>
      <c r="N29" s="22"/>
      <c r="Q29" s="22"/>
      <c r="AB29" s="22"/>
      <c r="AC29" s="21"/>
      <c r="AD29" s="21"/>
      <c r="AE29" s="22"/>
      <c r="AF29" s="21"/>
      <c r="AM29" s="22"/>
      <c r="AS29" s="22"/>
      <c r="AZ29" s="22"/>
    </row>
    <row r="30" spans="1:64">
      <c r="N30" s="22"/>
      <c r="Q30" s="22"/>
      <c r="AB30" s="22"/>
      <c r="AC30" s="21"/>
      <c r="AD30" s="21"/>
      <c r="AE30" s="21"/>
      <c r="AF30" s="21"/>
      <c r="AM30" s="22"/>
      <c r="AS30" s="22"/>
      <c r="AZ30" s="22"/>
    </row>
    <row r="31" spans="1:64">
      <c r="A31" s="12"/>
      <c r="C31" s="17"/>
      <c r="D31" s="17"/>
      <c r="E31" s="17"/>
      <c r="F31" s="17"/>
      <c r="G31" s="17"/>
      <c r="N31" s="22"/>
      <c r="Q31" s="22"/>
      <c r="AB31" s="22"/>
      <c r="AC31" s="21"/>
      <c r="AD31" s="22"/>
      <c r="AE31" s="21"/>
      <c r="AF31" s="21"/>
      <c r="AM31" s="22"/>
      <c r="AS31" s="22"/>
      <c r="AZ31" s="22"/>
    </row>
    <row r="32" spans="1:64">
      <c r="N32" s="22"/>
      <c r="Q32" s="22"/>
      <c r="AB32" s="22"/>
      <c r="AC32" s="21"/>
      <c r="AD32" s="21"/>
      <c r="AE32" s="21"/>
      <c r="AF32" s="21"/>
      <c r="AM32" s="22"/>
      <c r="AS32" s="22"/>
      <c r="AZ32" s="22"/>
    </row>
    <row r="33" spans="1:64">
      <c r="C33" s="17"/>
      <c r="E33" s="17"/>
      <c r="F33" s="18"/>
      <c r="N33" s="22"/>
      <c r="Q33" s="22"/>
      <c r="AB33" s="22"/>
      <c r="AC33" s="21"/>
      <c r="AD33" s="21"/>
      <c r="AE33" s="21"/>
      <c r="AF33" s="21"/>
      <c r="AM33" s="22"/>
      <c r="AS33" s="22"/>
      <c r="AZ33" s="22"/>
    </row>
    <row r="34" spans="1:64">
      <c r="N34" s="22"/>
      <c r="Q34" s="22"/>
      <c r="AB34" s="22"/>
      <c r="AC34" s="21"/>
      <c r="AD34" s="21"/>
      <c r="AE34" s="21"/>
      <c r="AF34" s="21"/>
      <c r="AM34" s="22"/>
      <c r="AS34" s="22"/>
      <c r="AZ34" s="22"/>
    </row>
    <row r="35" spans="1:64">
      <c r="N35" s="22"/>
      <c r="Q35" s="22"/>
      <c r="AB35" s="22"/>
      <c r="AC35" s="21"/>
      <c r="AD35" s="21"/>
      <c r="AE35" s="21"/>
      <c r="AF35" s="21"/>
      <c r="AM35" s="22"/>
      <c r="AS35" s="22"/>
      <c r="AZ35" s="22"/>
    </row>
    <row r="36" spans="1:64">
      <c r="N36" s="22"/>
      <c r="Q36" s="22"/>
      <c r="AB36" s="22"/>
      <c r="AC36" s="21"/>
      <c r="AD36" s="21"/>
      <c r="AE36" s="21"/>
      <c r="AF36" s="21"/>
      <c r="AS36" s="22"/>
      <c r="AZ36" s="22"/>
    </row>
    <row r="37" spans="1:64">
      <c r="D37" s="12"/>
      <c r="E37" s="12"/>
      <c r="F37" s="12"/>
      <c r="G37" s="12"/>
      <c r="N37" s="22"/>
      <c r="Q37" s="22"/>
      <c r="AB37" s="22"/>
      <c r="AC37" s="21"/>
      <c r="AD37" s="21"/>
      <c r="AE37" s="21"/>
      <c r="AF37" s="21"/>
      <c r="AM37" s="22"/>
      <c r="AS37" s="22"/>
      <c r="AZ37" s="22"/>
    </row>
    <row r="38" spans="1:64">
      <c r="N38" s="22"/>
      <c r="Q38" s="22"/>
      <c r="AB38" s="22"/>
      <c r="AC38" s="21"/>
      <c r="AD38" s="21"/>
      <c r="AE38" s="21"/>
      <c r="AF38" s="21"/>
      <c r="AM38" s="22"/>
      <c r="AS38" s="22"/>
      <c r="AZ38" s="22"/>
    </row>
    <row r="39" spans="1:64">
      <c r="C39" s="17"/>
      <c r="E39" s="17"/>
      <c r="N39" s="22"/>
      <c r="Q39" s="22"/>
      <c r="AB39" s="22"/>
      <c r="AC39" s="21"/>
      <c r="AD39" s="21"/>
      <c r="AE39" s="21"/>
      <c r="AF39" s="21"/>
      <c r="AM39" s="22"/>
      <c r="AS39" s="22"/>
      <c r="AZ39" s="22"/>
    </row>
    <row r="40" spans="1:64">
      <c r="N40" s="22"/>
      <c r="Q40" s="22"/>
      <c r="AB40" s="22"/>
      <c r="AC40" s="21"/>
      <c r="AD40" s="21"/>
      <c r="AE40" s="21"/>
      <c r="AF40" s="21"/>
      <c r="AM40" s="22"/>
      <c r="AS40" s="22"/>
      <c r="AZ40" s="22"/>
    </row>
    <row r="41" spans="1:6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>
      <c r="N42" s="22"/>
      <c r="Q42" s="22"/>
      <c r="AB42" s="22"/>
      <c r="AC42" s="21"/>
      <c r="AD42" s="21"/>
      <c r="AE42" s="21"/>
      <c r="AF42" s="21"/>
      <c r="AM42" s="22"/>
      <c r="AS42" s="21"/>
      <c r="AZ42" s="21"/>
    </row>
    <row r="43" spans="1:64">
      <c r="N43" s="22"/>
      <c r="Q43" s="22"/>
      <c r="AB43" s="22"/>
      <c r="AC43" s="21"/>
      <c r="AD43" s="21"/>
      <c r="AE43" s="21"/>
      <c r="AF43" s="21"/>
      <c r="AM43" s="22"/>
      <c r="AS43" s="21"/>
      <c r="AZ43" s="21"/>
      <c r="BL43">
        <f>BL41^(1/60)</f>
        <v>0</v>
      </c>
    </row>
    <row r="44" spans="1:64">
      <c r="A44" t="s">
        <v>141</v>
      </c>
      <c r="D44">
        <v>30</v>
      </c>
      <c r="E44" t="s">
        <v>142</v>
      </c>
      <c r="N44" s="22"/>
      <c r="Q44" s="22"/>
      <c r="AB44" s="22"/>
      <c r="AC44" s="21"/>
      <c r="AD44" s="21"/>
      <c r="AE44" s="21"/>
      <c r="AF44" s="21"/>
      <c r="AM44" s="22"/>
      <c r="AS44" s="21"/>
      <c r="AZ44" s="21"/>
      <c r="BL44">
        <f>BL43-1</f>
        <v>-1</v>
      </c>
    </row>
    <row r="45" spans="1:64">
      <c r="A45" t="s">
        <v>143</v>
      </c>
      <c r="D45">
        <v>27</v>
      </c>
      <c r="E45" t="s">
        <v>142</v>
      </c>
      <c r="N45" s="22"/>
      <c r="Q45" s="22"/>
      <c r="AB45" s="22"/>
      <c r="AC45" s="21"/>
      <c r="AD45" s="21"/>
      <c r="AE45" s="21"/>
      <c r="AF45" s="21"/>
      <c r="AM45" s="22"/>
      <c r="AZ45" s="21"/>
      <c r="BL45">
        <f>BL44*100</f>
        <v>-100</v>
      </c>
    </row>
    <row r="46" spans="1:64">
      <c r="N46" s="22"/>
      <c r="Q46" s="22"/>
      <c r="AB46" s="22"/>
      <c r="AC46" s="21"/>
      <c r="AD46" s="21"/>
      <c r="AE46" s="21"/>
      <c r="AF46" s="21"/>
      <c r="AM46" s="22"/>
    </row>
    <row r="47" spans="1:64">
      <c r="A47" t="s">
        <v>144</v>
      </c>
      <c r="N47" s="22"/>
      <c r="Q47" s="22"/>
      <c r="AB47" s="22"/>
      <c r="AC47" s="21"/>
      <c r="AD47" s="21"/>
      <c r="AE47" s="21"/>
      <c r="AF47" s="21"/>
      <c r="AM47" s="22"/>
    </row>
    <row r="48" spans="1:64">
      <c r="N48" s="22"/>
      <c r="Q48" s="22"/>
      <c r="AB48" s="22"/>
      <c r="AC48" s="21"/>
      <c r="AD48" s="21"/>
      <c r="AE48" s="21"/>
      <c r="AF48" s="21"/>
      <c r="AM48" s="22"/>
    </row>
    <row r="49" spans="1:39">
      <c r="N49" s="22"/>
      <c r="Q49" s="22"/>
      <c r="AB49" s="22"/>
      <c r="AC49" s="21"/>
      <c r="AD49" s="21"/>
      <c r="AE49" s="21"/>
      <c r="AF49" s="21"/>
      <c r="AM49" s="22"/>
    </row>
    <row r="50" spans="1:39">
      <c r="A50">
        <v>108</v>
      </c>
      <c r="B50" t="s">
        <v>146</v>
      </c>
      <c r="D50">
        <f>A51/A50</f>
        <v>0.60185185185185186</v>
      </c>
      <c r="E50" t="s">
        <v>147</v>
      </c>
      <c r="N50" s="22"/>
      <c r="Q50" s="22"/>
      <c r="AB50" s="22"/>
      <c r="AC50" s="21"/>
      <c r="AD50" s="21"/>
      <c r="AE50" s="21"/>
      <c r="AF50" s="21"/>
      <c r="AM50" s="22"/>
    </row>
    <row r="51" spans="1:39">
      <c r="A51">
        <v>65</v>
      </c>
      <c r="B51" t="s">
        <v>145</v>
      </c>
      <c r="D51" s="17">
        <v>600000</v>
      </c>
      <c r="E51" t="s">
        <v>148</v>
      </c>
      <c r="N51" s="22"/>
      <c r="Q51" s="22"/>
      <c r="AB51" s="22"/>
      <c r="AC51" s="21"/>
      <c r="AD51" s="21"/>
      <c r="AE51" s="21"/>
      <c r="AF51" s="21"/>
      <c r="AM51" s="22"/>
    </row>
    <row r="52" spans="1:39">
      <c r="N52" s="22"/>
      <c r="Q52" s="22"/>
      <c r="AB52" s="22"/>
      <c r="AC52" s="21"/>
      <c r="AD52" s="21"/>
      <c r="AE52" s="21"/>
      <c r="AF52" s="21"/>
      <c r="AM52" s="22"/>
    </row>
    <row r="53" spans="1:39">
      <c r="A53" t="s">
        <v>149</v>
      </c>
      <c r="N53" s="22"/>
      <c r="Q53" s="22"/>
      <c r="AB53" s="22"/>
      <c r="AC53" s="21"/>
      <c r="AD53" s="21"/>
      <c r="AE53" s="21"/>
      <c r="AF53" s="21"/>
      <c r="AM53" s="22"/>
    </row>
    <row r="54" spans="1:39">
      <c r="N54" s="22"/>
      <c r="Q54" s="22"/>
      <c r="AB54" s="22"/>
      <c r="AC54" s="21"/>
      <c r="AD54" s="21"/>
      <c r="AE54" s="21"/>
      <c r="AF54" s="21"/>
      <c r="AM54" s="22"/>
    </row>
    <row r="55" spans="1:39">
      <c r="D55" s="17">
        <v>3000000</v>
      </c>
      <c r="E55" t="s">
        <v>150</v>
      </c>
      <c r="N55" s="22"/>
      <c r="Q55" s="22"/>
      <c r="AB55" s="22"/>
      <c r="AC55" s="21"/>
      <c r="AD55" s="21"/>
      <c r="AE55" s="21"/>
      <c r="AF55" s="21"/>
      <c r="AM55" s="22"/>
    </row>
    <row r="56" spans="1:39">
      <c r="N56" s="22"/>
      <c r="Q56" s="22"/>
      <c r="AB56" s="22"/>
      <c r="AC56" s="21"/>
      <c r="AD56" s="21"/>
      <c r="AE56" s="21"/>
      <c r="AF56" s="21"/>
      <c r="AM56" s="22"/>
    </row>
    <row r="57" spans="1:39">
      <c r="A57" t="s">
        <v>151</v>
      </c>
      <c r="N57" s="22"/>
      <c r="Q57" s="22"/>
      <c r="AB57" s="22"/>
      <c r="AC57" s="21"/>
      <c r="AD57" s="21"/>
      <c r="AE57" s="21"/>
      <c r="AF57" s="21"/>
      <c r="AM57" s="22"/>
    </row>
    <row r="58" spans="1:39">
      <c r="A58" t="s">
        <v>152</v>
      </c>
      <c r="N58" s="22"/>
      <c r="Q58" s="22"/>
      <c r="AB58" s="22"/>
      <c r="AC58" s="21"/>
      <c r="AD58" s="21"/>
      <c r="AE58" s="21"/>
      <c r="AF58" s="21"/>
      <c r="AM58" s="22"/>
    </row>
    <row r="59" spans="1:39">
      <c r="A59" t="s">
        <v>153</v>
      </c>
      <c r="N59" s="22"/>
      <c r="Q59" s="22"/>
      <c r="AB59" s="22"/>
      <c r="AC59" s="21"/>
      <c r="AD59" s="21"/>
      <c r="AE59" s="21"/>
      <c r="AF59" s="21"/>
      <c r="AM59" s="22"/>
    </row>
    <row r="60" spans="1:39">
      <c r="A60" t="s">
        <v>154</v>
      </c>
      <c r="N60" s="22"/>
      <c r="Q60" s="22"/>
      <c r="AB60" s="22"/>
      <c r="AC60" s="21"/>
      <c r="AD60" s="21"/>
      <c r="AE60" s="21"/>
      <c r="AF60" s="21"/>
      <c r="AM60" s="22"/>
    </row>
    <row r="61" spans="1:39">
      <c r="N61" s="22"/>
      <c r="Q61" s="22"/>
      <c r="AB61" s="21"/>
      <c r="AC61" s="21"/>
      <c r="AD61" s="21"/>
      <c r="AE61" s="21"/>
      <c r="AF61" s="21"/>
      <c r="AM61" s="22"/>
    </row>
    <row r="62" spans="1:39">
      <c r="N62" s="22"/>
      <c r="Q62" s="22"/>
      <c r="AB62" s="21"/>
      <c r="AC62" s="21"/>
      <c r="AD62" s="21"/>
      <c r="AE62" s="21"/>
      <c r="AF62" s="21"/>
      <c r="AM62" s="22"/>
    </row>
    <row r="63" spans="1:39">
      <c r="N63" s="22"/>
      <c r="Q63" s="22"/>
      <c r="AB63" s="21"/>
      <c r="AC63" s="21"/>
      <c r="AD63" s="21"/>
      <c r="AE63" s="21"/>
      <c r="AF63" s="21"/>
      <c r="AM63" s="22"/>
    </row>
    <row r="64" spans="1:39">
      <c r="A64" t="s">
        <v>242</v>
      </c>
      <c r="N64" s="22"/>
      <c r="Q64" s="22"/>
      <c r="AB64" s="21"/>
      <c r="AC64" s="21"/>
      <c r="AD64" s="21"/>
      <c r="AE64" s="21"/>
      <c r="AF64" s="21"/>
      <c r="AM64" s="21"/>
    </row>
    <row r="65" spans="14:39">
      <c r="N65" s="22"/>
      <c r="Q65" s="22"/>
      <c r="AB65" s="21"/>
      <c r="AC65" s="21"/>
      <c r="AD65" s="21"/>
      <c r="AE65" s="21"/>
      <c r="AF65" s="21"/>
      <c r="AM65" s="21"/>
    </row>
    <row r="66" spans="14:39">
      <c r="N66" s="22"/>
      <c r="Q66" s="22"/>
      <c r="AB66" s="21"/>
      <c r="AC66" s="21"/>
      <c r="AD66" s="21"/>
      <c r="AE66" s="21"/>
      <c r="AF66" s="21"/>
      <c r="AM66" s="21"/>
    </row>
    <row r="67" spans="14:39">
      <c r="N67" s="22"/>
      <c r="Q67" s="22"/>
      <c r="AB67" s="21"/>
      <c r="AC67" s="21"/>
      <c r="AD67" s="21"/>
      <c r="AE67" s="21"/>
      <c r="AF67" s="21"/>
      <c r="AM67" s="21"/>
    </row>
    <row r="68" spans="14:39">
      <c r="N68" s="22"/>
      <c r="Q68" s="22"/>
      <c r="AB68" s="21"/>
      <c r="AC68" s="21"/>
      <c r="AD68" s="21"/>
      <c r="AE68" s="21"/>
      <c r="AF68" s="21"/>
      <c r="AM68" s="21"/>
    </row>
    <row r="69" spans="14:39">
      <c r="N69" s="22"/>
      <c r="Q69" s="22"/>
      <c r="AB69" s="21"/>
      <c r="AC69" s="21"/>
      <c r="AD69" s="21"/>
      <c r="AE69" s="21"/>
      <c r="AF69" s="21"/>
      <c r="AM69" s="21"/>
    </row>
    <row r="70" spans="14:39">
      <c r="N70" s="22"/>
      <c r="Q70" s="22"/>
      <c r="AB70" s="21"/>
      <c r="AC70" s="21"/>
      <c r="AD70" s="21"/>
      <c r="AE70" s="21"/>
      <c r="AF70" s="21"/>
      <c r="AM70" s="21"/>
    </row>
    <row r="71" spans="14:39">
      <c r="N71" s="22"/>
      <c r="Q71" s="22"/>
      <c r="AB71" s="21"/>
      <c r="AC71" s="21"/>
      <c r="AD71" s="21"/>
      <c r="AE71" s="21"/>
      <c r="AF71" s="21"/>
      <c r="AM71" s="21"/>
    </row>
    <row r="72" spans="14:39">
      <c r="N72" s="22"/>
      <c r="Q72" s="22"/>
      <c r="AB72" s="21"/>
      <c r="AC72" s="21"/>
      <c r="AD72" s="21"/>
      <c r="AE72" s="21"/>
      <c r="AF72" s="21"/>
      <c r="AM72" s="21"/>
    </row>
    <row r="73" spans="14:39">
      <c r="N73" s="22"/>
      <c r="Q73" s="22"/>
      <c r="AB73" s="21"/>
      <c r="AC73" s="21"/>
      <c r="AD73" s="21"/>
      <c r="AE73" s="21"/>
      <c r="AF73" s="21"/>
      <c r="AM73" s="21"/>
    </row>
    <row r="74" spans="14:39">
      <c r="N74" s="22"/>
      <c r="Q74" s="22"/>
      <c r="AB74" s="21"/>
      <c r="AC74" s="21"/>
      <c r="AD74" s="21"/>
      <c r="AE74" s="21"/>
      <c r="AF74" s="21"/>
      <c r="AM74" s="21"/>
    </row>
    <row r="75" spans="14:39">
      <c r="N75" s="22"/>
      <c r="Q75" s="22"/>
      <c r="AB75" s="21"/>
      <c r="AC75" s="21"/>
      <c r="AD75" s="21"/>
      <c r="AE75" s="21"/>
      <c r="AF75" s="21"/>
      <c r="AM75" s="21"/>
    </row>
    <row r="76" spans="14:39">
      <c r="N76" s="22"/>
      <c r="Q76" s="22"/>
      <c r="AB76" s="21"/>
      <c r="AC76" s="21"/>
      <c r="AD76" s="21"/>
      <c r="AE76" s="21"/>
      <c r="AF76" s="21"/>
      <c r="AM76" s="21"/>
    </row>
    <row r="77" spans="14:39">
      <c r="N77" s="22"/>
      <c r="Q77" s="22"/>
      <c r="AB77" s="21"/>
      <c r="AC77" s="21"/>
      <c r="AD77" s="21"/>
      <c r="AE77" s="21"/>
      <c r="AF77" s="21"/>
      <c r="AM77" s="21"/>
    </row>
    <row r="78" spans="14:39">
      <c r="N78" s="22"/>
      <c r="Q78" s="22"/>
      <c r="AB78" s="21"/>
      <c r="AC78" s="21"/>
      <c r="AD78" s="21"/>
      <c r="AE78" s="21"/>
      <c r="AF78" s="21"/>
    </row>
    <row r="79" spans="14:39">
      <c r="N79" s="22"/>
      <c r="Q79" s="22"/>
      <c r="AB79" s="21"/>
      <c r="AC79" s="21"/>
      <c r="AD79" s="21"/>
      <c r="AE79" s="21"/>
      <c r="AF79" s="21"/>
    </row>
    <row r="80" spans="14:39">
      <c r="N80" s="22"/>
      <c r="Q80" s="22"/>
      <c r="AB80" s="21"/>
      <c r="AC80" s="21"/>
      <c r="AD80" s="21"/>
      <c r="AE80" s="21"/>
      <c r="AF80" s="21"/>
    </row>
    <row r="81" spans="14:17">
      <c r="N81" s="22"/>
      <c r="Q81" s="22"/>
    </row>
    <row r="82" spans="14:17">
      <c r="Q82" s="22"/>
    </row>
    <row r="83" spans="14:17">
      <c r="Q83" s="22"/>
    </row>
    <row r="84" spans="14:17">
      <c r="Q84" s="22"/>
    </row>
    <row r="85" spans="14:17">
      <c r="Q85" s="22"/>
    </row>
    <row r="86" spans="14:17">
      <c r="Q86" s="22"/>
    </row>
    <row r="87" spans="14:17">
      <c r="Q87" s="21"/>
    </row>
    <row r="88" spans="14:17">
      <c r="Q88" s="21"/>
    </row>
    <row r="89" spans="14:17">
      <c r="Q89" s="21"/>
    </row>
    <row r="90" spans="14:17">
      <c r="Q90" s="21"/>
    </row>
    <row r="91" spans="14:17">
      <c r="Q91" s="21"/>
    </row>
    <row r="92" spans="14:17">
      <c r="Q92" s="21"/>
    </row>
    <row r="93" spans="14:17">
      <c r="Q93" s="21"/>
    </row>
    <row r="94" spans="14:17">
      <c r="Q94" s="21"/>
    </row>
    <row r="95" spans="14:17">
      <c r="Q95" s="21"/>
    </row>
    <row r="96" spans="14:17">
      <c r="Q96" s="21"/>
    </row>
    <row r="97" spans="17:17">
      <c r="Q97" s="21"/>
    </row>
    <row r="98" spans="17:17">
      <c r="Q98" s="21"/>
    </row>
    <row r="99" spans="17:17">
      <c r="Q99" s="21"/>
    </row>
    <row r="100" spans="17:17">
      <c r="Q100" s="21"/>
    </row>
    <row r="101" spans="17:17">
      <c r="Q101" s="21"/>
    </row>
    <row r="102" spans="17:17">
      <c r="Q102" s="21"/>
    </row>
    <row r="103" spans="17:17">
      <c r="Q103" s="21"/>
    </row>
    <row r="104" spans="17:17">
      <c r="Q104" s="21"/>
    </row>
    <row r="105" spans="17:17">
      <c r="Q105" s="21"/>
    </row>
    <row r="106" spans="17:17">
      <c r="Q106" s="21"/>
    </row>
    <row r="107" spans="17:17">
      <c r="Q107" s="21"/>
    </row>
    <row r="108" spans="17:17">
      <c r="Q108" s="21"/>
    </row>
    <row r="109" spans="17:17">
      <c r="Q109" s="21"/>
    </row>
    <row r="110" spans="17:17">
      <c r="Q110" s="21"/>
    </row>
    <row r="111" spans="17:17">
      <c r="Q111" s="21"/>
    </row>
    <row r="112" spans="17:17">
      <c r="Q112" s="21"/>
    </row>
    <row r="113" spans="17:17">
      <c r="Q113" s="21"/>
    </row>
    <row r="114" spans="17:17">
      <c r="Q114" s="21"/>
    </row>
    <row r="115" spans="17:17">
      <c r="Q115" s="21"/>
    </row>
    <row r="116" spans="17:17">
      <c r="Q116" s="21"/>
    </row>
    <row r="117" spans="17:17">
      <c r="Q117" s="21"/>
    </row>
    <row r="118" spans="17:17">
      <c r="Q118" s="21"/>
    </row>
    <row r="119" spans="17:17">
      <c r="Q119" s="21"/>
    </row>
    <row r="120" spans="17:17">
      <c r="Q120" s="21"/>
    </row>
    <row r="121" spans="17:17">
      <c r="Q121" s="21"/>
    </row>
    <row r="122" spans="17:17">
      <c r="Q122" s="21"/>
    </row>
    <row r="123" spans="17:17">
      <c r="Q123" s="21"/>
    </row>
    <row r="124" spans="17:17">
      <c r="Q124" s="21"/>
    </row>
    <row r="125" spans="17:17">
      <c r="Q125" s="21"/>
    </row>
    <row r="126" spans="17:17">
      <c r="Q126" s="21"/>
    </row>
    <row r="127" spans="17:17">
      <c r="Q127" s="21"/>
    </row>
    <row r="128" spans="17:17">
      <c r="Q128" s="21"/>
    </row>
    <row r="129" spans="17:17">
      <c r="Q129" s="21"/>
    </row>
    <row r="130" spans="17:17">
      <c r="Q130" s="21"/>
    </row>
    <row r="131" spans="17:17">
      <c r="Q131" s="21"/>
    </row>
    <row r="132" spans="17:17">
      <c r="Q132" s="21"/>
    </row>
    <row r="133" spans="17:17">
      <c r="Q133" s="21"/>
    </row>
    <row r="134" spans="17:17">
      <c r="Q134" s="21"/>
    </row>
    <row r="135" spans="17:17">
      <c r="Q135" s="21"/>
    </row>
    <row r="136" spans="17:17">
      <c r="Q136" s="21"/>
    </row>
    <row r="137" spans="17:17">
      <c r="Q137" s="21"/>
    </row>
    <row r="138" spans="17:17">
      <c r="Q138" s="21"/>
    </row>
    <row r="139" spans="17:17">
      <c r="Q139" s="21"/>
    </row>
    <row r="140" spans="17:17">
      <c r="Q140" s="21"/>
    </row>
    <row r="141" spans="17:17">
      <c r="Q141" s="21"/>
    </row>
    <row r="142" spans="17:17">
      <c r="Q142" s="21"/>
    </row>
    <row r="143" spans="17:17">
      <c r="Q143" s="21"/>
    </row>
    <row r="144" spans="17:17">
      <c r="Q144" s="21"/>
    </row>
    <row r="145" spans="17:17">
      <c r="Q145" s="21"/>
    </row>
    <row r="146" spans="17:17">
      <c r="Q146" s="21"/>
    </row>
    <row r="147" spans="17:17">
      <c r="Q147" s="21"/>
    </row>
    <row r="148" spans="17:17">
      <c r="Q148" s="21"/>
    </row>
    <row r="149" spans="17:17">
      <c r="Q149" s="21"/>
    </row>
    <row r="150" spans="17:17">
      <c r="Q150" s="21"/>
    </row>
    <row r="151" spans="17:17">
      <c r="Q151" s="21"/>
    </row>
    <row r="152" spans="17:17">
      <c r="Q152" s="21"/>
    </row>
    <row r="153" spans="17:17">
      <c r="Q153" s="21"/>
    </row>
    <row r="154" spans="17:17">
      <c r="Q154" s="21"/>
    </row>
    <row r="155" spans="17:17">
      <c r="Q155" s="21"/>
    </row>
    <row r="156" spans="17:17">
      <c r="Q156" s="21"/>
    </row>
    <row r="157" spans="17:17">
      <c r="Q157" s="21"/>
    </row>
    <row r="158" spans="17:17">
      <c r="Q158" s="21"/>
    </row>
    <row r="159" spans="17:17">
      <c r="Q159" s="21"/>
    </row>
    <row r="160" spans="17:17">
      <c r="Q160" s="21"/>
    </row>
    <row r="161" spans="17:17">
      <c r="Q161" s="21"/>
    </row>
    <row r="162" spans="17:17">
      <c r="Q162" s="21"/>
    </row>
    <row r="163" spans="17:17">
      <c r="Q163" s="21"/>
    </row>
    <row r="164" spans="17:17">
      <c r="Q164" s="21"/>
    </row>
    <row r="165" spans="17:17">
      <c r="Q165" s="21"/>
    </row>
    <row r="166" spans="17:17">
      <c r="Q166" s="21"/>
    </row>
    <row r="167" spans="17:17">
      <c r="Q167" s="21"/>
    </row>
    <row r="168" spans="17:17">
      <c r="Q168" s="21"/>
    </row>
    <row r="169" spans="17:17">
      <c r="Q169" s="21"/>
    </row>
    <row r="170" spans="17:17">
      <c r="Q170" s="21"/>
    </row>
    <row r="171" spans="17:17">
      <c r="Q171" s="21"/>
    </row>
    <row r="172" spans="17:17">
      <c r="Q172" s="21"/>
    </row>
    <row r="173" spans="17:17">
      <c r="Q173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Z48"/>
  <sheetViews>
    <sheetView workbookViewId="0">
      <selection activeCell="A37" sqref="A37"/>
    </sheetView>
  </sheetViews>
  <sheetFormatPr defaultRowHeight="14.25"/>
  <cols>
    <col min="7" max="7" width="16.3984375" bestFit="1" customWidth="1"/>
    <col min="8" max="8" width="12.73046875" bestFit="1" customWidth="1"/>
    <col min="11" max="11" width="14.86328125" bestFit="1" customWidth="1"/>
    <col min="13" max="15" width="13.86328125" bestFit="1" customWidth="1"/>
    <col min="34" max="34" width="12.73046875" bestFit="1" customWidth="1"/>
    <col min="37" max="37" width="12.73046875" bestFit="1" customWidth="1"/>
    <col min="61" max="61" width="12.73046875" bestFit="1" customWidth="1"/>
    <col min="67" max="67" width="12.73046875" bestFit="1" customWidth="1"/>
  </cols>
  <sheetData>
    <row r="1" spans="1:78">
      <c r="A1" t="s">
        <v>132</v>
      </c>
    </row>
    <row r="2" spans="1:78">
      <c r="A2" t="s">
        <v>133</v>
      </c>
      <c r="C2">
        <v>3.5</v>
      </c>
      <c r="D2" s="8">
        <v>3.5000000000000003E-2</v>
      </c>
    </row>
    <row r="3" spans="1:78">
      <c r="A3" t="s">
        <v>134</v>
      </c>
      <c r="C3" t="s">
        <v>135</v>
      </c>
      <c r="F3" t="s">
        <v>155</v>
      </c>
      <c r="G3">
        <v>2009</v>
      </c>
      <c r="H3">
        <f>G3+1</f>
        <v>2010</v>
      </c>
      <c r="I3" s="12">
        <f t="shared" ref="I3:BO3" si="0">H3+1</f>
        <v>2011</v>
      </c>
      <c r="J3" s="12">
        <f t="shared" si="0"/>
        <v>2012</v>
      </c>
      <c r="K3" s="12">
        <f t="shared" si="0"/>
        <v>2013</v>
      </c>
      <c r="L3" s="12">
        <f t="shared" si="0"/>
        <v>2014</v>
      </c>
      <c r="M3" s="12">
        <f t="shared" si="0"/>
        <v>2015</v>
      </c>
      <c r="N3" s="12">
        <f t="shared" si="0"/>
        <v>2016</v>
      </c>
      <c r="O3" s="12">
        <f t="shared" si="0"/>
        <v>2017</v>
      </c>
      <c r="P3" s="12">
        <f t="shared" si="0"/>
        <v>2018</v>
      </c>
      <c r="Q3" s="12">
        <f t="shared" si="0"/>
        <v>2019</v>
      </c>
      <c r="R3" s="12">
        <f t="shared" si="0"/>
        <v>2020</v>
      </c>
      <c r="S3" s="12">
        <f t="shared" si="0"/>
        <v>2021</v>
      </c>
      <c r="T3" s="12">
        <f t="shared" si="0"/>
        <v>2022</v>
      </c>
      <c r="U3" s="12">
        <f t="shared" si="0"/>
        <v>2023</v>
      </c>
      <c r="V3" s="12">
        <f t="shared" si="0"/>
        <v>2024</v>
      </c>
      <c r="W3" s="12">
        <f t="shared" si="0"/>
        <v>2025</v>
      </c>
      <c r="X3" s="12">
        <f t="shared" si="0"/>
        <v>2026</v>
      </c>
      <c r="Y3" s="12">
        <f t="shared" si="0"/>
        <v>2027</v>
      </c>
      <c r="Z3" s="12">
        <f t="shared" si="0"/>
        <v>2028</v>
      </c>
      <c r="AA3" s="12">
        <f t="shared" si="0"/>
        <v>2029</v>
      </c>
      <c r="AB3" s="12">
        <f t="shared" si="0"/>
        <v>2030</v>
      </c>
      <c r="AC3" s="12">
        <f t="shared" si="0"/>
        <v>2031</v>
      </c>
      <c r="AD3" s="12">
        <f t="shared" si="0"/>
        <v>2032</v>
      </c>
      <c r="AE3" s="12">
        <f t="shared" si="0"/>
        <v>2033</v>
      </c>
      <c r="AF3" s="12">
        <f t="shared" si="0"/>
        <v>2034</v>
      </c>
      <c r="AG3" s="12">
        <f t="shared" si="0"/>
        <v>2035</v>
      </c>
      <c r="AH3" s="12">
        <f t="shared" si="0"/>
        <v>2036</v>
      </c>
      <c r="AI3" s="12">
        <f t="shared" si="0"/>
        <v>2037</v>
      </c>
      <c r="AJ3" s="12">
        <f t="shared" si="0"/>
        <v>2038</v>
      </c>
      <c r="AK3" s="12">
        <f t="shared" si="0"/>
        <v>2039</v>
      </c>
      <c r="AL3" s="12">
        <f t="shared" si="0"/>
        <v>2040</v>
      </c>
      <c r="AM3" s="12">
        <f t="shared" si="0"/>
        <v>2041</v>
      </c>
      <c r="AN3" s="12">
        <f t="shared" si="0"/>
        <v>2042</v>
      </c>
      <c r="AO3" s="12">
        <f t="shared" si="0"/>
        <v>2043</v>
      </c>
      <c r="AP3" s="12">
        <f t="shared" si="0"/>
        <v>2044</v>
      </c>
      <c r="AQ3" s="12">
        <f t="shared" si="0"/>
        <v>2045</v>
      </c>
      <c r="AR3" s="12">
        <f t="shared" si="0"/>
        <v>2046</v>
      </c>
      <c r="AS3" s="12">
        <f t="shared" si="0"/>
        <v>2047</v>
      </c>
      <c r="AT3" s="12">
        <f t="shared" si="0"/>
        <v>2048</v>
      </c>
      <c r="AU3" s="12">
        <f t="shared" si="0"/>
        <v>2049</v>
      </c>
      <c r="AV3" s="12">
        <f t="shared" si="0"/>
        <v>2050</v>
      </c>
      <c r="AW3" s="12">
        <f t="shared" si="0"/>
        <v>2051</v>
      </c>
      <c r="AX3" s="12">
        <f t="shared" si="0"/>
        <v>2052</v>
      </c>
      <c r="AY3" s="12">
        <f t="shared" si="0"/>
        <v>2053</v>
      </c>
      <c r="AZ3" s="12">
        <f t="shared" si="0"/>
        <v>2054</v>
      </c>
      <c r="BA3" s="12">
        <f t="shared" si="0"/>
        <v>2055</v>
      </c>
      <c r="BB3" s="12">
        <f t="shared" si="0"/>
        <v>2056</v>
      </c>
      <c r="BC3" s="12">
        <f t="shared" si="0"/>
        <v>2057</v>
      </c>
      <c r="BD3" s="12">
        <f t="shared" si="0"/>
        <v>2058</v>
      </c>
      <c r="BE3" s="12">
        <f t="shared" si="0"/>
        <v>2059</v>
      </c>
      <c r="BF3" s="12">
        <f t="shared" si="0"/>
        <v>2060</v>
      </c>
      <c r="BG3" s="12">
        <f t="shared" si="0"/>
        <v>2061</v>
      </c>
      <c r="BH3" s="12">
        <f t="shared" si="0"/>
        <v>2062</v>
      </c>
      <c r="BI3" s="12">
        <f t="shared" si="0"/>
        <v>2063</v>
      </c>
      <c r="BJ3" s="12">
        <f t="shared" si="0"/>
        <v>2064</v>
      </c>
      <c r="BK3" s="12">
        <f t="shared" si="0"/>
        <v>2065</v>
      </c>
      <c r="BL3" s="12">
        <f t="shared" si="0"/>
        <v>2066</v>
      </c>
      <c r="BM3" s="12">
        <f t="shared" si="0"/>
        <v>2067</v>
      </c>
      <c r="BN3" s="12">
        <f t="shared" si="0"/>
        <v>2068</v>
      </c>
      <c r="BO3" s="12">
        <f t="shared" si="0"/>
        <v>2069</v>
      </c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</row>
    <row r="4" spans="1:78">
      <c r="F4" t="s">
        <v>156</v>
      </c>
      <c r="G4">
        <f>G3 - 2009</f>
        <v>0</v>
      </c>
      <c r="H4" s="12">
        <f t="shared" ref="H4:BO4" si="1">H3 - 2009</f>
        <v>1</v>
      </c>
      <c r="I4" s="12">
        <f t="shared" si="1"/>
        <v>2</v>
      </c>
      <c r="J4" s="12">
        <f t="shared" si="1"/>
        <v>3</v>
      </c>
      <c r="K4" s="12">
        <f t="shared" si="1"/>
        <v>4</v>
      </c>
      <c r="L4" s="12">
        <f t="shared" si="1"/>
        <v>5</v>
      </c>
      <c r="M4" s="12">
        <f t="shared" si="1"/>
        <v>6</v>
      </c>
      <c r="N4" s="12">
        <f t="shared" si="1"/>
        <v>7</v>
      </c>
      <c r="O4" s="12">
        <f t="shared" si="1"/>
        <v>8</v>
      </c>
      <c r="P4" s="12">
        <f t="shared" si="1"/>
        <v>9</v>
      </c>
      <c r="Q4" s="12">
        <f t="shared" si="1"/>
        <v>10</v>
      </c>
      <c r="R4" s="12">
        <f t="shared" si="1"/>
        <v>11</v>
      </c>
      <c r="S4" s="12">
        <f t="shared" si="1"/>
        <v>12</v>
      </c>
      <c r="T4" s="12">
        <f t="shared" si="1"/>
        <v>13</v>
      </c>
      <c r="U4" s="12">
        <f t="shared" si="1"/>
        <v>14</v>
      </c>
      <c r="V4" s="12">
        <f t="shared" si="1"/>
        <v>15</v>
      </c>
      <c r="W4" s="12">
        <f t="shared" si="1"/>
        <v>16</v>
      </c>
      <c r="X4" s="12">
        <f t="shared" si="1"/>
        <v>17</v>
      </c>
      <c r="Y4" s="12">
        <f t="shared" si="1"/>
        <v>18</v>
      </c>
      <c r="Z4" s="12">
        <f t="shared" si="1"/>
        <v>19</v>
      </c>
      <c r="AA4" s="12">
        <f t="shared" si="1"/>
        <v>20</v>
      </c>
      <c r="AB4" s="12">
        <f t="shared" si="1"/>
        <v>21</v>
      </c>
      <c r="AC4" s="12">
        <f t="shared" si="1"/>
        <v>22</v>
      </c>
      <c r="AD4" s="12">
        <f t="shared" si="1"/>
        <v>23</v>
      </c>
      <c r="AE4" s="12">
        <f t="shared" si="1"/>
        <v>24</v>
      </c>
      <c r="AF4" s="12">
        <f t="shared" si="1"/>
        <v>25</v>
      </c>
      <c r="AG4" s="12">
        <f t="shared" si="1"/>
        <v>26</v>
      </c>
      <c r="AH4" s="12">
        <f t="shared" si="1"/>
        <v>27</v>
      </c>
      <c r="AI4" s="12">
        <f t="shared" si="1"/>
        <v>28</v>
      </c>
      <c r="AJ4" s="12">
        <f t="shared" si="1"/>
        <v>29</v>
      </c>
      <c r="AK4" s="12">
        <f t="shared" si="1"/>
        <v>30</v>
      </c>
      <c r="AL4" s="12">
        <f t="shared" si="1"/>
        <v>31</v>
      </c>
      <c r="AM4" s="12">
        <f t="shared" si="1"/>
        <v>32</v>
      </c>
      <c r="AN4" s="12">
        <f t="shared" si="1"/>
        <v>33</v>
      </c>
      <c r="AO4" s="12">
        <f t="shared" si="1"/>
        <v>34</v>
      </c>
      <c r="AP4" s="12">
        <f t="shared" si="1"/>
        <v>35</v>
      </c>
      <c r="AQ4" s="12">
        <f t="shared" si="1"/>
        <v>36</v>
      </c>
      <c r="AR4" s="12">
        <f t="shared" si="1"/>
        <v>37</v>
      </c>
      <c r="AS4" s="12">
        <f t="shared" si="1"/>
        <v>38</v>
      </c>
      <c r="AT4" s="12">
        <f t="shared" si="1"/>
        <v>39</v>
      </c>
      <c r="AU4" s="12">
        <f t="shared" si="1"/>
        <v>40</v>
      </c>
      <c r="AV4" s="12">
        <f t="shared" si="1"/>
        <v>41</v>
      </c>
      <c r="AW4" s="12">
        <f t="shared" si="1"/>
        <v>42</v>
      </c>
      <c r="AX4" s="12">
        <f t="shared" si="1"/>
        <v>43</v>
      </c>
      <c r="AY4" s="12">
        <f t="shared" si="1"/>
        <v>44</v>
      </c>
      <c r="AZ4" s="12">
        <f t="shared" si="1"/>
        <v>45</v>
      </c>
      <c r="BA4" s="12">
        <f t="shared" si="1"/>
        <v>46</v>
      </c>
      <c r="BB4" s="12">
        <f t="shared" si="1"/>
        <v>47</v>
      </c>
      <c r="BC4" s="12">
        <f t="shared" si="1"/>
        <v>48</v>
      </c>
      <c r="BD4" s="12">
        <f t="shared" si="1"/>
        <v>49</v>
      </c>
      <c r="BE4" s="12">
        <f t="shared" si="1"/>
        <v>50</v>
      </c>
      <c r="BF4" s="12">
        <f t="shared" si="1"/>
        <v>51</v>
      </c>
      <c r="BG4" s="12">
        <f t="shared" si="1"/>
        <v>52</v>
      </c>
      <c r="BH4" s="12">
        <f t="shared" si="1"/>
        <v>53</v>
      </c>
      <c r="BI4" s="12">
        <f t="shared" si="1"/>
        <v>54</v>
      </c>
      <c r="BJ4" s="12">
        <f t="shared" si="1"/>
        <v>55</v>
      </c>
      <c r="BK4" s="12">
        <f t="shared" si="1"/>
        <v>56</v>
      </c>
      <c r="BL4" s="12">
        <f t="shared" si="1"/>
        <v>57</v>
      </c>
      <c r="BM4" s="12">
        <f t="shared" si="1"/>
        <v>58</v>
      </c>
      <c r="BN4" s="12">
        <f t="shared" si="1"/>
        <v>59</v>
      </c>
      <c r="BO4" s="12">
        <f t="shared" si="1"/>
        <v>60</v>
      </c>
      <c r="BP4" s="12"/>
    </row>
    <row r="5" spans="1:78">
      <c r="A5" t="s">
        <v>136</v>
      </c>
      <c r="G5" s="17">
        <f>1.9575*18330751*Variables!E5</f>
        <v>35882445.082500003</v>
      </c>
    </row>
    <row r="6" spans="1:78">
      <c r="A6" t="s">
        <v>137</v>
      </c>
      <c r="G6" s="17">
        <f>-C29</f>
        <v>-6000000</v>
      </c>
    </row>
    <row r="7" spans="1:78" s="12" customFormat="1">
      <c r="A7" s="12" t="s">
        <v>253</v>
      </c>
      <c r="G7" s="18">
        <f>NPV(D2,H7:BO7)</f>
        <v>127212751.24887633</v>
      </c>
      <c r="H7" s="12">
        <f>$I$40*Noise!D16</f>
        <v>3136488.6392225097</v>
      </c>
      <c r="I7" s="12">
        <f>$I$40*Noise!E16</f>
        <v>3222788.2011373858</v>
      </c>
      <c r="J7" s="12">
        <f>$I$40*Noise!F16</f>
        <v>3302590.0426025474</v>
      </c>
      <c r="K7" s="12">
        <f>$I$40*Noise!G16</f>
        <v>3384367.916466916</v>
      </c>
      <c r="L7" s="12">
        <f>$I$40*Noise!H16</f>
        <v>3468170.7527297381</v>
      </c>
      <c r="M7" s="12">
        <f>$I$40*Noise!I16</f>
        <v>3554048.6929821484</v>
      </c>
      <c r="N7" s="12">
        <f>$I$40*Noise!J16</f>
        <v>3642053.1204082915</v>
      </c>
      <c r="O7" s="12">
        <f>$I$40*Noise!K16</f>
        <v>3732236.6905293269</v>
      </c>
      <c r="P7" s="12">
        <f>$I$40*Noise!L16</f>
        <v>3824653.3627087045</v>
      </c>
      <c r="Q7" s="12">
        <f>$I$40*Noise!M16</f>
        <v>3919358.432437568</v>
      </c>
      <c r="R7" s="12">
        <f>$I$40*Noise!N16</f>
        <v>4016408.564419602</v>
      </c>
      <c r="S7" s="12">
        <f>$I$40*Noise!O16</f>
        <v>4115861.8264751146</v>
      </c>
      <c r="T7" s="12">
        <f>$I$40*Noise!P16</f>
        <v>4195111.9759855056</v>
      </c>
      <c r="U7" s="12">
        <f>$I$40*Noise!Q16</f>
        <v>4275888.0722993137</v>
      </c>
      <c r="V7" s="12">
        <f>$I$40*Noise!R16</f>
        <v>4358219.497236779</v>
      </c>
      <c r="W7" s="12">
        <f>$I$40*Noise!S16</f>
        <v>4442136.1983595937</v>
      </c>
      <c r="X7" s="12">
        <f>$I$40*Noise!T16</f>
        <v>4527668.6998641472</v>
      </c>
      <c r="Y7" s="12">
        <f>$I$40*Noise!U16</f>
        <v>4614848.1136845192</v>
      </c>
      <c r="Z7" s="12">
        <f>$I$40*Noise!V16</f>
        <v>4703706.1508092629</v>
      </c>
      <c r="AA7" s="12">
        <f>$I$40*Noise!W16</f>
        <v>4794275.1328160819</v>
      </c>
      <c r="AB7" s="12">
        <f>$I$40*Noise!X16</f>
        <v>4886588.0036286125</v>
      </c>
      <c r="AC7" s="12">
        <f>$I$40*Noise!Y16</f>
        <v>4980678.3414995773</v>
      </c>
      <c r="AD7" s="12">
        <f>$I$40*Noise!Z16</f>
        <v>5090270.5944510838</v>
      </c>
      <c r="AE7" s="12">
        <f>$I$40*Noise!AA16</f>
        <v>5186275.1989683341</v>
      </c>
      <c r="AF7" s="12">
        <f>$I$40*Noise!AB16</f>
        <v>5284090.489954506</v>
      </c>
      <c r="AG7" s="12">
        <f>$I$40*Noise!AC16</f>
        <v>5383750.6177037954</v>
      </c>
      <c r="AH7" s="12">
        <f>$I$40*Noise!AD16</f>
        <v>5485290.3765990483</v>
      </c>
      <c r="AI7" s="12">
        <f>$I$40*Noise!AE16</f>
        <v>5599179.064444758</v>
      </c>
      <c r="AJ7" s="12">
        <f>$I$40*Noise!AF16</f>
        <v>5715432.3733640499</v>
      </c>
      <c r="AK7" s="12">
        <f>$I$40*Noise!AG16</f>
        <v>5834099.3989512902</v>
      </c>
      <c r="AL7" s="12">
        <f>$I$40*Noise!AH16</f>
        <v>5955230.2561512291</v>
      </c>
      <c r="AM7" s="12">
        <f>$I$40*Noise!AI16</f>
        <v>6078876.1004233155</v>
      </c>
      <c r="AN7" s="12">
        <f>$I$40*Noise!AJ16</f>
        <v>6205089.1493454594</v>
      </c>
      <c r="AO7" s="12">
        <f>$I$40*Noise!AK16</f>
        <v>6333922.7046663305</v>
      </c>
      <c r="AP7" s="12">
        <f>$I$40*Noise!AL16</f>
        <v>6465431.1748155197</v>
      </c>
      <c r="AQ7" s="12">
        <f>$I$40*Noise!AM16</f>
        <v>6599670.0978810713</v>
      </c>
      <c r="AR7" s="12">
        <f>$I$40*Noise!AN16</f>
        <v>6736696.1650640946</v>
      </c>
      <c r="AS7" s="12">
        <f>$I$40*Noise!AO16</f>
        <v>6876567.2446203372</v>
      </c>
      <c r="AT7" s="12">
        <f>$I$40*Noise!AP16</f>
        <v>7019342.4062988665</v>
      </c>
      <c r="AU7" s="12">
        <f>$I$40*Noise!AQ16</f>
        <v>7165081.9462881405</v>
      </c>
      <c r="AV7" s="12">
        <f>$I$40*Noise!AR16</f>
        <v>7313847.4126800392</v>
      </c>
      <c r="AW7" s="12">
        <f>$I$40*Noise!AS16</f>
        <v>7465701.631462587</v>
      </c>
      <c r="AX7" s="12">
        <f>$I$40*Noise!AT16</f>
        <v>7603076.9246563921</v>
      </c>
      <c r="AY7" s="12">
        <f>$I$40*Noise!AU16</f>
        <v>7742980.0407008398</v>
      </c>
      <c r="AZ7" s="12">
        <f>$I$40*Noise!AV16</f>
        <v>7885457.4936976694</v>
      </c>
      <c r="BA7" s="12">
        <f>$I$40*Noise!AW16</f>
        <v>8030556.6536478642</v>
      </c>
      <c r="BB7" s="12">
        <f>$I$40*Noise!AX16</f>
        <v>8178325.7622009246</v>
      </c>
      <c r="BC7" s="12">
        <f>$I$40*Noise!AY16</f>
        <v>8328813.9486939469</v>
      </c>
      <c r="BD7" s="12">
        <f>$I$40*Noise!AZ16</f>
        <v>8482071.2464858424</v>
      </c>
      <c r="BE7" s="12">
        <f>$I$40*Noise!BA16</f>
        <v>8638148.6095920969</v>
      </c>
      <c r="BF7" s="12">
        <f>$I$40*Noise!BB16</f>
        <v>8797097.9296256509</v>
      </c>
      <c r="BG7" s="12">
        <f>$I$40*Noise!BC16</f>
        <v>8958972.0530494936</v>
      </c>
      <c r="BH7" s="12">
        <f>$I$40*Noise!BD16</f>
        <v>9127914.0767454635</v>
      </c>
      <c r="BI7" s="12">
        <f>$I$40*Noise!BE16</f>
        <v>9300041.890864877</v>
      </c>
      <c r="BJ7" s="12">
        <f>$I$40*Noise!BF16</f>
        <v>9475415.5708134845</v>
      </c>
      <c r="BK7" s="12">
        <f>$I$40*Noise!BG16</f>
        <v>9654096.3248569854</v>
      </c>
      <c r="BL7" s="12">
        <f>$I$40*Noise!BH16</f>
        <v>9836146.5154837109</v>
      </c>
      <c r="BM7" s="12">
        <f>$I$40*Noise!BI16</f>
        <v>10021629.681170143</v>
      </c>
      <c r="BN7" s="12">
        <f>$I$40*Noise!BJ16</f>
        <v>10210610.558556875</v>
      </c>
      <c r="BO7" s="12">
        <f>$I$40*Noise!BK16</f>
        <v>10403155.10504275</v>
      </c>
    </row>
    <row r="8" spans="1:78">
      <c r="A8" t="s">
        <v>245</v>
      </c>
      <c r="G8" s="18">
        <f>NPV(D2,H8:BO8)</f>
        <v>-64969562.878607154</v>
      </c>
      <c r="H8">
        <f>$C$40*Noise!D15</f>
        <v>-1601854.325635487</v>
      </c>
      <c r="I8" s="12">
        <f>$C$40*Noise!E15</f>
        <v>-1645928.8760180636</v>
      </c>
      <c r="J8" s="12">
        <f>$C$40*Noise!F15</f>
        <v>-1686684.9378593503</v>
      </c>
      <c r="K8" s="12">
        <f>$C$40*Noise!G15</f>
        <v>-1728450.1906814952</v>
      </c>
      <c r="L8" s="12">
        <f>$C$40*Noise!H15</f>
        <v>-1771249.623808535</v>
      </c>
      <c r="M8" s="12">
        <f>$C$40*Noise!I15</f>
        <v>-1815108.8453436366</v>
      </c>
      <c r="N8" s="12">
        <f>$C$40*Noise!J15</f>
        <v>-1860054.0974911419</v>
      </c>
      <c r="O8" s="12">
        <f>$C$40*Noise!K15</f>
        <v>-1906112.2722580179</v>
      </c>
      <c r="P8" s="12">
        <f>$C$40*Noise!L15</f>
        <v>-1953310.9275440993</v>
      </c>
      <c r="Q8" s="12">
        <f>$C$40*Noise!M15</f>
        <v>-2001678.3036307527</v>
      </c>
      <c r="R8" s="12">
        <f>$C$40*Noise!N15</f>
        <v>-2051243.340077833</v>
      </c>
      <c r="S8" s="12">
        <f>$C$40*Noise!O15</f>
        <v>-2102035.6930390331</v>
      </c>
      <c r="T8" s="12">
        <f>$C$40*Noise!P15</f>
        <v>-2142509.9970785803</v>
      </c>
      <c r="U8" s="12">
        <f>$C$40*Noise!Q15</f>
        <v>-2183763.6262708409</v>
      </c>
      <c r="V8" s="12">
        <f>$C$40*Noise!R15</f>
        <v>-2225811.5863758405</v>
      </c>
      <c r="W8" s="12">
        <f>$C$40*Noise!S15</f>
        <v>-2268669.1720867082</v>
      </c>
      <c r="X8" s="12">
        <f>$C$40*Noise!T15</f>
        <v>-2312351.9725930272</v>
      </c>
      <c r="Y8" s="12">
        <f>$C$40*Noise!U15</f>
        <v>-2356875.8772513103</v>
      </c>
      <c r="Z8" s="12">
        <f>$C$40*Noise!V15</f>
        <v>-2402257.0813646573</v>
      </c>
      <c r="AA8" s="12">
        <f>$C$40*Noise!W15</f>
        <v>-2448512.092073699</v>
      </c>
      <c r="AB8" s="12">
        <f>$C$40*Noise!X15</f>
        <v>-2495657.7343609729</v>
      </c>
      <c r="AC8" s="12">
        <f>$C$40*Noise!Y15</f>
        <v>-2543711.1571709053</v>
      </c>
      <c r="AD8" s="12">
        <f>$C$40*Noise!Z15</f>
        <v>-2599681.6530468366</v>
      </c>
      <c r="AE8" s="12">
        <f>$C$40*Noise!AA15</f>
        <v>-2648712.7220912962</v>
      </c>
      <c r="AF8" s="12">
        <f>$C$40*Noise!AB15</f>
        <v>-2698668.5373364398</v>
      </c>
      <c r="AG8" s="12">
        <f>$C$40*Noise!AC15</f>
        <v>-2749566.5398773188</v>
      </c>
      <c r="AH8" s="12">
        <f>$C$40*Noise!AD15</f>
        <v>-2801424.4997552359</v>
      </c>
      <c r="AI8" s="12">
        <f>$C$40*Noise!AE15</f>
        <v>-2859589.2528441628</v>
      </c>
      <c r="AJ8" s="12">
        <f>$C$40*Noise!AF15</f>
        <v>-2918961.6552922609</v>
      </c>
      <c r="AK8" s="12">
        <f>$C$40*Noise!AG15</f>
        <v>-2979566.7809956144</v>
      </c>
      <c r="AL8" s="12">
        <f>$C$40*Noise!AH15</f>
        <v>-3041430.2244486576</v>
      </c>
      <c r="AM8" s="12">
        <f>$C$40*Noise!AI15</f>
        <v>-3104578.1115531335</v>
      </c>
      <c r="AN8" s="12">
        <f>$C$40*Noise!AJ15</f>
        <v>-3169037.1106514679</v>
      </c>
      <c r="AO8" s="12">
        <f>$C$40*Noise!AK15</f>
        <v>-3234834.4437892321</v>
      </c>
      <c r="AP8" s="12">
        <f>$C$40*Noise!AL15</f>
        <v>-3301997.8982114359</v>
      </c>
      <c r="AQ8" s="12">
        <f>$C$40*Noise!AM15</f>
        <v>-3370555.8380975206</v>
      </c>
      <c r="AR8" s="12">
        <f>$C$40*Noise!AN15</f>
        <v>-3440537.2165399925</v>
      </c>
      <c r="AS8" s="12">
        <f>$C$40*Noise!AO15</f>
        <v>-3511971.5877717701</v>
      </c>
      <c r="AT8" s="12">
        <f>$C$40*Noise!AP15</f>
        <v>-3584889.1196474</v>
      </c>
      <c r="AU8" s="12">
        <f>$C$40*Noise!AQ15</f>
        <v>-3659320.6063834121</v>
      </c>
      <c r="AV8" s="12">
        <f>$C$40*Noise!AR15</f>
        <v>-3735297.481563204</v>
      </c>
      <c r="AW8" s="12">
        <f>$C$40*Noise!AS15</f>
        <v>-3812851.8314119312</v>
      </c>
      <c r="AX8" s="12">
        <f>$C$40*Noise!AT15</f>
        <v>-3883011.5650982265</v>
      </c>
      <c r="AY8" s="12">
        <f>$C$40*Noise!AU15</f>
        <v>-3954462.2978709219</v>
      </c>
      <c r="AZ8" s="12">
        <f>$C$40*Noise!AV15</f>
        <v>-4027227.7852170113</v>
      </c>
      <c r="BA8" s="12">
        <f>$C$40*Noise!AW15</f>
        <v>-4101332.2197447615</v>
      </c>
      <c r="BB8" s="12">
        <f>$C$40*Noise!AX15</f>
        <v>-4176800.2392271128</v>
      </c>
      <c r="BC8" s="12">
        <f>$C$40*Noise!AY15</f>
        <v>-4253656.934793096</v>
      </c>
      <c r="BD8" s="12">
        <f>$C$40*Noise!AZ15</f>
        <v>-4331927.8592699682</v>
      </c>
      <c r="BE8" s="12">
        <f>$C$40*Noise!BA15</f>
        <v>-4411639.0356788551</v>
      </c>
      <c r="BF8" s="12">
        <f>$C$40*Noise!BB15</f>
        <v>-4492816.9658867214</v>
      </c>
      <c r="BG8" s="12">
        <f>$C$40*Noise!BC15</f>
        <v>-4575488.6394175431</v>
      </c>
      <c r="BH8" s="12">
        <f>$C$40*Noise!BD15</f>
        <v>-4661770.0013376316</v>
      </c>
      <c r="BI8" s="12">
        <f>$C$40*Noise!BE15</f>
        <v>-4749678.3967838567</v>
      </c>
      <c r="BJ8" s="12">
        <f>$C$40*Noise!BF15</f>
        <v>-4839244.5072155287</v>
      </c>
      <c r="BK8" s="12">
        <f>$C$40*Noise!BG15</f>
        <v>-4930499.592661445</v>
      </c>
      <c r="BL8" s="12">
        <f>$C$40*Noise!BH15</f>
        <v>-5023475.5026301397</v>
      </c>
      <c r="BM8" s="12">
        <f>$C$40*Noise!BI15</f>
        <v>-5118204.6872258876</v>
      </c>
      <c r="BN8" s="12">
        <f>$C$40*Noise!BJ15</f>
        <v>-5214720.2084743129</v>
      </c>
      <c r="BO8" s="12">
        <f>$C$40*Noise!BK15</f>
        <v>-5313055.751861576</v>
      </c>
    </row>
    <row r="9" spans="1:78">
      <c r="A9" t="s">
        <v>138</v>
      </c>
      <c r="G9" s="18">
        <f>NPV(D2,H9:BO9)</f>
        <v>102822855.55171899</v>
      </c>
      <c r="H9">
        <f>RideQuality!U40*$E$48</f>
        <v>2590175.817432683</v>
      </c>
      <c r="I9" s="12">
        <f>RideQuality!V40*$E$48</f>
        <v>2714504.2566694524</v>
      </c>
      <c r="J9" s="12">
        <f>RideQuality!W40*$E$48</f>
        <v>2798653.8886262053</v>
      </c>
      <c r="K9" s="12">
        <f>RideQuality!X40*$E$48</f>
        <v>2877016.1975077386</v>
      </c>
      <c r="L9" s="12">
        <f>RideQuality!Y40*$E$48</f>
        <v>2954695.6348404475</v>
      </c>
      <c r="M9" s="12">
        <f>RideQuality!Z40*$E$48</f>
        <v>3052200.5907901824</v>
      </c>
      <c r="N9" s="12">
        <f>RideQuality!AA40*$E$48</f>
        <v>3162079.812058629</v>
      </c>
      <c r="O9" s="12">
        <f>RideQuality!AB40*$E$48</f>
        <v>3282238.8449168564</v>
      </c>
      <c r="P9" s="12">
        <f>RideQuality!AC40*$E$48</f>
        <v>3410246.1598686143</v>
      </c>
      <c r="Q9" s="12">
        <f>RideQuality!AD40*$E$48</f>
        <v>3538130.3908636873</v>
      </c>
      <c r="R9" s="12">
        <f>RideQuality!AE40*$E$48</f>
        <v>3665503.0849347794</v>
      </c>
      <c r="S9" s="12">
        <f>RideQuality!AF40*$E$48</f>
        <v>3791962.9413650292</v>
      </c>
      <c r="T9" s="12">
        <f>RideQuality!AG40*$E$48</f>
        <v>3917097.7184300753</v>
      </c>
      <c r="U9" s="12">
        <f>RideQuality!AH40*$E$48</f>
        <v>4046361.9431382674</v>
      </c>
      <c r="V9" s="12">
        <f>RideQuality!AI40*$E$48</f>
        <v>4179891.8872618293</v>
      </c>
      <c r="W9" s="12">
        <f>RideQuality!AJ40*$E$48</f>
        <v>4317828.3195414701</v>
      </c>
      <c r="X9" s="12">
        <f>RideQuality!AK40*$E$48</f>
        <v>4460316.6540863393</v>
      </c>
      <c r="Y9" s="12">
        <f>RideQuality!AL40*$E$48</f>
        <v>4607507.1036711875</v>
      </c>
      <c r="Z9" s="12">
        <f>RideQuality!AM40*$E$48</f>
        <v>4759554.8380923355</v>
      </c>
      <c r="AA9" s="12">
        <f>RideQuality!AN40*$E$48</f>
        <v>4926139.2574255681</v>
      </c>
      <c r="AB9" s="12">
        <f>RideQuality!AO40*$E$48</f>
        <v>4926139.2574255681</v>
      </c>
      <c r="AC9" s="12">
        <f>RideQuality!AP40*$E$48</f>
        <v>4926139.2574255681</v>
      </c>
      <c r="AD9" s="12">
        <f>RideQuality!AQ40*$E$48</f>
        <v>4926139.2574255681</v>
      </c>
      <c r="AE9" s="12">
        <f>RideQuality!AR40*$E$48</f>
        <v>4926139.2574255681</v>
      </c>
      <c r="AF9" s="12">
        <f>RideQuality!AS40*$E$48</f>
        <v>4926139.2574255681</v>
      </c>
      <c r="AG9" s="12">
        <f>RideQuality!AT40*$E$48</f>
        <v>4926139.2574255681</v>
      </c>
      <c r="AH9" s="12">
        <f>RideQuality!AU40*$E$48</f>
        <v>4926139.2574255681</v>
      </c>
      <c r="AI9" s="12">
        <f>RideQuality!AV40*$E$48</f>
        <v>4926139.2574255681</v>
      </c>
      <c r="AJ9" s="12">
        <f>RideQuality!AW40*$E$48</f>
        <v>4926139.2574255681</v>
      </c>
      <c r="AK9" s="12">
        <f>RideQuality!AX40*$E$48</f>
        <v>4926139.2574255681</v>
      </c>
      <c r="AL9" s="12">
        <f>RideQuality!AY40*$E$48</f>
        <v>4926139.2574255681</v>
      </c>
      <c r="AM9" s="12">
        <f>RideQuality!AZ40*$E$48</f>
        <v>4926139.2574255681</v>
      </c>
      <c r="AN9" s="12">
        <f>RideQuality!BA40*$E$48</f>
        <v>4926139.2574255681</v>
      </c>
      <c r="AO9" s="12">
        <f>RideQuality!BB40*$E$48</f>
        <v>4926139.2574255681</v>
      </c>
      <c r="AP9" s="12">
        <f>RideQuality!BC40*$E$48</f>
        <v>4926139.2574255681</v>
      </c>
      <c r="AQ9" s="12">
        <f>RideQuality!BD40*$E$48</f>
        <v>4926139.2574255681</v>
      </c>
      <c r="AR9" s="12">
        <f>RideQuality!BE40*$E$48</f>
        <v>4926139.2574255681</v>
      </c>
      <c r="AS9" s="12">
        <f>RideQuality!BF40*$E$48</f>
        <v>4926139.2574255681</v>
      </c>
      <c r="AT9" s="12">
        <f>RideQuality!BG40*$E$48</f>
        <v>4926139.2574255681</v>
      </c>
      <c r="AU9" s="12">
        <f>RideQuality!BH40*$E$48</f>
        <v>4926139.2574255681</v>
      </c>
      <c r="AV9" s="12">
        <f>RideQuality!BI40*$E$48</f>
        <v>4926139.2574255681</v>
      </c>
      <c r="AW9" s="12">
        <f>RideQuality!BJ40*$E$48</f>
        <v>4926139.2574255681</v>
      </c>
      <c r="AX9" s="12">
        <f>RideQuality!BK40*$E$48</f>
        <v>4926139.2574255681</v>
      </c>
      <c r="AY9" s="12">
        <f>RideQuality!BL40*$E$48</f>
        <v>4926139.2574255681</v>
      </c>
      <c r="AZ9" s="12">
        <f>RideQuality!BM40*$E$48</f>
        <v>4926139.2574255681</v>
      </c>
      <c r="BA9" s="12">
        <f>RideQuality!BN40*$E$48</f>
        <v>4926139.2574255681</v>
      </c>
      <c r="BB9" s="12">
        <f>RideQuality!BO40*$E$48</f>
        <v>4926139.2574255681</v>
      </c>
      <c r="BC9" s="12">
        <f>RideQuality!BP40*$E$48</f>
        <v>4926139.2574255681</v>
      </c>
      <c r="BD9" s="12">
        <f>RideQuality!BQ40*$E$48</f>
        <v>4926139.2574255681</v>
      </c>
      <c r="BE9" s="12">
        <f>RideQuality!BR40*$E$48</f>
        <v>4926139.2574255681</v>
      </c>
      <c r="BF9" s="12">
        <f>RideQuality!BS40*$E$48</f>
        <v>4926139.2574255681</v>
      </c>
      <c r="BG9" s="12">
        <f>RideQuality!BT40*$E$48</f>
        <v>4926139.2574255681</v>
      </c>
      <c r="BH9" s="12">
        <f>RideQuality!BU40*$E$48</f>
        <v>4926139.2574255681</v>
      </c>
      <c r="BI9" s="12">
        <f>RideQuality!BV40*$E$48</f>
        <v>4926139.2574255681</v>
      </c>
      <c r="BJ9" s="12">
        <f>RideQuality!BW40*$E$48</f>
        <v>4926139.2574255681</v>
      </c>
      <c r="BK9" s="12">
        <f>RideQuality!BX40*$E$48</f>
        <v>4926139.2574255681</v>
      </c>
      <c r="BL9" s="12">
        <f>RideQuality!BY40*$E$48</f>
        <v>4926139.2574255681</v>
      </c>
      <c r="BM9" s="12">
        <f>RideQuality!BZ40*$E$48</f>
        <v>4926139.2574255681</v>
      </c>
      <c r="BN9" s="12">
        <f>RideQuality!CA40*$E$48</f>
        <v>4926139.2574255681</v>
      </c>
      <c r="BO9" s="12">
        <f>RideQuality!CB40*$E$48</f>
        <v>4926139.2574255681</v>
      </c>
    </row>
    <row r="10" spans="1:78">
      <c r="A10" t="s">
        <v>139</v>
      </c>
      <c r="G10" s="18">
        <f>NPV(D2,H10:BO10)</f>
        <v>15985924.935317483</v>
      </c>
      <c r="H10">
        <f>Reliability!R51*$D$44</f>
        <v>316301.96994245308</v>
      </c>
      <c r="I10" s="12">
        <f>Reliability!S51*$D$44</f>
        <v>326047.58541547257</v>
      </c>
      <c r="J10" s="12">
        <f>Reliability!T51*$D$44</f>
        <v>329550.99169741489</v>
      </c>
      <c r="K10" s="12">
        <f>Reliability!U51*$D$44</f>
        <v>338898.21641173871</v>
      </c>
      <c r="L10" s="12">
        <f>Reliability!V51*$D$44</f>
        <v>353457.80025711027</v>
      </c>
      <c r="M10" s="12">
        <f>Reliability!W51*$D$44</f>
        <v>365102.49784144002</v>
      </c>
      <c r="N10" s="12">
        <f>Reliability!X51*$D$44</f>
        <v>379298.26703127241</v>
      </c>
      <c r="O10" s="12">
        <f>Reliability!Y51*$D$44</f>
        <v>394183.5698210788</v>
      </c>
      <c r="P10" s="12">
        <f>Reliability!Z51*$D$44</f>
        <v>409711.51376015326</v>
      </c>
      <c r="Q10" s="12">
        <f>Reliability!AA51*$D$44</f>
        <v>426102.57077089074</v>
      </c>
      <c r="R10" s="12">
        <f>Reliability!AB51*$D$44</f>
        <v>443302.63252348319</v>
      </c>
      <c r="S10" s="12">
        <f>Reliability!AC51*$D$44</f>
        <v>461364.34627354622</v>
      </c>
      <c r="T10" s="12">
        <f>Reliability!AD51*$D$44</f>
        <v>480341.97808733158</v>
      </c>
      <c r="U10" s="12">
        <f>Reliability!AE51*$D$44</f>
        <v>500170.83427017881</v>
      </c>
      <c r="V10" s="12">
        <f>Reliability!AF51*$D$44</f>
        <v>520897.57871562545</v>
      </c>
      <c r="W10" s="12">
        <f>Reliability!AG51*$D$44</f>
        <v>542570.6361232464</v>
      </c>
      <c r="X10" s="12">
        <f>Reliability!AH51*$D$44</f>
        <v>565240.8668087332</v>
      </c>
      <c r="Y10" s="12">
        <f>Reliability!AI51*$D$44</f>
        <v>588959.9786082881</v>
      </c>
      <c r="Z10" s="12">
        <f>Reliability!AJ51*$D$44</f>
        <v>613779.64462145441</v>
      </c>
      <c r="AA10" s="12">
        <f>Reliability!AK51*$D$44</f>
        <v>639754.24224429578</v>
      </c>
      <c r="AB10" s="12">
        <f>Reliability!AL51*$D$44</f>
        <v>652581.3437312342</v>
      </c>
      <c r="AC10" s="12">
        <f>Reliability!AM51*$D$44</f>
        <v>665771.22759773349</v>
      </c>
      <c r="AD10" s="12">
        <f>Reliability!AN51*$D$44</f>
        <v>679329.38925976353</v>
      </c>
      <c r="AE10" s="12">
        <f>Reliability!AO51*$D$44</f>
        <v>693259.36830628687</v>
      </c>
      <c r="AF10" s="12">
        <f>Reliability!AP51*$D$44</f>
        <v>707561.62297235243</v>
      </c>
      <c r="AG10" s="12">
        <f>Reliability!AQ51*$D$44</f>
        <v>722235.7706401886</v>
      </c>
      <c r="AH10" s="12">
        <f>Reliability!AR51*$D$44</f>
        <v>737280.92557112314</v>
      </c>
      <c r="AI10" s="12">
        <f>Reliability!AS51*$D$44</f>
        <v>752695.5952965928</v>
      </c>
      <c r="AJ10" s="12">
        <f>Reliability!AT51*$D$44</f>
        <v>768530.18210447731</v>
      </c>
      <c r="AK10" s="12">
        <f>Reliability!AU51*$D$44</f>
        <v>784697.88384081761</v>
      </c>
      <c r="AL10" s="12">
        <f>Reliability!AV51*$D$44</f>
        <v>801205.70830170531</v>
      </c>
      <c r="AM10" s="12">
        <f>Reliability!AW51*$D$44</f>
        <v>818060.8107074484</v>
      </c>
      <c r="AN10" s="12">
        <f>Reliability!AX51*$D$44</f>
        <v>835418.34170695685</v>
      </c>
      <c r="AO10" s="12">
        <f>Reliability!AY51*$D$44</f>
        <v>853144.16303214384</v>
      </c>
      <c r="AP10" s="12">
        <f>Reliability!AZ51*$D$44</f>
        <v>871246.0890296424</v>
      </c>
      <c r="AQ10" s="12">
        <f>Reliability!BA51*$D$44</f>
        <v>889732.09985010338</v>
      </c>
      <c r="AR10" s="12">
        <f>Reliability!BB51*$D$44</f>
        <v>908610.34496620041</v>
      </c>
      <c r="AS10" s="12">
        <f>Reliability!BC51*$D$44</f>
        <v>928149.65465596796</v>
      </c>
      <c r="AT10" s="12">
        <f>Reliability!BD51*$D$44</f>
        <v>948109.14954973222</v>
      </c>
      <c r="AU10" s="12">
        <f>Reliability!BE51*$D$44</f>
        <v>968497.86556577368</v>
      </c>
      <c r="AV10" s="12">
        <f>Reliability!BF51*$D$44</f>
        <v>989325.0329362615</v>
      </c>
      <c r="AW10" s="12">
        <f>Reliability!BG51*$D$44</f>
        <v>1010600.0803858925</v>
      </c>
      <c r="AX10" s="12">
        <f>Reliability!BH51*$D$44</f>
        <v>1032693.3503383561</v>
      </c>
      <c r="AY10" s="12">
        <f>Reliability!BI51*$D$44</f>
        <v>1055269.6131053548</v>
      </c>
      <c r="AZ10" s="12">
        <f>Reliability!BJ51*$D$44</f>
        <v>1078339.4276516468</v>
      </c>
      <c r="BA10" s="12">
        <f>Reliability!BK51*$D$44</f>
        <v>1101913.5837771825</v>
      </c>
      <c r="BB10" s="12">
        <f>Reliability!BL51*$D$44</f>
        <v>1126003.1071635059</v>
      </c>
      <c r="BC10" s="12">
        <f>Reliability!BM51*$D$44</f>
        <v>1150913.5738323217</v>
      </c>
      <c r="BD10" s="12">
        <f>Reliability!BN51*$D$44</f>
        <v>1176375.1325413915</v>
      </c>
      <c r="BE10" s="12">
        <f>Reliability!BO51*$D$44</f>
        <v>1202399.9750509406</v>
      </c>
      <c r="BF10" s="12">
        <f>Reliability!BP51*$D$44</f>
        <v>1229000.5628384319</v>
      </c>
      <c r="BG10" s="12">
        <f>Reliability!BQ51*$D$44</f>
        <v>1256189.6330654805</v>
      </c>
      <c r="BH10" s="12">
        <f>Reliability!BR51*$D$44</f>
        <v>1284053.537242509</v>
      </c>
      <c r="BI10" s="12">
        <f>Reliability!BS51*$D$44</f>
        <v>1312483.618456841</v>
      </c>
      <c r="BJ10" s="12">
        <f>Reliability!BT51*$D$44</f>
        <v>1341543.1668190861</v>
      </c>
      <c r="BK10" s="12">
        <f>Reliability!BU51*$D$44</f>
        <v>1371246.1192887335</v>
      </c>
      <c r="BL10" s="12">
        <f>Reliability!BV51*$D$44</f>
        <v>1401606.7214018947</v>
      </c>
      <c r="BM10" s="12">
        <f>Reliability!BW51*$D$44</f>
        <v>1432388.1186489793</v>
      </c>
      <c r="BN10" s="12">
        <f>Reliability!BX51*$D$44</f>
        <v>1463845.5217984468</v>
      </c>
      <c r="BO10" s="12">
        <f>Reliability!BY51*$D$44</f>
        <v>1495993.7769593291</v>
      </c>
    </row>
    <row r="11" spans="1:78">
      <c r="A11" t="s">
        <v>140</v>
      </c>
      <c r="E11" t="s">
        <v>168</v>
      </c>
      <c r="G11" s="18">
        <f>AH11/(1 +C2/100)^AH4 + BI11/(1 + C2/100)^BI4</f>
        <v>0</v>
      </c>
      <c r="AH11">
        <f>Tickets!AC276</f>
        <v>0</v>
      </c>
      <c r="BI11">
        <f>Tickets!BD276</f>
        <v>0</v>
      </c>
    </row>
    <row r="12" spans="1:78">
      <c r="E12" t="s">
        <v>169</v>
      </c>
      <c r="G12" s="18">
        <f>AK12/(1 +C2/100)^AK4 + BO12/(1 + C2/100)^BO4</f>
        <v>0</v>
      </c>
      <c r="AK12">
        <f>Tickets!AF277</f>
        <v>0</v>
      </c>
      <c r="BO12">
        <f>Tickets!BJ277</f>
        <v>0</v>
      </c>
    </row>
    <row r="13" spans="1:78">
      <c r="G13" s="17">
        <f>G11-G12</f>
        <v>0</v>
      </c>
      <c r="O13" s="17"/>
    </row>
    <row r="14" spans="1:78" ht="14.65" thickBot="1">
      <c r="N14" s="17"/>
      <c r="O14" s="17"/>
    </row>
    <row r="15" spans="1:78" ht="14.65" thickBot="1">
      <c r="A15" t="s">
        <v>189</v>
      </c>
      <c r="G15" s="24">
        <f>G5 +G6 + G7 + G8  + G9 + G10 + G13</f>
        <v>210934413.93980566</v>
      </c>
      <c r="K15" s="17"/>
      <c r="M15" s="17"/>
      <c r="O15" s="17"/>
    </row>
    <row r="17" spans="1:7">
      <c r="A17" t="s">
        <v>205</v>
      </c>
      <c r="G17" s="17">
        <f>G15/60</f>
        <v>3515573.5656634276</v>
      </c>
    </row>
    <row r="28" spans="1:7">
      <c r="A28" s="12" t="s">
        <v>157</v>
      </c>
      <c r="B28" s="12" t="s">
        <v>158</v>
      </c>
    </row>
    <row r="29" spans="1:7">
      <c r="A29" s="12">
        <v>400000</v>
      </c>
      <c r="B29" s="12">
        <f>15*Variables!E8</f>
        <v>15</v>
      </c>
      <c r="C29">
        <f>A29*B29</f>
        <v>6000000</v>
      </c>
    </row>
    <row r="34" spans="1:9">
      <c r="A34" t="s">
        <v>159</v>
      </c>
    </row>
    <row r="35" spans="1:9">
      <c r="A35">
        <v>119</v>
      </c>
      <c r="B35" t="s">
        <v>160</v>
      </c>
    </row>
    <row r="36" spans="1:9">
      <c r="A36">
        <v>74</v>
      </c>
      <c r="B36" t="s">
        <v>161</v>
      </c>
    </row>
    <row r="39" spans="1:9">
      <c r="A39" t="s">
        <v>255</v>
      </c>
    </row>
    <row r="40" spans="1:9">
      <c r="A40" t="s">
        <v>254</v>
      </c>
      <c r="C40">
        <f>-1*Variables!E11</f>
        <v>-1</v>
      </c>
      <c r="G40" t="s">
        <v>256</v>
      </c>
      <c r="I40" s="12">
        <f>5*Variables!E12</f>
        <v>5</v>
      </c>
    </row>
    <row r="42" spans="1:9">
      <c r="A42" t="s">
        <v>199</v>
      </c>
    </row>
    <row r="43" spans="1:9">
      <c r="A43" t="s">
        <v>225</v>
      </c>
    </row>
    <row r="44" spans="1:9">
      <c r="A44" t="s">
        <v>200</v>
      </c>
      <c r="D44">
        <f>0.03*Variables!E14</f>
        <v>1.4999999999999999E-2</v>
      </c>
      <c r="H44" s="2"/>
      <c r="I44" s="8"/>
    </row>
    <row r="45" spans="1:9">
      <c r="H45" s="2"/>
      <c r="I45" s="8"/>
    </row>
    <row r="47" spans="1:9">
      <c r="A47" t="s">
        <v>241</v>
      </c>
    </row>
    <row r="48" spans="1:9">
      <c r="A48" t="s">
        <v>201</v>
      </c>
      <c r="E48">
        <f>0.01*Variables!E16</f>
        <v>0.01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Variables</vt:lpstr>
      <vt:lpstr>Tickets</vt:lpstr>
      <vt:lpstr>Users</vt:lpstr>
      <vt:lpstr>Reliability</vt:lpstr>
      <vt:lpstr>RideQuality</vt:lpstr>
      <vt:lpstr>Noise</vt:lpstr>
      <vt:lpstr>CBA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2018-11-02T11:51:25Z</dcterms:modified>
</cp:coreProperties>
</file>