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aLaudani/Desktop/"/>
    </mc:Choice>
  </mc:AlternateContent>
  <xr:revisionPtr revIDLastSave="0" documentId="13_ncr:1_{44270E41-A647-EC4B-9A35-1BC4A78E8948}" xr6:coauthVersionLast="47" xr6:coauthVersionMax="47" xr10:uidLastSave="{00000000-0000-0000-0000-000000000000}"/>
  <bookViews>
    <workbookView xWindow="0" yWindow="500" windowWidth="28800" windowHeight="16080" xr2:uid="{E5CD7106-4151-AD48-8024-790B3B5978C8}"/>
  </bookViews>
  <sheets>
    <sheet name="Chapter 3" sheetId="21" r:id="rId1"/>
    <sheet name="Chapter 4" sheetId="22" r:id="rId2"/>
  </sheets>
  <definedNames>
    <definedName name="R_L__1" localSheetId="0">'Chapter 3'!#REF!</definedName>
    <definedName name="R_L__2" localSheetId="0">'Chapter 3'!#REF!</definedName>
    <definedName name="R_L__3" localSheetId="0">'Chapter 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22" l="1"/>
  <c r="N7" i="22"/>
  <c r="AM56" i="22"/>
  <c r="AD56" i="22"/>
  <c r="AA56" i="22"/>
  <c r="AG56" i="22" s="1"/>
  <c r="AM55" i="22"/>
  <c r="AD55" i="22"/>
  <c r="AA55" i="22"/>
  <c r="AG55" i="22" s="1"/>
  <c r="AM54" i="22"/>
  <c r="AD54" i="22"/>
  <c r="AA54" i="22"/>
  <c r="AG54" i="22" s="1"/>
  <c r="AM53" i="22"/>
  <c r="AD53" i="22"/>
  <c r="AA53" i="22"/>
  <c r="AB53" i="22" s="1"/>
  <c r="AM52" i="22"/>
  <c r="AD52" i="22"/>
  <c r="AA52" i="22"/>
  <c r="AB52" i="22" s="1"/>
  <c r="AM51" i="22"/>
  <c r="AD51" i="22"/>
  <c r="AA51" i="22"/>
  <c r="AB51" i="22" s="1"/>
  <c r="AM50" i="22"/>
  <c r="AD50" i="22"/>
  <c r="AA50" i="22"/>
  <c r="AB50" i="22" s="1"/>
  <c r="AM49" i="22"/>
  <c r="AD49" i="22"/>
  <c r="AA49" i="22"/>
  <c r="AG49" i="22" s="1"/>
  <c r="AM48" i="22"/>
  <c r="AD48" i="22"/>
  <c r="AA48" i="22"/>
  <c r="AG48" i="22" s="1"/>
  <c r="AM47" i="22"/>
  <c r="AI48" i="22"/>
  <c r="AD47" i="22"/>
  <c r="AA47" i="22"/>
  <c r="AG47" i="22" s="1"/>
  <c r="AO46" i="22"/>
  <c r="AM46" i="22"/>
  <c r="AI46" i="22"/>
  <c r="AD46" i="22"/>
  <c r="AA46" i="22"/>
  <c r="AG46" i="22" s="1"/>
  <c r="AM42" i="22"/>
  <c r="AD42" i="22"/>
  <c r="AA42" i="22"/>
  <c r="AG42" i="22" s="1"/>
  <c r="AM41" i="22"/>
  <c r="AD41" i="22"/>
  <c r="AA41" i="22"/>
  <c r="AM40" i="22"/>
  <c r="AD40" i="22"/>
  <c r="AA40" i="22"/>
  <c r="AM39" i="22"/>
  <c r="AD39" i="22"/>
  <c r="AA39" i="22"/>
  <c r="AB39" i="22" s="1"/>
  <c r="AM38" i="22"/>
  <c r="AD38" i="22"/>
  <c r="AA38" i="22"/>
  <c r="AB38" i="22" s="1"/>
  <c r="AM37" i="22"/>
  <c r="AD37" i="22"/>
  <c r="AA37" i="22"/>
  <c r="AG37" i="22" s="1"/>
  <c r="AM36" i="22"/>
  <c r="AD36" i="22"/>
  <c r="AA36" i="22"/>
  <c r="AG36" i="22" s="1"/>
  <c r="AM35" i="22"/>
  <c r="AD35" i="22"/>
  <c r="AA35" i="22"/>
  <c r="AG35" i="22" s="1"/>
  <c r="AM34" i="22"/>
  <c r="AD34" i="22"/>
  <c r="AA34" i="22"/>
  <c r="AG34" i="22" s="1"/>
  <c r="AM33" i="22"/>
  <c r="AI34" i="22"/>
  <c r="AD33" i="22"/>
  <c r="AA33" i="22"/>
  <c r="AO32" i="22"/>
  <c r="AM32" i="22"/>
  <c r="AI32" i="22"/>
  <c r="AD32" i="22"/>
  <c r="AA32" i="22"/>
  <c r="AG32" i="22" s="1"/>
  <c r="AM28" i="22"/>
  <c r="AD28" i="22"/>
  <c r="AA28" i="22"/>
  <c r="AB28" i="22" s="1"/>
  <c r="AM27" i="22"/>
  <c r="AD27" i="22"/>
  <c r="AA27" i="22"/>
  <c r="AB27" i="22" s="1"/>
  <c r="AM26" i="22"/>
  <c r="AD26" i="22"/>
  <c r="AA26" i="22"/>
  <c r="AM25" i="22"/>
  <c r="AD25" i="22"/>
  <c r="AA25" i="22"/>
  <c r="AG25" i="22" s="1"/>
  <c r="AM24" i="22"/>
  <c r="AD24" i="22"/>
  <c r="AA24" i="22"/>
  <c r="AB24" i="22" s="1"/>
  <c r="AM23" i="22"/>
  <c r="AD23" i="22"/>
  <c r="AA23" i="22"/>
  <c r="AG23" i="22" s="1"/>
  <c r="AM22" i="22"/>
  <c r="AD22" i="22"/>
  <c r="AA22" i="22"/>
  <c r="AG22" i="22" s="1"/>
  <c r="AM21" i="22"/>
  <c r="AD21" i="22"/>
  <c r="AA21" i="22"/>
  <c r="AG21" i="22" s="1"/>
  <c r="AM20" i="22"/>
  <c r="AD20" i="22"/>
  <c r="AA20" i="22"/>
  <c r="AB20" i="22" s="1"/>
  <c r="AM19" i="22"/>
  <c r="AI20" i="22"/>
  <c r="AD19" i="22"/>
  <c r="AA19" i="22"/>
  <c r="AG19" i="22" s="1"/>
  <c r="AO18" i="22"/>
  <c r="AM18" i="22"/>
  <c r="AI18" i="22"/>
  <c r="AD18" i="22"/>
  <c r="AA18" i="22"/>
  <c r="AG18" i="22" s="1"/>
  <c r="AM14" i="22"/>
  <c r="AD14" i="22"/>
  <c r="AA14" i="22"/>
  <c r="N14" i="22"/>
  <c r="O14" i="22" s="1"/>
  <c r="P14" i="22" s="1"/>
  <c r="F14" i="22"/>
  <c r="C14" i="22"/>
  <c r="I14" i="22" s="1"/>
  <c r="AM13" i="22"/>
  <c r="AD13" i="22"/>
  <c r="AA13" i="22"/>
  <c r="AB13" i="22" s="1"/>
  <c r="N13" i="22"/>
  <c r="O13" i="22" s="1"/>
  <c r="P13" i="22" s="1"/>
  <c r="F13" i="22"/>
  <c r="C13" i="22"/>
  <c r="I13" i="22" s="1"/>
  <c r="AM12" i="22"/>
  <c r="AD12" i="22"/>
  <c r="AA12" i="22"/>
  <c r="N12" i="22"/>
  <c r="O12" i="22" s="1"/>
  <c r="P12" i="22" s="1"/>
  <c r="F12" i="22"/>
  <c r="C12" i="22"/>
  <c r="I12" i="22" s="1"/>
  <c r="AM11" i="22"/>
  <c r="AD11" i="22"/>
  <c r="AA11" i="22"/>
  <c r="N11" i="22"/>
  <c r="O11" i="22" s="1"/>
  <c r="P11" i="22" s="1"/>
  <c r="F11" i="22"/>
  <c r="C11" i="22"/>
  <c r="I11" i="22" s="1"/>
  <c r="AM10" i="22"/>
  <c r="AD10" i="22"/>
  <c r="AA10" i="22"/>
  <c r="N10" i="22"/>
  <c r="O10" i="22" s="1"/>
  <c r="P10" i="22" s="1"/>
  <c r="F10" i="22"/>
  <c r="C10" i="22"/>
  <c r="I10" i="22" s="1"/>
  <c r="AM9" i="22"/>
  <c r="AD9" i="22"/>
  <c r="AA9" i="22"/>
  <c r="N9" i="22"/>
  <c r="O9" i="22" s="1"/>
  <c r="P9" i="22" s="1"/>
  <c r="F9" i="22"/>
  <c r="C9" i="22"/>
  <c r="I9" i="22" s="1"/>
  <c r="AM8" i="22"/>
  <c r="AD8" i="22"/>
  <c r="AA8" i="22"/>
  <c r="N8" i="22"/>
  <c r="O8" i="22" s="1"/>
  <c r="P8" i="22" s="1"/>
  <c r="F8" i="22"/>
  <c r="C8" i="22"/>
  <c r="I8" i="22" s="1"/>
  <c r="O7" i="22"/>
  <c r="P7" i="22" s="1"/>
  <c r="F7" i="22"/>
  <c r="C7" i="22"/>
  <c r="D7" i="22" s="1"/>
  <c r="N6" i="22"/>
  <c r="O6" i="22" s="1"/>
  <c r="P6" i="22" s="1"/>
  <c r="F6" i="22"/>
  <c r="C6" i="22"/>
  <c r="D6" i="22" s="1"/>
  <c r="AI6" i="22"/>
  <c r="N5" i="22"/>
  <c r="O5" i="22" s="1"/>
  <c r="P5" i="22" s="1"/>
  <c r="F5" i="22"/>
  <c r="C5" i="22"/>
  <c r="I5" i="22" s="1"/>
  <c r="AO4" i="22"/>
  <c r="AI4" i="22"/>
  <c r="N4" i="22"/>
  <c r="O4" i="22" s="1"/>
  <c r="P4" i="22" s="1"/>
  <c r="K4" i="22"/>
  <c r="F4" i="22"/>
  <c r="C4" i="22"/>
  <c r="I4" i="22" s="1"/>
  <c r="O35" i="21"/>
  <c r="O25" i="21"/>
  <c r="O26" i="21"/>
  <c r="O27" i="21"/>
  <c r="O24" i="21"/>
  <c r="L44" i="21"/>
  <c r="L43" i="21"/>
  <c r="L42" i="21"/>
  <c r="L35" i="21"/>
  <c r="L25" i="21"/>
  <c r="L26" i="21"/>
  <c r="L27" i="21"/>
  <c r="L24" i="21"/>
  <c r="I44" i="21"/>
  <c r="I43" i="21"/>
  <c r="I42" i="21"/>
  <c r="I35" i="21"/>
  <c r="I27" i="21"/>
  <c r="I25" i="21"/>
  <c r="I26" i="21"/>
  <c r="I24" i="21"/>
  <c r="F25" i="21"/>
  <c r="F26" i="21"/>
  <c r="F27" i="21"/>
  <c r="F24" i="21"/>
  <c r="AD44" i="21"/>
  <c r="AD43" i="21"/>
  <c r="AD42" i="21"/>
  <c r="AD35" i="21"/>
  <c r="AD25" i="21"/>
  <c r="AD26" i="21"/>
  <c r="AD27" i="21"/>
  <c r="AD24" i="21"/>
  <c r="AA25" i="21"/>
  <c r="AA26" i="21"/>
  <c r="AA27" i="21"/>
  <c r="AA24" i="21"/>
  <c r="X44" i="21"/>
  <c r="X43" i="21"/>
  <c r="X42" i="21"/>
  <c r="X35" i="21"/>
  <c r="X25" i="21"/>
  <c r="X26" i="21"/>
  <c r="X27" i="21"/>
  <c r="X24" i="21"/>
  <c r="U25" i="21"/>
  <c r="U26" i="21"/>
  <c r="U27" i="21"/>
  <c r="U24" i="21"/>
  <c r="R25" i="21"/>
  <c r="R26" i="21"/>
  <c r="R27" i="21"/>
  <c r="R24" i="21"/>
  <c r="R14" i="21"/>
  <c r="R29" i="21" s="1"/>
  <c r="R13" i="21"/>
  <c r="AS12" i="21"/>
  <c r="AS11" i="21"/>
  <c r="AP12" i="21"/>
  <c r="AP11" i="21"/>
  <c r="AM12" i="21"/>
  <c r="AM11" i="21"/>
  <c r="AJ12" i="21"/>
  <c r="AJ11" i="21"/>
  <c r="AG12" i="21"/>
  <c r="AG11" i="21"/>
  <c r="AD14" i="21"/>
  <c r="AD29" i="21" s="1"/>
  <c r="AD13" i="21"/>
  <c r="AA28" i="21"/>
  <c r="AA14" i="21"/>
  <c r="AA29" i="21" s="1"/>
  <c r="AA13" i="21"/>
  <c r="X14" i="21"/>
  <c r="X13" i="21"/>
  <c r="U14" i="21"/>
  <c r="U29" i="21" s="1"/>
  <c r="U13" i="21"/>
  <c r="O14" i="21"/>
  <c r="O29" i="21" s="1"/>
  <c r="O13" i="21"/>
  <c r="F13" i="21"/>
  <c r="L14" i="21"/>
  <c r="L13" i="21"/>
  <c r="I14" i="21"/>
  <c r="I13" i="21"/>
  <c r="F14" i="21"/>
  <c r="F29" i="21" s="1"/>
  <c r="C11" i="21"/>
  <c r="AD28" i="21"/>
  <c r="F28" i="21"/>
  <c r="AG13" i="22" l="1"/>
  <c r="AQ33" i="22"/>
  <c r="AB35" i="22"/>
  <c r="AP35" i="22" s="1"/>
  <c r="D10" i="22"/>
  <c r="G10" i="22" s="1"/>
  <c r="J10" i="22" s="1"/>
  <c r="AB55" i="22"/>
  <c r="AE55" i="22" s="1"/>
  <c r="AH55" i="22" s="1"/>
  <c r="AE24" i="22"/>
  <c r="AH24" i="22" s="1"/>
  <c r="AE53" i="22"/>
  <c r="AH53" i="22" s="1"/>
  <c r="AB22" i="22"/>
  <c r="AP22" i="22" s="1"/>
  <c r="I7" i="22"/>
  <c r="AB49" i="22"/>
  <c r="AE49" i="22" s="1"/>
  <c r="AH49" i="22" s="1"/>
  <c r="AG51" i="22"/>
  <c r="AQ9" i="22"/>
  <c r="S6" i="22"/>
  <c r="T14" i="22"/>
  <c r="AQ8" i="22"/>
  <c r="AB18" i="22"/>
  <c r="AP18" i="22" s="1"/>
  <c r="AQ41" i="22"/>
  <c r="AE50" i="22"/>
  <c r="AH50" i="22" s="1"/>
  <c r="G7" i="22"/>
  <c r="J7" i="22" s="1"/>
  <c r="T9" i="22"/>
  <c r="AQ40" i="22"/>
  <c r="S7" i="22"/>
  <c r="AE38" i="22"/>
  <c r="AH38" i="22" s="1"/>
  <c r="AE39" i="22"/>
  <c r="AH39" i="22" s="1"/>
  <c r="AE13" i="22"/>
  <c r="AH13" i="22" s="1"/>
  <c r="AB19" i="22"/>
  <c r="AE19" i="22" s="1"/>
  <c r="AH19" i="22" s="1"/>
  <c r="D5" i="22"/>
  <c r="G5" i="22" s="1"/>
  <c r="J5" i="22" s="1"/>
  <c r="AB9" i="22"/>
  <c r="AP9" i="22" s="1"/>
  <c r="T10" i="22"/>
  <c r="AQ12" i="22"/>
  <c r="AQ26" i="22"/>
  <c r="AG33" i="22"/>
  <c r="AE35" i="22"/>
  <c r="AH35" i="22" s="1"/>
  <c r="AG38" i="22"/>
  <c r="AG39" i="22"/>
  <c r="AB40" i="22"/>
  <c r="AE40" i="22" s="1"/>
  <c r="AH40" i="22" s="1"/>
  <c r="AB41" i="22"/>
  <c r="AE41" i="22" s="1"/>
  <c r="AH41" i="22" s="1"/>
  <c r="AE51" i="22"/>
  <c r="AH51" i="22" s="1"/>
  <c r="I6" i="22"/>
  <c r="AE9" i="22"/>
  <c r="AH9" i="22" s="1"/>
  <c r="D12" i="22"/>
  <c r="G12" i="22" s="1"/>
  <c r="J12" i="22" s="1"/>
  <c r="AQ18" i="22"/>
  <c r="AB26" i="22"/>
  <c r="AE26" i="22" s="1"/>
  <c r="AH26" i="22" s="1"/>
  <c r="AE27" i="22"/>
  <c r="AH27" i="22" s="1"/>
  <c r="AQ53" i="22"/>
  <c r="AG9" i="22"/>
  <c r="AQ11" i="22"/>
  <c r="AP13" i="22"/>
  <c r="AG40" i="22"/>
  <c r="D8" i="22"/>
  <c r="G8" i="22" s="1"/>
  <c r="J8" i="22" s="1"/>
  <c r="AB11" i="22"/>
  <c r="AP11" i="22" s="1"/>
  <c r="T12" i="22"/>
  <c r="AQ14" i="22"/>
  <c r="AG26" i="22"/>
  <c r="AE28" i="22"/>
  <c r="AH28" i="22" s="1"/>
  <c r="AG41" i="22"/>
  <c r="AG50" i="22"/>
  <c r="AE52" i="22"/>
  <c r="AH52" i="22" s="1"/>
  <c r="T5" i="22"/>
  <c r="D14" i="22"/>
  <c r="G14" i="22" s="1"/>
  <c r="J14" i="22" s="1"/>
  <c r="AG20" i="22"/>
  <c r="AG24" i="22"/>
  <c r="AG28" i="22"/>
  <c r="AG52" i="22"/>
  <c r="T8" i="22"/>
  <c r="AQ10" i="22"/>
  <c r="AG11" i="22"/>
  <c r="AQ13" i="22"/>
  <c r="AQ22" i="22"/>
  <c r="T4" i="22"/>
  <c r="R4" i="22"/>
  <c r="Q4" i="22"/>
  <c r="S10" i="22"/>
  <c r="T6" i="22"/>
  <c r="T13" i="22"/>
  <c r="D4" i="22"/>
  <c r="S4" i="22" s="1"/>
  <c r="G6" i="22"/>
  <c r="J6" i="22" s="1"/>
  <c r="AE20" i="22"/>
  <c r="AH20" i="22" s="1"/>
  <c r="T7" i="22"/>
  <c r="U7" i="22" s="1"/>
  <c r="T11" i="22"/>
  <c r="AB8" i="22"/>
  <c r="AE8" i="22" s="1"/>
  <c r="AH8" i="22" s="1"/>
  <c r="AB10" i="22"/>
  <c r="AB12" i="22"/>
  <c r="AE12" i="22" s="1"/>
  <c r="AH12" i="22" s="1"/>
  <c r="AB14" i="22"/>
  <c r="AE14" i="22" s="1"/>
  <c r="AH14" i="22" s="1"/>
  <c r="AQ19" i="22"/>
  <c r="AQ21" i="22"/>
  <c r="AQ23" i="22"/>
  <c r="AQ25" i="22"/>
  <c r="AQ34" i="22"/>
  <c r="AQ42" i="22"/>
  <c r="AQ54" i="22"/>
  <c r="AP55" i="22"/>
  <c r="D9" i="22"/>
  <c r="G9" i="22" s="1"/>
  <c r="J9" i="22" s="1"/>
  <c r="D11" i="22"/>
  <c r="S11" i="22" s="1"/>
  <c r="D13" i="22"/>
  <c r="G13" i="22" s="1"/>
  <c r="J13" i="22" s="1"/>
  <c r="AB21" i="22"/>
  <c r="AE21" i="22" s="1"/>
  <c r="AH21" i="22" s="1"/>
  <c r="AB23" i="22"/>
  <c r="AE23" i="22" s="1"/>
  <c r="AH23" i="22" s="1"/>
  <c r="AB25" i="22"/>
  <c r="AE25" i="22" s="1"/>
  <c r="AH25" i="22" s="1"/>
  <c r="AG27" i="22"/>
  <c r="AB32" i="22"/>
  <c r="AE32" i="22" s="1"/>
  <c r="AH32" i="22" s="1"/>
  <c r="AB34" i="22"/>
  <c r="AE34" i="22" s="1"/>
  <c r="AH34" i="22" s="1"/>
  <c r="AQ35" i="22"/>
  <c r="AR35" i="22" s="1"/>
  <c r="AB42" i="22"/>
  <c r="AE42" i="22" s="1"/>
  <c r="AH42" i="22" s="1"/>
  <c r="AB47" i="22"/>
  <c r="AP47" i="22" s="1"/>
  <c r="AQ47" i="22"/>
  <c r="AB54" i="22"/>
  <c r="AP54" i="22" s="1"/>
  <c r="AQ55" i="22"/>
  <c r="AQ36" i="22"/>
  <c r="AQ48" i="22"/>
  <c r="AQ56" i="22"/>
  <c r="AG8" i="22"/>
  <c r="AG10" i="22"/>
  <c r="AG12" i="22"/>
  <c r="AG14" i="22"/>
  <c r="AP20" i="22"/>
  <c r="AP24" i="22"/>
  <c r="AP26" i="22"/>
  <c r="AR26" i="22" s="1"/>
  <c r="AQ32" i="22"/>
  <c r="AB36" i="22"/>
  <c r="AE36" i="22" s="1"/>
  <c r="AH36" i="22" s="1"/>
  <c r="AQ37" i="22"/>
  <c r="AP38" i="22"/>
  <c r="AB46" i="22"/>
  <c r="AE46" i="22" s="1"/>
  <c r="AH46" i="22" s="1"/>
  <c r="AB48" i="22"/>
  <c r="AE48" i="22" s="1"/>
  <c r="AH48" i="22" s="1"/>
  <c r="AQ49" i="22"/>
  <c r="AP50" i="22"/>
  <c r="AG53" i="22"/>
  <c r="AB56" i="22"/>
  <c r="AE56" i="22" s="1"/>
  <c r="AH56" i="22" s="1"/>
  <c r="AQ20" i="22"/>
  <c r="AQ24" i="22"/>
  <c r="AP27" i="22"/>
  <c r="AB37" i="22"/>
  <c r="AP37" i="22" s="1"/>
  <c r="AQ38" i="22"/>
  <c r="AP39" i="22"/>
  <c r="AQ50" i="22"/>
  <c r="AP51" i="22"/>
  <c r="AQ27" i="22"/>
  <c r="AP28" i="22"/>
  <c r="AQ39" i="22"/>
  <c r="AQ46" i="22"/>
  <c r="AQ51" i="22"/>
  <c r="AP52" i="22"/>
  <c r="AQ28" i="22"/>
  <c r="AP41" i="22"/>
  <c r="AQ52" i="22"/>
  <c r="AP53" i="22"/>
  <c r="AR53" i="22" s="1"/>
  <c r="AB33" i="22"/>
  <c r="AE33" i="22" s="1"/>
  <c r="AH33" i="22" s="1"/>
  <c r="R15" i="21"/>
  <c r="I28" i="21"/>
  <c r="L28" i="21"/>
  <c r="O28" i="21"/>
  <c r="O30" i="21" s="1"/>
  <c r="F30" i="21"/>
  <c r="F15" i="21"/>
  <c r="R28" i="21"/>
  <c r="R30" i="21" s="1"/>
  <c r="O15" i="21"/>
  <c r="AA30" i="21"/>
  <c r="X28" i="21"/>
  <c r="U28" i="21"/>
  <c r="F43" i="21"/>
  <c r="C38" i="21"/>
  <c r="C23" i="21"/>
  <c r="C22" i="21"/>
  <c r="C24" i="21" s="1"/>
  <c r="C31" i="21" s="1"/>
  <c r="C39" i="21" s="1"/>
  <c r="L29" i="21"/>
  <c r="C12" i="21"/>
  <c r="C25" i="21" s="1"/>
  <c r="U43" i="21"/>
  <c r="R42" i="21"/>
  <c r="AS40" i="21"/>
  <c r="AS39" i="21"/>
  <c r="AS38" i="21"/>
  <c r="AS31" i="21"/>
  <c r="AP40" i="21"/>
  <c r="AP39" i="21"/>
  <c r="AP38" i="21"/>
  <c r="AP31" i="21"/>
  <c r="AP22" i="21"/>
  <c r="AP23" i="21"/>
  <c r="AM40" i="21"/>
  <c r="AM39" i="21"/>
  <c r="AM38" i="21"/>
  <c r="AM31" i="21"/>
  <c r="AJ39" i="21"/>
  <c r="AS23" i="21"/>
  <c r="AS22" i="21"/>
  <c r="U6" i="22" l="1"/>
  <c r="AE22" i="22"/>
  <c r="AH22" i="22" s="1"/>
  <c r="AP34" i="22"/>
  <c r="S14" i="22"/>
  <c r="AP49" i="22"/>
  <c r="AR49" i="22" s="1"/>
  <c r="AR18" i="22"/>
  <c r="AE18" i="22"/>
  <c r="AH18" i="22" s="1"/>
  <c r="AP32" i="22"/>
  <c r="AR32" i="22" s="1"/>
  <c r="AP33" i="22"/>
  <c r="AR33" i="22" s="1"/>
  <c r="AR51" i="22"/>
  <c r="S5" i="22"/>
  <c r="U5" i="22" s="1"/>
  <c r="AR9" i="22"/>
  <c r="U14" i="22"/>
  <c r="AR47" i="22"/>
  <c r="AR22" i="22"/>
  <c r="U11" i="22"/>
  <c r="S8" i="22"/>
  <c r="U8" i="22" s="1"/>
  <c r="AR50" i="22"/>
  <c r="AR37" i="22"/>
  <c r="U10" i="22"/>
  <c r="AE11" i="22"/>
  <c r="AH11" i="22" s="1"/>
  <c r="AP40" i="22"/>
  <c r="AR40" i="22" s="1"/>
  <c r="AR41" i="22"/>
  <c r="AR28" i="22"/>
  <c r="AP56" i="22"/>
  <c r="AR56" i="22" s="1"/>
  <c r="S12" i="22"/>
  <c r="U12" i="22" s="1"/>
  <c r="AR34" i="22"/>
  <c r="AR11" i="22"/>
  <c r="AR54" i="22"/>
  <c r="AE54" i="22"/>
  <c r="AH54" i="22" s="1"/>
  <c r="AP23" i="22"/>
  <c r="AR23" i="22" s="1"/>
  <c r="AP21" i="22"/>
  <c r="AR21" i="22" s="1"/>
  <c r="U4" i="22"/>
  <c r="AP12" i="22"/>
  <c r="AR12" i="22" s="1"/>
  <c r="AP19" i="22"/>
  <c r="AR19" i="22" s="1"/>
  <c r="AR39" i="22"/>
  <c r="AR13" i="22"/>
  <c r="AP48" i="22"/>
  <c r="AR48" i="22" s="1"/>
  <c r="AP25" i="22"/>
  <c r="AR25" i="22" s="1"/>
  <c r="S13" i="22"/>
  <c r="U13" i="22" s="1"/>
  <c r="AE47" i="22"/>
  <c r="AH47" i="22" s="1"/>
  <c r="AP10" i="22"/>
  <c r="AR10" i="22" s="1"/>
  <c r="AE10" i="22"/>
  <c r="AH10" i="22" s="1"/>
  <c r="AP14" i="22"/>
  <c r="AR14" i="22" s="1"/>
  <c r="G11" i="22"/>
  <c r="J11" i="22" s="1"/>
  <c r="AE37" i="22"/>
  <c r="AH37" i="22" s="1"/>
  <c r="AR55" i="22"/>
  <c r="AP42" i="22"/>
  <c r="AR42" i="22" s="1"/>
  <c r="AR27" i="22"/>
  <c r="AP8" i="22"/>
  <c r="AR8" i="22" s="1"/>
  <c r="AP36" i="22"/>
  <c r="AR36" i="22" s="1"/>
  <c r="AR52" i="22"/>
  <c r="AP46" i="22"/>
  <c r="AR46" i="22" s="1"/>
  <c r="S9" i="22"/>
  <c r="U9" i="22" s="1"/>
  <c r="G4" i="22"/>
  <c r="J4" i="22" s="1"/>
  <c r="AR24" i="22"/>
  <c r="AR38" i="22"/>
  <c r="AR20" i="22"/>
  <c r="R35" i="21"/>
  <c r="U35" i="21" s="1"/>
  <c r="F35" i="21"/>
  <c r="F44" i="21" s="1"/>
  <c r="O45" i="21"/>
  <c r="I36" i="21"/>
  <c r="I37" i="21" s="1"/>
  <c r="L36" i="21"/>
  <c r="L37" i="21" s="1"/>
  <c r="O36" i="21"/>
  <c r="O37" i="21" s="1"/>
  <c r="AS24" i="21"/>
  <c r="AP24" i="21"/>
  <c r="L45" i="21"/>
  <c r="AD45" i="21"/>
  <c r="I15" i="21"/>
  <c r="I45" i="21"/>
  <c r="C26" i="21"/>
  <c r="I29" i="21"/>
  <c r="I30" i="21" s="1"/>
  <c r="C13" i="21"/>
  <c r="C33" i="21"/>
  <c r="C40" i="21" s="1"/>
  <c r="L15" i="21"/>
  <c r="AD15" i="21"/>
  <c r="U30" i="21"/>
  <c r="X15" i="21"/>
  <c r="AA15" i="21"/>
  <c r="X45" i="21"/>
  <c r="AA45" i="21"/>
  <c r="X29" i="21"/>
  <c r="U15" i="21"/>
  <c r="AP13" i="21"/>
  <c r="AS41" i="21"/>
  <c r="AS13" i="21"/>
  <c r="AP41" i="21"/>
  <c r="AM41" i="21"/>
  <c r="AS25" i="21"/>
  <c r="AP25" i="21"/>
  <c r="AS18" i="22" l="1"/>
  <c r="W4" i="22"/>
  <c r="AS4" i="22"/>
  <c r="AS46" i="22"/>
  <c r="AS32" i="22"/>
  <c r="V4" i="22"/>
  <c r="R43" i="21"/>
  <c r="I46" i="21"/>
  <c r="I39" i="21"/>
  <c r="X36" i="21"/>
  <c r="AD36" i="21"/>
  <c r="AD37" i="21" s="1"/>
  <c r="AA36" i="21"/>
  <c r="AA37" i="21" s="1"/>
  <c r="F37" i="21"/>
  <c r="F45" i="21" s="1"/>
  <c r="L30" i="21"/>
  <c r="AD30" i="21"/>
  <c r="AS26" i="21"/>
  <c r="X30" i="21"/>
  <c r="U44" i="21"/>
  <c r="R37" i="21"/>
  <c r="R44" i="21" s="1"/>
  <c r="AP26" i="21"/>
  <c r="X37" i="21" l="1"/>
  <c r="X46" i="21" s="1"/>
  <c r="U37" i="21"/>
  <c r="U45" i="21" s="1"/>
  <c r="AJ23" i="21" l="1"/>
  <c r="AJ22" i="21"/>
  <c r="AJ24" i="21" s="1"/>
  <c r="AM23" i="21"/>
  <c r="AM22" i="21"/>
  <c r="AM24" i="21" s="1"/>
  <c r="AG22" i="21"/>
  <c r="AG25" i="21"/>
  <c r="AJ13" i="21" l="1"/>
  <c r="AM13" i="21"/>
  <c r="AJ25" i="21"/>
  <c r="AJ26" i="21" s="1"/>
  <c r="AM25" i="21"/>
  <c r="AG13" i="21"/>
  <c r="AM26" i="21" l="1"/>
  <c r="AG23" i="21"/>
  <c r="AG24" i="21" l="1"/>
  <c r="AG31" i="21" s="1"/>
  <c r="AJ31" i="21" l="1"/>
  <c r="AJ33" i="21" s="1"/>
  <c r="AG26" i="21"/>
  <c r="AG33" i="21"/>
  <c r="AJ40" i="21" l="1"/>
  <c r="AJ41" i="21" s="1"/>
  <c r="AG38" i="21" l="1"/>
  <c r="AG39" i="21" s="1"/>
  <c r="AM32" i="21" s="1"/>
  <c r="AG40" i="21" l="1"/>
  <c r="AS32" i="21"/>
  <c r="AS33" i="21" s="1"/>
  <c r="AM33" i="21"/>
  <c r="AP32" i="21"/>
  <c r="AP33" i="21" s="1"/>
  <c r="O39" i="21" l="1"/>
  <c r="O46" i="21"/>
  <c r="L46" i="21"/>
  <c r="L39" i="21"/>
  <c r="I47" i="21"/>
  <c r="X39" i="21"/>
  <c r="AD39" i="21"/>
  <c r="AD46" i="21"/>
  <c r="AA39" i="21"/>
  <c r="AA46" i="21"/>
  <c r="AM42" i="21"/>
  <c r="AM35" i="21"/>
  <c r="AP35" i="21"/>
  <c r="AP42" i="21"/>
  <c r="AS35" i="21"/>
  <c r="AS42" i="21"/>
  <c r="AS43" i="21" s="1"/>
  <c r="O47" i="21" l="1"/>
  <c r="AA47" i="21"/>
  <c r="L47" i="21"/>
  <c r="AM43" i="21"/>
  <c r="X47" i="21"/>
  <c r="AD47" i="21"/>
  <c r="AP43" i="21"/>
</calcChain>
</file>

<file path=xl/sharedStrings.xml><?xml version="1.0" encoding="utf-8"?>
<sst xmlns="http://schemas.openxmlformats.org/spreadsheetml/2006/main" count="656" uniqueCount="81">
  <si>
    <t>Measuring electrode contact resistance</t>
  </si>
  <si>
    <t>Sample 1</t>
  </si>
  <si>
    <t>Sample 2</t>
  </si>
  <si>
    <t>Sample</t>
  </si>
  <si>
    <t>SD_Rc_DC-EB [ohm]</t>
  </si>
  <si>
    <t>Av_Rc_DC-EB [ohm]</t>
  </si>
  <si>
    <t>Sample 3</t>
  </si>
  <si>
    <t>Sample 4</t>
  </si>
  <si>
    <r>
      <t>Total Area [m</t>
    </r>
    <r>
      <rPr>
        <b/>
        <vertAlign val="superscript"/>
        <sz val="12"/>
        <color rgb="FF000000"/>
        <rFont val="Calibri (Body)"/>
      </rPr>
      <t>2</t>
    </r>
    <r>
      <rPr>
        <b/>
        <sz val="12"/>
        <color rgb="FF000000"/>
        <rFont val="Calibri"/>
        <family val="2"/>
        <scheme val="minor"/>
      </rPr>
      <t>]</t>
    </r>
  </si>
  <si>
    <t>Av_Rc_EB-SPAR [ohm]</t>
  </si>
  <si>
    <t>SD_Rc_EB-SPAR [ohm]</t>
  </si>
  <si>
    <r>
      <t>Area 1 [m</t>
    </r>
    <r>
      <rPr>
        <b/>
        <vertAlign val="superscript"/>
        <sz val="12"/>
        <color rgb="FF000000"/>
        <rFont val="Calibri (Body)"/>
      </rPr>
      <t>2</t>
    </r>
    <r>
      <rPr>
        <b/>
        <sz val="12"/>
        <color rgb="FF000000"/>
        <rFont val="Calibri"/>
        <family val="2"/>
        <scheme val="minor"/>
      </rPr>
      <t>]</t>
    </r>
  </si>
  <si>
    <r>
      <t>Area 2 [m</t>
    </r>
    <r>
      <rPr>
        <b/>
        <vertAlign val="superscript"/>
        <sz val="12"/>
        <color rgb="FF000000"/>
        <rFont val="Calibri (Body)"/>
      </rPr>
      <t>2</t>
    </r>
    <r>
      <rPr>
        <b/>
        <sz val="12"/>
        <color rgb="FF000000"/>
        <rFont val="Calibri"/>
        <family val="2"/>
        <scheme val="minor"/>
      </rPr>
      <t>]</t>
    </r>
  </si>
  <si>
    <t>UD CFRP</t>
  </si>
  <si>
    <t>ECF</t>
  </si>
  <si>
    <r>
      <t>Total DC Area [m</t>
    </r>
    <r>
      <rPr>
        <b/>
        <vertAlign val="superscript"/>
        <sz val="12"/>
        <color theme="1"/>
        <rFont val="Calibri (Body)"/>
      </rPr>
      <t>2</t>
    </r>
    <r>
      <rPr>
        <b/>
        <sz val="12"/>
        <color theme="1"/>
        <rFont val="Calibri"/>
        <family val="2"/>
        <scheme val="minor"/>
      </rPr>
      <t>]</t>
    </r>
  </si>
  <si>
    <t>UD_DC-EB-SPAR_2</t>
  </si>
  <si>
    <t>UD_DC-EB-SPAR_3</t>
  </si>
  <si>
    <t>UD_DC-EB-SPAR_4</t>
  </si>
  <si>
    <t>BIAX_DC-EB-SPAR_2</t>
  </si>
  <si>
    <t>BIAX_DC-EB-SPAR_3</t>
  </si>
  <si>
    <t>BIAX_DC-EB-SPAR_4</t>
  </si>
  <si>
    <t>ECF_DC-EB-SPAR_2</t>
  </si>
  <si>
    <t>ECF_DC-EB-SPAR_3</t>
  </si>
  <si>
    <t>ECF_DC-EB-SPAR_4</t>
  </si>
  <si>
    <t>UD_DC-EB</t>
  </si>
  <si>
    <t>UD_DC-EB-SPAR_1</t>
  </si>
  <si>
    <t>BIAX_DC-EB</t>
  </si>
  <si>
    <t>BIAX_DC-EB-SPAR_1</t>
  </si>
  <si>
    <t>ECF_DC-EB</t>
  </si>
  <si>
    <t>ECF_DC-EB-SPAR_1</t>
  </si>
  <si>
    <t>BIAX CFRP</t>
  </si>
  <si>
    <t>SD_Rc_DC-EB [1]</t>
  </si>
  <si>
    <t>SD_Rc_EB-SPAR [1]</t>
  </si>
  <si>
    <r>
      <t>INTERCEPT_Exp [</t>
    </r>
    <r>
      <rPr>
        <b/>
        <sz val="12"/>
        <color theme="1"/>
        <rFont val="Symbol"/>
        <charset val="2"/>
      </rPr>
      <t>W</t>
    </r>
    <r>
      <rPr>
        <b/>
        <sz val="12"/>
        <color theme="1"/>
        <rFont val="Calibri"/>
        <family val="2"/>
        <scheme val="minor"/>
      </rPr>
      <t>]</t>
    </r>
  </si>
  <si>
    <t>Experimental y-axis intercept</t>
  </si>
  <si>
    <t>Experimental y-axis intercept corrected from measuring electrode contact resistance</t>
  </si>
  <si>
    <r>
      <t>Average [</t>
    </r>
    <r>
      <rPr>
        <b/>
        <sz val="12"/>
        <color theme="1"/>
        <rFont val="Symbol"/>
        <charset val="2"/>
      </rPr>
      <t>W</t>
    </r>
    <r>
      <rPr>
        <b/>
        <sz val="12"/>
        <color theme="1"/>
        <rFont val="Calibri"/>
        <family val="2"/>
        <scheme val="minor"/>
      </rPr>
      <t>]</t>
    </r>
  </si>
  <si>
    <r>
      <t>SD [</t>
    </r>
    <r>
      <rPr>
        <b/>
        <sz val="12"/>
        <color theme="1"/>
        <rFont val="Symbol"/>
        <charset val="2"/>
      </rPr>
      <t>W</t>
    </r>
    <r>
      <rPr>
        <b/>
        <sz val="12"/>
        <color theme="1"/>
        <rFont val="Calibri"/>
        <family val="2"/>
        <scheme val="minor"/>
      </rPr>
      <t>]</t>
    </r>
  </si>
  <si>
    <r>
      <t>Accuracy [</t>
    </r>
    <r>
      <rPr>
        <b/>
        <sz val="12"/>
        <color theme="1"/>
        <rFont val="Symbol"/>
        <charset val="2"/>
      </rPr>
      <t>W</t>
    </r>
    <r>
      <rPr>
        <b/>
        <sz val="12"/>
        <color theme="1"/>
        <rFont val="Calibri"/>
        <family val="2"/>
        <scheme val="minor"/>
      </rPr>
      <t>]</t>
    </r>
  </si>
  <si>
    <r>
      <t>SD+Accuracy [</t>
    </r>
    <r>
      <rPr>
        <b/>
        <sz val="12"/>
        <color theme="1"/>
        <rFont val="Symbol"/>
        <charset val="2"/>
      </rPr>
      <t>W</t>
    </r>
    <r>
      <rPr>
        <b/>
        <sz val="12"/>
        <color theme="1"/>
        <rFont val="Calibri"/>
        <family val="2"/>
        <scheme val="minor"/>
      </rPr>
      <t>]</t>
    </r>
  </si>
  <si>
    <r>
      <t>FEM y-axis intercept [</t>
    </r>
    <r>
      <rPr>
        <b/>
        <sz val="12"/>
        <color theme="1"/>
        <rFont val="Symbol"/>
        <charset val="2"/>
      </rPr>
      <t>W</t>
    </r>
    <r>
      <rPr>
        <b/>
        <sz val="12"/>
        <color theme="1"/>
        <rFont val="Calibri"/>
        <family val="2"/>
        <scheme val="minor"/>
      </rPr>
      <t>]</t>
    </r>
  </si>
  <si>
    <t>Contact Resistance between DC and EB</t>
  </si>
  <si>
    <t>Contact Resistivity</t>
  </si>
  <si>
    <t>Contact Resistance between EB and Spar</t>
  </si>
  <si>
    <r>
      <t>Area 3 [m</t>
    </r>
    <r>
      <rPr>
        <b/>
        <vertAlign val="superscript"/>
        <sz val="12"/>
        <color rgb="FF000000"/>
        <rFont val="Calibri (Body)"/>
      </rPr>
      <t>2</t>
    </r>
    <r>
      <rPr>
        <b/>
        <sz val="12"/>
        <color rgb="FF000000"/>
        <rFont val="Calibri"/>
        <family val="2"/>
        <scheme val="minor"/>
      </rPr>
      <t>]</t>
    </r>
  </si>
  <si>
    <r>
      <t>Area Side [m</t>
    </r>
    <r>
      <rPr>
        <b/>
        <vertAlign val="superscript"/>
        <sz val="12"/>
        <color rgb="FF000000"/>
        <rFont val="Calibri (Body)"/>
      </rPr>
      <t>2</t>
    </r>
    <r>
      <rPr>
        <b/>
        <sz val="12"/>
        <color rgb="FF000000"/>
        <rFont val="Calibri"/>
        <family val="2"/>
        <scheme val="minor"/>
      </rPr>
      <t>]</t>
    </r>
  </si>
  <si>
    <r>
      <t>Area Top [m</t>
    </r>
    <r>
      <rPr>
        <b/>
        <vertAlign val="superscript"/>
        <sz val="12"/>
        <color rgb="FF000000"/>
        <rFont val="Calibri (Body)"/>
      </rPr>
      <t>2</t>
    </r>
    <r>
      <rPr>
        <b/>
        <sz val="12"/>
        <color rgb="FF000000"/>
        <rFont val="Calibri"/>
        <family val="2"/>
        <scheme val="minor"/>
      </rPr>
      <t>]</t>
    </r>
  </si>
  <si>
    <r>
      <t>Area Bottom [m</t>
    </r>
    <r>
      <rPr>
        <b/>
        <vertAlign val="superscript"/>
        <sz val="12"/>
        <color rgb="FF000000"/>
        <rFont val="Calibri (Body)"/>
      </rPr>
      <t>2</t>
    </r>
    <r>
      <rPr>
        <b/>
        <sz val="12"/>
        <color rgb="FF000000"/>
        <rFont val="Calibri"/>
        <family val="2"/>
        <scheme val="minor"/>
      </rPr>
      <t>]</t>
    </r>
  </si>
  <si>
    <r>
      <t>Av_Rhoc_DC-EB [</t>
    </r>
    <r>
      <rPr>
        <b/>
        <sz val="12"/>
        <color theme="1"/>
        <rFont val="Symbol"/>
        <charset val="2"/>
      </rPr>
      <t>W</t>
    </r>
    <r>
      <rPr>
        <b/>
        <sz val="12"/>
        <color theme="1"/>
        <rFont val="Calibri"/>
        <family val="2"/>
        <scheme val="minor"/>
      </rPr>
      <t>*m</t>
    </r>
    <r>
      <rPr>
        <b/>
        <vertAlign val="superscript"/>
        <sz val="12"/>
        <color theme="1"/>
        <rFont val="Calibri (Body)"/>
      </rPr>
      <t>2</t>
    </r>
    <r>
      <rPr>
        <b/>
        <sz val="12"/>
        <color theme="1"/>
        <rFont val="Calibri"/>
        <family val="2"/>
        <scheme val="minor"/>
      </rPr>
      <t>]</t>
    </r>
  </si>
  <si>
    <r>
      <t>SD_Rhoc_DC-EB [</t>
    </r>
    <r>
      <rPr>
        <b/>
        <sz val="12"/>
        <color theme="1"/>
        <rFont val="Symbol"/>
        <charset val="2"/>
      </rPr>
      <t>W</t>
    </r>
    <r>
      <rPr>
        <b/>
        <sz val="12"/>
        <color theme="1"/>
        <rFont val="Calibri"/>
        <family val="2"/>
        <scheme val="minor"/>
      </rPr>
      <t>*m</t>
    </r>
    <r>
      <rPr>
        <b/>
        <vertAlign val="superscript"/>
        <sz val="12"/>
        <color theme="1"/>
        <rFont val="Calibri (Body)"/>
      </rPr>
      <t>2</t>
    </r>
    <r>
      <rPr>
        <b/>
        <sz val="12"/>
        <color theme="1"/>
        <rFont val="Calibri"/>
        <family val="2"/>
        <scheme val="minor"/>
      </rPr>
      <t>]</t>
    </r>
  </si>
  <si>
    <r>
      <t>Av_Rhoc_EB-SPAR [</t>
    </r>
    <r>
      <rPr>
        <b/>
        <sz val="12"/>
        <color theme="1"/>
        <rFont val="Symbol"/>
        <charset val="2"/>
      </rPr>
      <t>W</t>
    </r>
    <r>
      <rPr>
        <b/>
        <sz val="12"/>
        <color theme="1"/>
        <rFont val="Calibri"/>
        <family val="2"/>
        <scheme val="minor"/>
      </rPr>
      <t>*m</t>
    </r>
    <r>
      <rPr>
        <b/>
        <vertAlign val="superscript"/>
        <sz val="12"/>
        <color theme="1"/>
        <rFont val="Calibri (Body)"/>
      </rPr>
      <t>2</t>
    </r>
    <r>
      <rPr>
        <b/>
        <sz val="12"/>
        <color theme="1"/>
        <rFont val="Calibri"/>
        <family val="2"/>
        <scheme val="minor"/>
      </rPr>
      <t>]</t>
    </r>
  </si>
  <si>
    <r>
      <t>SD_Rhoc_EB-SPAR [</t>
    </r>
    <r>
      <rPr>
        <b/>
        <sz val="12"/>
        <color theme="1"/>
        <rFont val="Symbol"/>
        <charset val="2"/>
      </rPr>
      <t>W</t>
    </r>
    <r>
      <rPr>
        <b/>
        <sz val="12"/>
        <color theme="1"/>
        <rFont val="Calibri"/>
        <family val="2"/>
        <scheme val="minor"/>
      </rPr>
      <t>*m</t>
    </r>
    <r>
      <rPr>
        <b/>
        <vertAlign val="superscript"/>
        <sz val="12"/>
        <color theme="1"/>
        <rFont val="Calibri (Body)"/>
      </rPr>
      <t>2</t>
    </r>
    <r>
      <rPr>
        <b/>
        <sz val="12"/>
        <color theme="1"/>
        <rFont val="Calibri"/>
        <family val="2"/>
        <scheme val="minor"/>
      </rPr>
      <t>]</t>
    </r>
  </si>
  <si>
    <t>KISSINGER METHOD - APPARENT SINGLE REACTION</t>
  </si>
  <si>
    <t>KISSINGER METHOD - DECONVOLUTED - MECHANISM 1</t>
  </si>
  <si>
    <t>Tm [degC]</t>
  </si>
  <si>
    <t>Tm [K]</t>
  </si>
  <si>
    <t>Ea [kJ/mol]</t>
  </si>
  <si>
    <t>Tm^2 [K^2]</t>
  </si>
  <si>
    <t>dT/dt [deg/min]</t>
  </si>
  <si>
    <t>dT/dt [deg/s]</t>
  </si>
  <si>
    <t>(dT/dt)/Tm^2</t>
  </si>
  <si>
    <t>1/Tm</t>
  </si>
  <si>
    <t>ln((dT/dt)/Tm^2)</t>
  </si>
  <si>
    <r>
      <t>(d</t>
    </r>
    <r>
      <rPr>
        <b/>
        <vertAlign val="superscript"/>
        <sz val="12"/>
        <color theme="1"/>
        <rFont val="Calibri (Body)"/>
      </rPr>
      <t>2</t>
    </r>
    <r>
      <rPr>
        <b/>
        <sz val="12"/>
        <color theme="1"/>
        <rFont val="Symbol"/>
        <charset val="2"/>
      </rPr>
      <t>a</t>
    </r>
    <r>
      <rPr>
        <b/>
        <sz val="12"/>
        <color theme="1"/>
        <rFont val="Calibri"/>
        <family val="2"/>
        <scheme val="minor"/>
      </rPr>
      <t>/dt</t>
    </r>
    <r>
      <rPr>
        <b/>
        <vertAlign val="superscript"/>
        <sz val="12"/>
        <color theme="1"/>
        <rFont val="Calibri (Body)"/>
      </rPr>
      <t>2</t>
    </r>
    <r>
      <rPr>
        <b/>
        <sz val="12"/>
        <color theme="1"/>
        <rFont val="Calibri"/>
        <family val="2"/>
        <scheme val="minor"/>
      </rPr>
      <t>)</t>
    </r>
    <r>
      <rPr>
        <b/>
        <vertAlign val="subscript"/>
        <sz val="12"/>
        <color theme="1"/>
        <rFont val="Calibri (Body)"/>
      </rPr>
      <t>1</t>
    </r>
  </si>
  <si>
    <r>
      <t>(d</t>
    </r>
    <r>
      <rPr>
        <b/>
        <vertAlign val="superscript"/>
        <sz val="12"/>
        <color theme="1"/>
        <rFont val="Calibri (Body)"/>
      </rPr>
      <t>2</t>
    </r>
    <r>
      <rPr>
        <b/>
        <sz val="12"/>
        <color theme="1"/>
        <rFont val="Symbol"/>
        <charset val="2"/>
      </rPr>
      <t>a</t>
    </r>
    <r>
      <rPr>
        <b/>
        <sz val="12"/>
        <color theme="1"/>
        <rFont val="Calibri"/>
        <family val="2"/>
        <scheme val="minor"/>
      </rPr>
      <t>/dt</t>
    </r>
    <r>
      <rPr>
        <b/>
        <vertAlign val="superscript"/>
        <sz val="12"/>
        <color theme="1"/>
        <rFont val="Calibri (Body)"/>
      </rPr>
      <t>2</t>
    </r>
    <r>
      <rPr>
        <b/>
        <sz val="12"/>
        <color theme="1"/>
        <rFont val="Calibri"/>
        <family val="2"/>
        <scheme val="minor"/>
      </rPr>
      <t>)</t>
    </r>
    <r>
      <rPr>
        <b/>
        <vertAlign val="subscript"/>
        <sz val="12"/>
        <color theme="1"/>
        <rFont val="Calibri (Body)"/>
      </rPr>
      <t>2</t>
    </r>
  </si>
  <si>
    <r>
      <t>(d2a/dt2)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/(d</t>
    </r>
    <r>
      <rPr>
        <b/>
        <vertAlign val="superscript"/>
        <sz val="12"/>
        <color theme="1"/>
        <rFont val="Calibri (Body)"/>
      </rPr>
      <t>2</t>
    </r>
    <r>
      <rPr>
        <b/>
        <sz val="12"/>
        <color theme="1"/>
        <rFont val="Symbol"/>
        <charset val="2"/>
      </rPr>
      <t>a</t>
    </r>
    <r>
      <rPr>
        <b/>
        <sz val="12"/>
        <color theme="1"/>
        <rFont val="Calibri"/>
        <family val="2"/>
        <scheme val="minor"/>
      </rPr>
      <t>/dt</t>
    </r>
    <r>
      <rPr>
        <b/>
        <vertAlign val="superscript"/>
        <sz val="12"/>
        <color theme="1"/>
        <rFont val="Calibri (Body)"/>
      </rPr>
      <t>2</t>
    </r>
    <r>
      <rPr>
        <b/>
        <sz val="12"/>
        <color theme="1"/>
        <rFont val="Calibri"/>
        <family val="2"/>
        <scheme val="minor"/>
      </rPr>
      <t>)</t>
    </r>
    <r>
      <rPr>
        <b/>
        <vertAlign val="subscript"/>
        <sz val="12"/>
        <color theme="1"/>
        <rFont val="Calibri"/>
        <family val="2"/>
        <scheme val="minor"/>
      </rPr>
      <t>1</t>
    </r>
  </si>
  <si>
    <t>S</t>
  </si>
  <si>
    <t>n</t>
  </si>
  <si>
    <r>
      <t>n</t>
    </r>
    <r>
      <rPr>
        <b/>
        <vertAlign val="subscript"/>
        <sz val="12"/>
        <color theme="1"/>
        <rFont val="Calibri (Body)"/>
      </rPr>
      <t>AV</t>
    </r>
  </si>
  <si>
    <r>
      <t>n</t>
    </r>
    <r>
      <rPr>
        <b/>
        <vertAlign val="subscript"/>
        <sz val="12"/>
        <color theme="1"/>
        <rFont val="Calibri (Body)"/>
      </rPr>
      <t>SD</t>
    </r>
  </si>
  <si>
    <r>
      <t>E</t>
    </r>
    <r>
      <rPr>
        <b/>
        <vertAlign val="subscript"/>
        <sz val="12"/>
        <color theme="1"/>
        <rFont val="Calibri (Body)"/>
      </rPr>
      <t>a</t>
    </r>
    <r>
      <rPr>
        <b/>
        <sz val="12"/>
        <color theme="1"/>
        <rFont val="Symbol"/>
        <charset val="2"/>
      </rPr>
      <t>b/</t>
    </r>
    <r>
      <rPr>
        <b/>
        <sz val="12"/>
        <color theme="1"/>
        <rFont val="Calibri"/>
        <family val="2"/>
      </rPr>
      <t>RT</t>
    </r>
    <r>
      <rPr>
        <b/>
        <vertAlign val="subscript"/>
        <sz val="12"/>
        <color theme="1"/>
        <rFont val="Calibri"/>
        <family val="2"/>
      </rPr>
      <t>m</t>
    </r>
    <r>
      <rPr>
        <b/>
        <vertAlign val="superscript"/>
        <sz val="12"/>
        <color theme="1"/>
        <rFont val="Calibri"/>
        <family val="2"/>
      </rPr>
      <t>2</t>
    </r>
  </si>
  <si>
    <r>
      <t>[1+(n-1)*(2RT</t>
    </r>
    <r>
      <rPr>
        <b/>
        <vertAlign val="subscript"/>
        <sz val="12"/>
        <color theme="1"/>
        <rFont val="Calibri (Body)"/>
      </rPr>
      <t>m</t>
    </r>
    <r>
      <rPr>
        <b/>
        <sz val="12"/>
        <color theme="1"/>
        <rFont val="Calibri"/>
        <family val="2"/>
        <scheme val="minor"/>
      </rPr>
      <t>/E</t>
    </r>
    <r>
      <rPr>
        <b/>
        <vertAlign val="subscript"/>
        <sz val="12"/>
        <color theme="1"/>
        <rFont val="Calibri (Body)"/>
      </rPr>
      <t>a</t>
    </r>
    <r>
      <rPr>
        <b/>
        <sz val="12"/>
        <color theme="1"/>
        <rFont val="Calibri"/>
        <family val="2"/>
        <scheme val="minor"/>
      </rPr>
      <t>)]*exp(-E</t>
    </r>
    <r>
      <rPr>
        <b/>
        <vertAlign val="subscript"/>
        <sz val="12"/>
        <color theme="1"/>
        <rFont val="Calibri (Body)"/>
      </rPr>
      <t>a</t>
    </r>
    <r>
      <rPr>
        <b/>
        <sz val="12"/>
        <color theme="1"/>
        <rFont val="Calibri"/>
        <family val="2"/>
        <scheme val="minor"/>
      </rPr>
      <t>/RT</t>
    </r>
    <r>
      <rPr>
        <b/>
        <vertAlign val="subscript"/>
        <sz val="12"/>
        <color theme="1"/>
        <rFont val="Calibri (Body)"/>
      </rPr>
      <t>m</t>
    </r>
    <r>
      <rPr>
        <b/>
        <sz val="12"/>
        <color theme="1"/>
        <rFont val="Calibri"/>
        <family val="2"/>
        <scheme val="minor"/>
      </rPr>
      <t>)</t>
    </r>
  </si>
  <si>
    <t>A</t>
  </si>
  <si>
    <r>
      <t>A</t>
    </r>
    <r>
      <rPr>
        <b/>
        <vertAlign val="subscript"/>
        <sz val="12"/>
        <color theme="1"/>
        <rFont val="Calibri (Body)"/>
      </rPr>
      <t>AV</t>
    </r>
  </si>
  <si>
    <r>
      <t>A</t>
    </r>
    <r>
      <rPr>
        <b/>
        <vertAlign val="subscript"/>
        <sz val="12"/>
        <color theme="1"/>
        <rFont val="Calibri (Body)"/>
      </rPr>
      <t>SD</t>
    </r>
  </si>
  <si>
    <r>
      <t>(d</t>
    </r>
    <r>
      <rPr>
        <b/>
        <vertAlign val="superscript"/>
        <sz val="12"/>
        <color theme="1"/>
        <rFont val="Calibri (Body)"/>
      </rPr>
      <t>2</t>
    </r>
    <r>
      <rPr>
        <b/>
        <sz val="12"/>
        <color theme="1"/>
        <rFont val="Symbol"/>
        <charset val="2"/>
      </rPr>
      <t>a</t>
    </r>
    <r>
      <rPr>
        <b/>
        <sz val="12"/>
        <color theme="1"/>
        <rFont val="Calibri"/>
        <family val="2"/>
        <scheme val="minor"/>
      </rPr>
      <t>/dt</t>
    </r>
    <r>
      <rPr>
        <b/>
        <vertAlign val="superscript"/>
        <sz val="12"/>
        <color theme="1"/>
        <rFont val="Calibri (Body)"/>
      </rPr>
      <t>2</t>
    </r>
    <r>
      <rPr>
        <b/>
        <sz val="12"/>
        <color theme="1"/>
        <rFont val="Calibri"/>
        <family val="2"/>
        <scheme val="minor"/>
      </rPr>
      <t>)</t>
    </r>
    <r>
      <rPr>
        <b/>
        <vertAlign val="subscript"/>
        <sz val="12"/>
        <color theme="1"/>
        <rFont val="Calibri (Body)"/>
      </rPr>
      <t>2</t>
    </r>
    <r>
      <rPr>
        <b/>
        <sz val="12"/>
        <color theme="1"/>
        <rFont val="Calibri"/>
        <family val="2"/>
        <scheme val="minor"/>
      </rPr>
      <t>/(d</t>
    </r>
    <r>
      <rPr>
        <b/>
        <vertAlign val="superscript"/>
        <sz val="12"/>
        <color theme="1"/>
        <rFont val="Calibri (Body)"/>
      </rPr>
      <t>2</t>
    </r>
    <r>
      <rPr>
        <b/>
        <sz val="12"/>
        <color theme="1"/>
        <rFont val="Symbol"/>
        <charset val="2"/>
      </rPr>
      <t>a</t>
    </r>
    <r>
      <rPr>
        <b/>
        <sz val="12"/>
        <color theme="1"/>
        <rFont val="Calibri"/>
        <family val="2"/>
        <scheme val="minor"/>
      </rPr>
      <t>/dt</t>
    </r>
    <r>
      <rPr>
        <b/>
        <vertAlign val="superscript"/>
        <sz val="12"/>
        <color theme="1"/>
        <rFont val="Calibri (Body)"/>
      </rPr>
      <t>2</t>
    </r>
    <r>
      <rPr>
        <b/>
        <sz val="12"/>
        <color theme="1"/>
        <rFont val="Calibri"/>
        <family val="2"/>
        <scheme val="minor"/>
      </rPr>
      <t>)</t>
    </r>
    <r>
      <rPr>
        <b/>
        <vertAlign val="subscript"/>
        <sz val="12"/>
        <color theme="1"/>
        <rFont val="Calibri (Body)"/>
      </rPr>
      <t>1</t>
    </r>
  </si>
  <si>
    <t>KISSINGER METHOD - DECONVOLUTED - MECHANISM 2</t>
  </si>
  <si>
    <t>KISSINGER METHOD - DECONVOLUTED - MECHANISM 3</t>
  </si>
  <si>
    <t>KISSINGER METHOD - DECONVOLUTED - MECHANISM 4</t>
  </si>
  <si>
    <t>Ea [J/mol]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</si>
</sst>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00"/>
    <numFmt numFmtId="165" formatCode="0.00000"/>
    <numFmt numFmtId="166" formatCode="0.00000E+00"/>
    <numFmt numFmtId="167" formatCode="0.000000"/>
    <numFmt numFmtId="168" formatCode="0.00000000"/>
    <numFmt numFmtId="169" formatCode="0E+00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 (Body)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vertAlign val="superscript"/>
      <sz val="12"/>
      <color rgb="FF000000"/>
      <name val="Calibri (Body)"/>
    </font>
    <font>
      <b/>
      <sz val="12"/>
      <color theme="1"/>
      <name val="Symbol"/>
      <charset val="2"/>
    </font>
    <font>
      <b/>
      <vertAlign val="subscript"/>
      <sz val="12"/>
      <color theme="1"/>
      <name val="Calibri (Body)"/>
    </font>
    <font>
      <b/>
      <vertAlign val="subscript"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vertAlign val="subscript"/>
      <sz val="12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sz val="12"/>
      <color theme="1"/>
      <name val="Symbol"/>
      <charset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9" xfId="0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0" fillId="0" borderId="16" xfId="0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16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5" xfId="0" applyFill="1" applyBorder="1"/>
    <xf numFmtId="0" fontId="0" fillId="0" borderId="19" xfId="0" applyFill="1" applyBorder="1"/>
    <xf numFmtId="164" fontId="0" fillId="0" borderId="7" xfId="0" applyNumberFormat="1" applyFill="1" applyBorder="1" applyAlignment="1">
      <alignment horizontal="center"/>
    </xf>
    <xf numFmtId="165" fontId="0" fillId="0" borderId="0" xfId="0" applyNumberFormat="1" applyFill="1" applyBorder="1"/>
    <xf numFmtId="0" fontId="1" fillId="0" borderId="4" xfId="0" applyFon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168" fontId="0" fillId="0" borderId="7" xfId="0" applyNumberFormat="1" applyFill="1" applyBorder="1" applyAlignment="1">
      <alignment horizontal="center"/>
    </xf>
    <xf numFmtId="168" fontId="0" fillId="0" borderId="7" xfId="0" applyNumberFormat="1" applyBorder="1" applyAlignment="1">
      <alignment horizontal="center"/>
    </xf>
    <xf numFmtId="168" fontId="0" fillId="0" borderId="16" xfId="0" applyNumberFormat="1" applyFill="1" applyBorder="1" applyAlignment="1">
      <alignment horizontal="center"/>
    </xf>
    <xf numFmtId="164" fontId="0" fillId="0" borderId="16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165" fontId="0" fillId="0" borderId="9" xfId="0" applyNumberFormat="1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12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0" fontId="0" fillId="0" borderId="9" xfId="0" applyNumberFormat="1" applyFill="1" applyBorder="1" applyAlignment="1">
      <alignment horizontal="center"/>
    </xf>
    <xf numFmtId="165" fontId="0" fillId="0" borderId="9" xfId="0" applyNumberFormat="1" applyFon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0" fontId="4" fillId="0" borderId="8" xfId="0" applyFon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5" fontId="0" fillId="0" borderId="5" xfId="0" applyNumberFormat="1" applyFont="1" applyBorder="1" applyAlignment="1">
      <alignment horizontal="center"/>
    </xf>
    <xf numFmtId="165" fontId="0" fillId="0" borderId="7" xfId="0" applyNumberFormat="1" applyFont="1" applyBorder="1" applyAlignment="1">
      <alignment horizontal="center"/>
    </xf>
    <xf numFmtId="165" fontId="0" fillId="0" borderId="0" xfId="0" applyNumberFormat="1" applyBorder="1"/>
    <xf numFmtId="166" fontId="0" fillId="0" borderId="9" xfId="0" applyNumberFormat="1" applyFont="1" applyBorder="1" applyAlignment="1">
      <alignment horizontal="center"/>
    </xf>
    <xf numFmtId="10" fontId="0" fillId="0" borderId="20" xfId="0" applyNumberFormat="1" applyFill="1" applyBorder="1" applyAlignment="1">
      <alignment horizontal="center"/>
    </xf>
    <xf numFmtId="167" fontId="0" fillId="0" borderId="9" xfId="0" applyNumberFormat="1" applyFont="1" applyBorder="1" applyAlignment="1">
      <alignment horizontal="center"/>
    </xf>
    <xf numFmtId="0" fontId="0" fillId="0" borderId="0" xfId="0" applyFill="1" applyBorder="1" applyAlignment="1"/>
    <xf numFmtId="165" fontId="0" fillId="0" borderId="21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1" fillId="0" borderId="0" xfId="0" applyNumberFormat="1" applyFont="1" applyFill="1" applyBorder="1" applyAlignment="1"/>
    <xf numFmtId="0" fontId="0" fillId="0" borderId="0" xfId="0" applyFill="1"/>
    <xf numFmtId="165" fontId="3" fillId="0" borderId="16" xfId="0" applyNumberFormat="1" applyFont="1" applyFill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9" fontId="0" fillId="0" borderId="9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23" xfId="0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8" xfId="0" applyBorder="1"/>
    <xf numFmtId="0" fontId="0" fillId="0" borderId="33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6" xfId="0" applyBorder="1"/>
    <xf numFmtId="0" fontId="0" fillId="0" borderId="34" xfId="0" applyBorder="1"/>
    <xf numFmtId="1" fontId="0" fillId="0" borderId="34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0" xfId="0" applyBorder="1"/>
    <xf numFmtId="0" fontId="0" fillId="0" borderId="19" xfId="0" applyBorder="1" applyAlignment="1">
      <alignment horizontal="center"/>
    </xf>
    <xf numFmtId="0" fontId="0" fillId="0" borderId="37" xfId="0" applyBorder="1"/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0" borderId="37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" fontId="0" fillId="0" borderId="28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0" fontId="12" fillId="0" borderId="0" xfId="0" applyFont="1"/>
    <xf numFmtId="0" fontId="1" fillId="0" borderId="4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2" xfId="0" applyBorder="1"/>
    <xf numFmtId="0" fontId="1" fillId="0" borderId="23" xfId="0" applyFont="1" applyFill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1" fontId="0" fillId="0" borderId="40" xfId="0" applyNumberFormat="1" applyBorder="1" applyAlignment="1">
      <alignment horizontal="center"/>
    </xf>
    <xf numFmtId="11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FEM Results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3.880972275130698E-2"/>
                  <c:y val="-7.3463449124262553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IT"/>
                </a:p>
              </c:txPr>
            </c:trendlineLbl>
          </c:trendline>
          <c:xVal>
            <c:numRef>
              <c:f>'Contact Resistance - UD'!#REF!</c:f>
            </c:numRef>
          </c:xVal>
          <c:yVal>
            <c:numRef>
              <c:f>'Contact Resistance - UD'!#REF!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BD-7A41-ABE4-0B27C9EC6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1157136"/>
        <c:axId val="1765829280"/>
      </c:scatterChart>
      <c:valAx>
        <c:axId val="182115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/>
                    </a:solidFill>
                  </a:rPr>
                  <a:t>Length [m]</a:t>
                </a:r>
              </a:p>
            </c:rich>
          </c:tx>
          <c:layout>
            <c:manualLayout>
              <c:xMode val="edge"/>
              <c:yMode val="edge"/>
              <c:x val="0.4576414636713918"/>
              <c:y val="0.934827260041385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1765829280"/>
        <c:crosses val="autoZero"/>
        <c:crossBetween val="midCat"/>
      </c:valAx>
      <c:valAx>
        <c:axId val="176582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/>
                    </a:solidFill>
                  </a:rPr>
                  <a:t>Total Resistance [ohm]</a:t>
                </a:r>
              </a:p>
            </c:rich>
          </c:tx>
          <c:layout>
            <c:manualLayout>
              <c:xMode val="edge"/>
              <c:yMode val="edge"/>
              <c:x val="6.1421308422183315E-3"/>
              <c:y val="0.297712595019046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1821157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baseline="0">
                <a:solidFill>
                  <a:schemeClr val="tx1"/>
                </a:solidFill>
              </a:rPr>
              <a:t>Heating rate plot as a function of 1/Tm</a:t>
            </a:r>
          </a:p>
        </c:rich>
      </c:tx>
      <c:layout>
        <c:manualLayout>
          <c:xMode val="edge"/>
          <c:yMode val="edge"/>
          <c:x val="0.36008840856391389"/>
          <c:y val="1.3059701492537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3257015739837932"/>
                  <c:y val="-0.2097679770727188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IT"/>
                </a:p>
              </c:txPr>
            </c:trendlineLbl>
          </c:trendline>
          <c:xVal>
            <c:numRef>
              <c:f>'Chapter 4'!#REF!</c:f>
            </c:numRef>
          </c:xVal>
          <c:yVal>
            <c:numRef>
              <c:f>'Chapter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D9-B54D-995E-07509937E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70864"/>
        <c:axId val="223502064"/>
      </c:scatterChart>
      <c:valAx>
        <c:axId val="223670864"/>
        <c:scaling>
          <c:orientation val="minMax"/>
          <c:min val="1.3500000000000005E-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baseline="0">
                    <a:solidFill>
                      <a:schemeClr val="tx1"/>
                    </a:solidFill>
                  </a:rPr>
                  <a:t>1/Tm [1/K]</a:t>
                </a:r>
              </a:p>
            </c:rich>
          </c:tx>
          <c:layout>
            <c:manualLayout>
              <c:xMode val="edge"/>
              <c:yMode val="edge"/>
              <c:x val="0.48291354378094914"/>
              <c:y val="0.948638059701492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223502064"/>
        <c:crosses val="autoZero"/>
        <c:crossBetween val="midCat"/>
      </c:valAx>
      <c:valAx>
        <c:axId val="223502064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baseline="0">
                    <a:solidFill>
                      <a:schemeClr val="tx1"/>
                    </a:solidFill>
                  </a:rPr>
                  <a:t>log(dT/dt) [K/s]</a:t>
                </a:r>
              </a:p>
            </c:rich>
          </c:tx>
          <c:layout>
            <c:manualLayout>
              <c:xMode val="edge"/>
              <c:yMode val="edge"/>
              <c:x val="3.1217481789802288E-3"/>
              <c:y val="0.402220149253731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223670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Heating rate plot as a function of 1/Tm for all</a:t>
            </a:r>
            <a:r>
              <a:rPr lang="en-US" sz="1800" b="1" baseline="0">
                <a:solidFill>
                  <a:schemeClr val="tx1"/>
                </a:solidFill>
              </a:rPr>
              <a:t> m</a:t>
            </a:r>
            <a:r>
              <a:rPr lang="en-US" sz="1800" b="1">
                <a:solidFill>
                  <a:schemeClr val="tx1"/>
                </a:solidFill>
              </a:rPr>
              <a:t>echanisms using FWO method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T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v>Mechanism 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9262417038634495E-2"/>
                  <c:y val="-5.54016182859793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IT"/>
                </a:p>
              </c:txPr>
            </c:trendlineLbl>
          </c:trendline>
          <c:xVal>
            <c:numRef>
              <c:f>'Chapter 4'!#REF!</c:f>
            </c:numRef>
          </c:xVal>
          <c:yVal>
            <c:numRef>
              <c:f>'Chapter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07-C74B-B5E0-841602F3AD49}"/>
            </c:ext>
          </c:extLst>
        </c:ser>
        <c:ser>
          <c:idx val="0"/>
          <c:order val="1"/>
          <c:tx>
            <c:v>Mechanism 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3048882424728757E-2"/>
                  <c:y val="-7.022955310521757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IT"/>
                </a:p>
              </c:txPr>
            </c:trendlineLbl>
          </c:trendline>
          <c:xVal>
            <c:numRef>
              <c:f>'Chapter 4'!#REF!</c:f>
            </c:numRef>
          </c:xVal>
          <c:yVal>
            <c:numRef>
              <c:f>'Chapter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307-C74B-B5E0-841602F3AD49}"/>
            </c:ext>
          </c:extLst>
        </c:ser>
        <c:ser>
          <c:idx val="1"/>
          <c:order val="2"/>
          <c:tx>
            <c:v>Mechanism 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1700352742531391E-2"/>
                  <c:y val="-0.1843628497197169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IT"/>
                </a:p>
              </c:txPr>
            </c:trendlineLbl>
          </c:trendline>
          <c:xVal>
            <c:numRef>
              <c:f>'Chapter 4'!#REF!</c:f>
            </c:numRef>
          </c:xVal>
          <c:yVal>
            <c:numRef>
              <c:f>'Chapter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307-C74B-B5E0-841602F3AD49}"/>
            </c:ext>
          </c:extLst>
        </c:ser>
        <c:ser>
          <c:idx val="2"/>
          <c:order val="3"/>
          <c:tx>
            <c:v>Mechanism 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3.9716562034475419E-2"/>
                  <c:y val="-9.937508278754875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IT"/>
                </a:p>
              </c:txPr>
            </c:trendlineLbl>
          </c:trendline>
          <c:xVal>
            <c:numRef>
              <c:f>'Chapter 4'!#REF!</c:f>
            </c:numRef>
          </c:xVal>
          <c:yVal>
            <c:numRef>
              <c:f>'Chapter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307-C74B-B5E0-841602F3A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70864"/>
        <c:axId val="223502064"/>
      </c:scatterChart>
      <c:valAx>
        <c:axId val="223670864"/>
        <c:scaling>
          <c:orientation val="minMax"/>
          <c:min val="1.3000000000000004E-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/>
                    </a:solidFill>
                  </a:rPr>
                  <a:t>1/Tm [1/K]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223502064"/>
        <c:crosses val="autoZero"/>
        <c:crossBetween val="midCat"/>
      </c:valAx>
      <c:valAx>
        <c:axId val="223502064"/>
        <c:scaling>
          <c:orientation val="minMax"/>
          <c:max val="1"/>
          <c:min val="-2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/>
                    </a:solidFill>
                  </a:rPr>
                  <a:t>log(dT/dt) [K/s]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223670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0</xdr:colOff>
      <xdr:row>51</xdr:row>
      <xdr:rowOff>0</xdr:rowOff>
    </xdr:from>
    <xdr:to>
      <xdr:col>53</xdr:col>
      <xdr:colOff>603374</xdr:colOff>
      <xdr:row>75</xdr:row>
      <xdr:rowOff>92635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12700</xdr:rowOff>
    </xdr:from>
    <xdr:to>
      <xdr:col>0</xdr:col>
      <xdr:colOff>25400</xdr:colOff>
      <xdr:row>99</xdr:row>
      <xdr:rowOff>127000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911BD68-93DD-EA47-8D95-EDE62E6F6F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63</xdr:row>
      <xdr:rowOff>0</xdr:rowOff>
    </xdr:from>
    <xdr:to>
      <xdr:col>24</xdr:col>
      <xdr:colOff>12700</xdr:colOff>
      <xdr:row>96</xdr:row>
      <xdr:rowOff>193675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42BA2D-1115-224A-A934-84A4375BC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C11F8-DA40-D546-96E2-A776204D847F}">
  <dimension ref="B1:AU51"/>
  <sheetViews>
    <sheetView tabSelected="1" topLeftCell="AP25" zoomScale="150" zoomScaleNormal="150" workbookViewId="0">
      <selection activeCell="AS42" sqref="AS42"/>
    </sheetView>
  </sheetViews>
  <sheetFormatPr baseColWidth="10" defaultRowHeight="16" x14ac:dyDescent="0.2"/>
  <cols>
    <col min="2" max="3" width="40.83203125" customWidth="1"/>
    <col min="4" max="4" width="20.83203125" customWidth="1"/>
    <col min="5" max="6" width="40.83203125" customWidth="1"/>
    <col min="7" max="7" width="20.83203125" customWidth="1"/>
    <col min="8" max="9" width="40.83203125" customWidth="1"/>
    <col min="10" max="10" width="20.83203125" customWidth="1"/>
    <col min="11" max="12" width="40.83203125" customWidth="1"/>
    <col min="13" max="13" width="20.83203125" customWidth="1"/>
    <col min="14" max="15" width="40.83203125" customWidth="1"/>
    <col min="16" max="16" width="20.83203125" customWidth="1"/>
    <col min="17" max="18" width="40.83203125" customWidth="1"/>
    <col min="19" max="19" width="20.83203125" customWidth="1"/>
    <col min="20" max="21" width="40.83203125" customWidth="1"/>
    <col min="22" max="22" width="20.83203125" customWidth="1"/>
    <col min="23" max="24" width="40.83203125" customWidth="1"/>
    <col min="25" max="25" width="20.83203125" customWidth="1"/>
    <col min="26" max="27" width="40.83203125" customWidth="1"/>
    <col min="28" max="28" width="20.83203125" customWidth="1"/>
    <col min="29" max="30" width="40.83203125" customWidth="1"/>
    <col min="31" max="31" width="20.83203125" customWidth="1"/>
    <col min="32" max="33" width="40.83203125" style="10" customWidth="1"/>
    <col min="34" max="34" width="20.83203125" style="10" customWidth="1"/>
    <col min="35" max="36" width="40.83203125" style="10" customWidth="1"/>
    <col min="37" max="37" width="20.83203125" style="10" customWidth="1"/>
    <col min="38" max="39" width="40.83203125" style="10" customWidth="1"/>
    <col min="40" max="40" width="20.83203125" style="10" customWidth="1"/>
    <col min="41" max="42" width="40.83203125" style="10" customWidth="1"/>
    <col min="43" max="43" width="20.83203125" style="10" customWidth="1"/>
    <col min="44" max="44" width="40.83203125" style="10" customWidth="1"/>
    <col min="45" max="45" width="40.83203125" customWidth="1"/>
  </cols>
  <sheetData>
    <row r="1" spans="2:47" x14ac:dyDescent="0.2">
      <c r="AF1"/>
      <c r="AG1"/>
      <c r="AH1"/>
      <c r="AI1"/>
      <c r="AJ1"/>
      <c r="AK1"/>
      <c r="AL1"/>
      <c r="AM1"/>
      <c r="AN1"/>
      <c r="AO1"/>
      <c r="AP1"/>
      <c r="AQ1"/>
      <c r="AR1"/>
    </row>
    <row r="2" spans="2:47" x14ac:dyDescent="0.2">
      <c r="AF2"/>
      <c r="AG2"/>
      <c r="AH2"/>
      <c r="AI2"/>
      <c r="AJ2"/>
      <c r="AK2"/>
      <c r="AL2"/>
      <c r="AM2"/>
      <c r="AN2"/>
      <c r="AO2"/>
      <c r="AP2"/>
      <c r="AQ2"/>
      <c r="AR2"/>
    </row>
    <row r="3" spans="2:47" x14ac:dyDescent="0.2">
      <c r="AF3"/>
      <c r="AG3"/>
      <c r="AH3"/>
      <c r="AI3"/>
      <c r="AJ3"/>
      <c r="AK3"/>
      <c r="AL3"/>
      <c r="AM3"/>
      <c r="AN3"/>
      <c r="AO3"/>
      <c r="AP3"/>
      <c r="AQ3"/>
      <c r="AR3"/>
    </row>
    <row r="4" spans="2:47" ht="17" thickBot="1" x14ac:dyDescent="0.25">
      <c r="AF4"/>
      <c r="AG4"/>
      <c r="AH4"/>
      <c r="AI4"/>
      <c r="AJ4"/>
      <c r="AK4"/>
      <c r="AL4"/>
      <c r="AM4"/>
      <c r="AN4"/>
      <c r="AO4"/>
      <c r="AP4"/>
      <c r="AQ4"/>
      <c r="AR4"/>
      <c r="AS4" s="2"/>
      <c r="AT4" s="2"/>
    </row>
    <row r="5" spans="2:47" ht="17" thickBot="1" x14ac:dyDescent="0.25">
      <c r="B5" s="118" t="s">
        <v>14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19"/>
      <c r="P5" s="1"/>
      <c r="Q5" s="118" t="s">
        <v>31</v>
      </c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19"/>
      <c r="AE5" s="1"/>
      <c r="AF5" s="118" t="s">
        <v>13</v>
      </c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5"/>
      <c r="AU5" s="2"/>
    </row>
    <row r="6" spans="2:47" ht="17" thickBot="1" x14ac:dyDescent="0.25">
      <c r="B6" s="118" t="s">
        <v>29</v>
      </c>
      <c r="C6" s="119"/>
      <c r="D6" s="2"/>
      <c r="E6" s="118" t="s">
        <v>30</v>
      </c>
      <c r="F6" s="119"/>
      <c r="G6" s="2"/>
      <c r="H6" s="118" t="s">
        <v>22</v>
      </c>
      <c r="I6" s="119"/>
      <c r="J6" s="2"/>
      <c r="K6" s="118" t="s">
        <v>23</v>
      </c>
      <c r="L6" s="119"/>
      <c r="M6" s="2"/>
      <c r="N6" s="124" t="s">
        <v>24</v>
      </c>
      <c r="O6" s="125"/>
      <c r="P6" s="1"/>
      <c r="Q6" s="122" t="s">
        <v>27</v>
      </c>
      <c r="R6" s="123"/>
      <c r="S6" s="2"/>
      <c r="T6" s="118" t="s">
        <v>28</v>
      </c>
      <c r="U6" s="119"/>
      <c r="V6" s="2"/>
      <c r="W6" s="118" t="s">
        <v>19</v>
      </c>
      <c r="X6" s="119"/>
      <c r="Y6" s="2"/>
      <c r="Z6" s="124" t="s">
        <v>20</v>
      </c>
      <c r="AA6" s="125"/>
      <c r="AB6" s="2"/>
      <c r="AC6" s="124" t="s">
        <v>21</v>
      </c>
      <c r="AD6" s="125"/>
      <c r="AE6" s="1"/>
      <c r="AF6" s="118" t="s">
        <v>25</v>
      </c>
      <c r="AG6" s="119"/>
      <c r="AH6" s="2"/>
      <c r="AI6" s="118" t="s">
        <v>26</v>
      </c>
      <c r="AJ6" s="119"/>
      <c r="AK6" s="2"/>
      <c r="AL6" s="118" t="s">
        <v>16</v>
      </c>
      <c r="AM6" s="119"/>
      <c r="AN6" s="2"/>
      <c r="AO6" s="118" t="s">
        <v>17</v>
      </c>
      <c r="AP6" s="119"/>
      <c r="AQ6" s="2"/>
      <c r="AR6" s="118" t="s">
        <v>18</v>
      </c>
      <c r="AS6" s="119"/>
      <c r="AT6" s="5"/>
      <c r="AU6" s="2"/>
    </row>
    <row r="7" spans="2:47" x14ac:dyDescent="0.2">
      <c r="B7" s="116" t="s">
        <v>35</v>
      </c>
      <c r="C7" s="117"/>
      <c r="D7" s="2"/>
      <c r="E7" s="116" t="s">
        <v>35</v>
      </c>
      <c r="F7" s="117"/>
      <c r="G7" s="2"/>
      <c r="H7" s="116" t="s">
        <v>35</v>
      </c>
      <c r="I7" s="117"/>
      <c r="J7" s="10"/>
      <c r="K7" s="116" t="s">
        <v>35</v>
      </c>
      <c r="L7" s="117"/>
      <c r="M7" s="2"/>
      <c r="N7" s="116" t="s">
        <v>35</v>
      </c>
      <c r="O7" s="117"/>
      <c r="P7" s="1"/>
      <c r="Q7" s="116" t="s">
        <v>35</v>
      </c>
      <c r="R7" s="117"/>
      <c r="S7" s="2"/>
      <c r="T7" s="116" t="s">
        <v>35</v>
      </c>
      <c r="U7" s="117"/>
      <c r="V7" s="2"/>
      <c r="W7" s="116" t="s">
        <v>35</v>
      </c>
      <c r="X7" s="117"/>
      <c r="Y7" s="2"/>
      <c r="Z7" s="116" t="s">
        <v>35</v>
      </c>
      <c r="AA7" s="117"/>
      <c r="AB7" s="2"/>
      <c r="AC7" s="116" t="s">
        <v>35</v>
      </c>
      <c r="AD7" s="117"/>
      <c r="AE7" s="1"/>
      <c r="AF7" s="116" t="s">
        <v>35</v>
      </c>
      <c r="AG7" s="117"/>
      <c r="AH7" s="2"/>
      <c r="AI7" s="116" t="s">
        <v>35</v>
      </c>
      <c r="AJ7" s="117"/>
      <c r="AK7" s="2"/>
      <c r="AL7" s="116" t="s">
        <v>35</v>
      </c>
      <c r="AM7" s="117"/>
      <c r="AN7" s="2"/>
      <c r="AO7" s="116" t="s">
        <v>35</v>
      </c>
      <c r="AP7" s="117"/>
      <c r="AQ7" s="2"/>
      <c r="AR7" s="116" t="s">
        <v>35</v>
      </c>
      <c r="AS7" s="117"/>
      <c r="AT7" s="5"/>
      <c r="AU7" s="2"/>
    </row>
    <row r="8" spans="2:47" x14ac:dyDescent="0.2">
      <c r="B8" s="49" t="s">
        <v>3</v>
      </c>
      <c r="C8" s="9" t="s">
        <v>34</v>
      </c>
      <c r="D8" s="2"/>
      <c r="E8" s="49" t="s">
        <v>3</v>
      </c>
      <c r="F8" s="9" t="s">
        <v>34</v>
      </c>
      <c r="G8" s="2"/>
      <c r="H8" s="49" t="s">
        <v>3</v>
      </c>
      <c r="I8" s="9" t="s">
        <v>34</v>
      </c>
      <c r="J8" s="10"/>
      <c r="K8" s="49" t="s">
        <v>3</v>
      </c>
      <c r="L8" s="9" t="s">
        <v>34</v>
      </c>
      <c r="M8" s="2"/>
      <c r="N8" s="49" t="s">
        <v>3</v>
      </c>
      <c r="O8" s="9" t="s">
        <v>34</v>
      </c>
      <c r="P8" s="1"/>
      <c r="Q8" s="49" t="s">
        <v>3</v>
      </c>
      <c r="R8" s="9" t="s">
        <v>34</v>
      </c>
      <c r="S8" s="2"/>
      <c r="T8" s="49" t="s">
        <v>3</v>
      </c>
      <c r="U8" s="9" t="s">
        <v>34</v>
      </c>
      <c r="V8" s="2"/>
      <c r="W8" s="49" t="s">
        <v>3</v>
      </c>
      <c r="X8" s="9" t="s">
        <v>34</v>
      </c>
      <c r="Y8" s="2"/>
      <c r="Z8" s="49" t="s">
        <v>3</v>
      </c>
      <c r="AA8" s="9" t="s">
        <v>34</v>
      </c>
      <c r="AB8" s="2"/>
      <c r="AC8" s="49" t="s">
        <v>3</v>
      </c>
      <c r="AD8" s="9" t="s">
        <v>34</v>
      </c>
      <c r="AE8" s="1"/>
      <c r="AF8" s="49" t="s">
        <v>3</v>
      </c>
      <c r="AG8" s="9" t="s">
        <v>34</v>
      </c>
      <c r="AH8" s="2"/>
      <c r="AI8" s="49" t="s">
        <v>3</v>
      </c>
      <c r="AJ8" s="9" t="s">
        <v>34</v>
      </c>
      <c r="AK8" s="2"/>
      <c r="AL8" s="49" t="s">
        <v>3</v>
      </c>
      <c r="AM8" s="9" t="s">
        <v>34</v>
      </c>
      <c r="AN8" s="2"/>
      <c r="AO8" s="49" t="s">
        <v>3</v>
      </c>
      <c r="AP8" s="9" t="s">
        <v>34</v>
      </c>
      <c r="AQ8" s="2"/>
      <c r="AR8" s="49" t="s">
        <v>3</v>
      </c>
      <c r="AS8" s="9" t="s">
        <v>34</v>
      </c>
      <c r="AT8" s="5"/>
      <c r="AU8" s="2"/>
    </row>
    <row r="9" spans="2:47" x14ac:dyDescent="0.2">
      <c r="B9" s="19" t="s">
        <v>1</v>
      </c>
      <c r="C9" s="36">
        <v>5.1013269537480074E-3</v>
      </c>
      <c r="D9" s="10"/>
      <c r="E9" s="19" t="s">
        <v>1</v>
      </c>
      <c r="F9" s="58">
        <v>3.8146177847113896E-2</v>
      </c>
      <c r="G9" s="2"/>
      <c r="H9" s="19" t="s">
        <v>1</v>
      </c>
      <c r="I9" s="58">
        <v>4.2989969266402389E-2</v>
      </c>
      <c r="J9" s="10"/>
      <c r="K9" s="19" t="s">
        <v>1</v>
      </c>
      <c r="L9" s="58">
        <v>4.4348937574237829E-2</v>
      </c>
      <c r="M9" s="2"/>
      <c r="N9" s="19" t="s">
        <v>1</v>
      </c>
      <c r="O9" s="58">
        <v>2.1920538461538464E-2</v>
      </c>
      <c r="P9" s="1"/>
      <c r="Q9" s="19" t="s">
        <v>1</v>
      </c>
      <c r="R9" s="58">
        <v>3.8306056236481575E-2</v>
      </c>
      <c r="S9" s="10"/>
      <c r="T9" s="19" t="s">
        <v>1</v>
      </c>
      <c r="U9" s="58">
        <v>0.12763784665579125</v>
      </c>
      <c r="V9" s="2"/>
      <c r="W9" s="19" t="s">
        <v>1</v>
      </c>
      <c r="X9" s="24">
        <v>7.9440451359206687E-2</v>
      </c>
      <c r="Y9" s="2"/>
      <c r="Z9" s="19" t="s">
        <v>1</v>
      </c>
      <c r="AA9" s="36">
        <v>7.6845223201592275E-2</v>
      </c>
      <c r="AB9" s="2"/>
      <c r="AC9" s="19" t="s">
        <v>1</v>
      </c>
      <c r="AD9" s="58">
        <v>6.3211377154186371E-2</v>
      </c>
      <c r="AE9" s="1"/>
      <c r="AF9" s="19" t="s">
        <v>1</v>
      </c>
      <c r="AG9" s="36">
        <v>0.88800000000000001</v>
      </c>
      <c r="AI9" s="19" t="s">
        <v>1</v>
      </c>
      <c r="AJ9" s="58">
        <v>8.482665969073361</v>
      </c>
      <c r="AK9" s="2"/>
      <c r="AL9" s="19" t="s">
        <v>1</v>
      </c>
      <c r="AM9" s="36">
        <v>2.1003986293546544</v>
      </c>
      <c r="AN9" s="2"/>
      <c r="AO9" s="19" t="s">
        <v>1</v>
      </c>
      <c r="AP9" s="36">
        <v>1.6207796293147425</v>
      </c>
      <c r="AQ9" s="2"/>
      <c r="AR9" s="19" t="s">
        <v>1</v>
      </c>
      <c r="AS9" s="58">
        <v>1.128201514269074</v>
      </c>
      <c r="AT9" s="5"/>
      <c r="AU9" s="2"/>
    </row>
    <row r="10" spans="2:47" x14ac:dyDescent="0.2">
      <c r="B10" s="47" t="s">
        <v>2</v>
      </c>
      <c r="C10" s="42">
        <v>5.0034832535885169E-3</v>
      </c>
      <c r="D10" s="10"/>
      <c r="E10" s="47" t="s">
        <v>2</v>
      </c>
      <c r="F10" s="58">
        <v>3.8945163806552267E-2</v>
      </c>
      <c r="G10" s="2"/>
      <c r="H10" s="47" t="s">
        <v>2</v>
      </c>
      <c r="I10" s="58">
        <v>4.2602013273350836E-2</v>
      </c>
      <c r="J10" s="10"/>
      <c r="K10" s="47" t="s">
        <v>2</v>
      </c>
      <c r="L10" s="58">
        <v>4.3374123443755221E-2</v>
      </c>
      <c r="M10" s="2"/>
      <c r="N10" s="47" t="s">
        <v>2</v>
      </c>
      <c r="O10" s="58">
        <v>2.1274384615384622E-2</v>
      </c>
      <c r="P10" s="1"/>
      <c r="Q10" s="47" t="s">
        <v>2</v>
      </c>
      <c r="R10" s="58">
        <v>4.0557197788993013E-2</v>
      </c>
      <c r="S10" s="10"/>
      <c r="T10" s="47" t="s">
        <v>2</v>
      </c>
      <c r="U10" s="58">
        <v>0.124771044045677</v>
      </c>
      <c r="V10" s="2"/>
      <c r="W10" s="47" t="s">
        <v>2</v>
      </c>
      <c r="X10" s="24">
        <v>7.9518934860659932E-2</v>
      </c>
      <c r="Y10" s="2"/>
      <c r="Z10" s="47" t="s">
        <v>2</v>
      </c>
      <c r="AA10" s="36">
        <v>7.4990325561558144E-2</v>
      </c>
      <c r="AB10" s="2"/>
      <c r="AC10" s="47" t="s">
        <v>2</v>
      </c>
      <c r="AD10" s="58">
        <v>6.2199100198261414E-2</v>
      </c>
      <c r="AE10" s="1"/>
      <c r="AF10" s="47" t="s">
        <v>2</v>
      </c>
      <c r="AG10" s="42">
        <v>0.88980000000000004</v>
      </c>
      <c r="AI10" s="47" t="s">
        <v>2</v>
      </c>
      <c r="AJ10" s="58">
        <v>8.5096953842576468</v>
      </c>
      <c r="AK10" s="2"/>
      <c r="AL10" s="47" t="s">
        <v>2</v>
      </c>
      <c r="AM10" s="42">
        <v>2.0903986293546546</v>
      </c>
      <c r="AN10" s="2"/>
      <c r="AO10" s="47" t="s">
        <v>2</v>
      </c>
      <c r="AP10" s="42">
        <v>1.6219449073286856</v>
      </c>
      <c r="AQ10" s="2"/>
      <c r="AR10" s="47" t="s">
        <v>2</v>
      </c>
      <c r="AS10" s="58">
        <v>1.1342015142690738</v>
      </c>
      <c r="AT10" s="5"/>
      <c r="AU10" s="2"/>
    </row>
    <row r="11" spans="2:47" x14ac:dyDescent="0.2">
      <c r="B11" s="8" t="s">
        <v>37</v>
      </c>
      <c r="C11" s="52">
        <f>AVERAGE(C9,C10)</f>
        <v>5.0524051036682626E-3</v>
      </c>
      <c r="D11" s="10"/>
      <c r="E11" s="19" t="s">
        <v>6</v>
      </c>
      <c r="F11" s="58">
        <v>3.9714775846294612E-2</v>
      </c>
      <c r="G11" s="2"/>
      <c r="H11" s="19" t="s">
        <v>6</v>
      </c>
      <c r="I11" s="58">
        <v>3.8477024364027224E-2</v>
      </c>
      <c r="J11" s="10"/>
      <c r="K11" s="19" t="s">
        <v>6</v>
      </c>
      <c r="L11" s="58">
        <v>3.7465874803450767E-2</v>
      </c>
      <c r="M11" s="2"/>
      <c r="N11" s="19" t="s">
        <v>6</v>
      </c>
      <c r="O11" s="58">
        <v>2.4262110075295829E-2</v>
      </c>
      <c r="P11" s="1"/>
      <c r="Q11" s="19" t="s">
        <v>6</v>
      </c>
      <c r="R11" s="58">
        <v>2.5622440944881864E-2</v>
      </c>
      <c r="S11" s="10"/>
      <c r="T11" s="19" t="s">
        <v>6</v>
      </c>
      <c r="U11" s="58">
        <v>0.13195384118786316</v>
      </c>
      <c r="V11" s="2"/>
      <c r="W11" s="19" t="s">
        <v>6</v>
      </c>
      <c r="X11" s="24">
        <v>8.1425672099712382E-2</v>
      </c>
      <c r="Y11" s="2"/>
      <c r="Z11" s="19" t="s">
        <v>6</v>
      </c>
      <c r="AA11" s="36">
        <v>6.9391954328199668E-2</v>
      </c>
      <c r="AB11" s="2"/>
      <c r="AC11" s="19" t="s">
        <v>6</v>
      </c>
      <c r="AD11" s="58">
        <v>6.9923859559200385E-2</v>
      </c>
      <c r="AE11" s="1"/>
      <c r="AF11" s="8" t="s">
        <v>37</v>
      </c>
      <c r="AG11" s="52">
        <f>AVERAGE(AG9:AG10)</f>
        <v>0.88890000000000002</v>
      </c>
      <c r="AI11" s="8" t="s">
        <v>37</v>
      </c>
      <c r="AJ11" s="52">
        <f>AVERAGE(AJ9:AJ10)</f>
        <v>8.496180676665503</v>
      </c>
      <c r="AK11" s="2"/>
      <c r="AL11" s="8" t="s">
        <v>37</v>
      </c>
      <c r="AM11" s="52">
        <f>AVERAGE(AM9:AM10)</f>
        <v>2.0953986293546545</v>
      </c>
      <c r="AN11" s="2"/>
      <c r="AO11" s="8" t="s">
        <v>37</v>
      </c>
      <c r="AP11" s="52">
        <f>AVERAGE(AP9:AP10)</f>
        <v>1.6213622683217142</v>
      </c>
      <c r="AQ11" s="2"/>
      <c r="AR11" s="8" t="s">
        <v>37</v>
      </c>
      <c r="AS11" s="52">
        <f>AVERAGE(AS9:AS10)</f>
        <v>1.1312015142690739</v>
      </c>
      <c r="AT11" s="5"/>
      <c r="AU11" s="2"/>
    </row>
    <row r="12" spans="2:47" x14ac:dyDescent="0.2">
      <c r="B12" s="22" t="s">
        <v>38</v>
      </c>
      <c r="C12" s="36">
        <f>STDEV(C9:C10)/2</f>
        <v>3.4592971939579509E-5</v>
      </c>
      <c r="D12" s="10"/>
      <c r="E12" s="47" t="s">
        <v>7</v>
      </c>
      <c r="F12" s="58">
        <v>3.89021043000915E-2</v>
      </c>
      <c r="G12" s="2"/>
      <c r="H12" s="47" t="s">
        <v>7</v>
      </c>
      <c r="I12" s="58">
        <v>3.7904998208527413E-2</v>
      </c>
      <c r="J12" s="10"/>
      <c r="K12" s="47" t="s">
        <v>7</v>
      </c>
      <c r="L12" s="58">
        <v>3.7155344014279036E-2</v>
      </c>
      <c r="M12" s="2"/>
      <c r="N12" s="47" t="s">
        <v>7</v>
      </c>
      <c r="O12" s="43">
        <v>2.3901523843671574E-2</v>
      </c>
      <c r="P12" s="1"/>
      <c r="Q12" s="47" t="s">
        <v>7</v>
      </c>
      <c r="R12" s="58">
        <v>2.5090157480314929E-2</v>
      </c>
      <c r="S12" s="10"/>
      <c r="T12" s="47" t="s">
        <v>7</v>
      </c>
      <c r="U12" s="43">
        <v>0.13146739832149776</v>
      </c>
      <c r="V12" s="2"/>
      <c r="W12" s="47" t="s">
        <v>7</v>
      </c>
      <c r="X12" s="24">
        <v>8.10796356663471E-2</v>
      </c>
      <c r="Y12" s="2"/>
      <c r="Z12" s="47" t="s">
        <v>7</v>
      </c>
      <c r="AA12" s="42">
        <v>6.7930642591609136E-2</v>
      </c>
      <c r="AB12" s="2"/>
      <c r="AC12" s="47" t="s">
        <v>7</v>
      </c>
      <c r="AD12" s="58">
        <v>6.9576447975397221E-2</v>
      </c>
      <c r="AE12" s="1"/>
      <c r="AF12" s="22" t="s">
        <v>38</v>
      </c>
      <c r="AG12" s="36">
        <f>STDEV(AG9:AG10)/2</f>
        <v>6.3639610306790123E-4</v>
      </c>
      <c r="AI12" s="22" t="s">
        <v>38</v>
      </c>
      <c r="AJ12" s="36">
        <f>STDEV(AJ9:AJ10)/2</f>
        <v>9.5563413841575646E-3</v>
      </c>
      <c r="AK12" s="2"/>
      <c r="AL12" s="22" t="s">
        <v>38</v>
      </c>
      <c r="AM12" s="36">
        <f>STDEV(AM9:AM10)/2</f>
        <v>3.5355339059326622E-3</v>
      </c>
      <c r="AN12" s="2"/>
      <c r="AO12" s="22" t="s">
        <v>38</v>
      </c>
      <c r="AP12" s="36">
        <f>STDEV(AP9:AP10)/2</f>
        <v>4.1198799281336526E-4</v>
      </c>
      <c r="AQ12" s="2"/>
      <c r="AR12" s="22" t="s">
        <v>38</v>
      </c>
      <c r="AS12" s="36">
        <f>STDEV(AS9:AS10)/2</f>
        <v>2.1213203435595661E-3</v>
      </c>
      <c r="AT12" s="5"/>
      <c r="AU12" s="2"/>
    </row>
    <row r="13" spans="2:47" ht="17" thickBot="1" x14ac:dyDescent="0.25">
      <c r="B13" s="25" t="s">
        <v>40</v>
      </c>
      <c r="C13" s="51">
        <f>C12+(0.001*C11/2)</f>
        <v>3.7119174491413643E-5</v>
      </c>
      <c r="D13" s="10"/>
      <c r="E13" s="8" t="s">
        <v>37</v>
      </c>
      <c r="F13" s="52">
        <f>AVERAGE(F9:F12)</f>
        <v>3.8927055450013071E-2</v>
      </c>
      <c r="G13" s="2"/>
      <c r="H13" s="8" t="s">
        <v>37</v>
      </c>
      <c r="I13" s="52">
        <f>AVERAGE(I9:I12)</f>
        <v>4.0493501278076965E-2</v>
      </c>
      <c r="J13" s="10"/>
      <c r="K13" s="8" t="s">
        <v>37</v>
      </c>
      <c r="L13" s="52">
        <f>AVERAGE(L9:L12)</f>
        <v>4.0586069958930708E-2</v>
      </c>
      <c r="M13" s="2"/>
      <c r="N13" s="8" t="s">
        <v>37</v>
      </c>
      <c r="O13" s="52">
        <f>AVERAGE(O9:O12)</f>
        <v>2.2839639248972622E-2</v>
      </c>
      <c r="P13" s="1"/>
      <c r="Q13" s="8" t="s">
        <v>37</v>
      </c>
      <c r="R13" s="52">
        <f>AVERAGE(R9:R12)</f>
        <v>3.2393963112667845E-2</v>
      </c>
      <c r="S13" s="10"/>
      <c r="T13" s="8" t="s">
        <v>37</v>
      </c>
      <c r="U13" s="52">
        <f>AVERAGE(U9:U12)</f>
        <v>0.12895753255270731</v>
      </c>
      <c r="V13" s="2"/>
      <c r="W13" s="8" t="s">
        <v>37</v>
      </c>
      <c r="X13" s="52">
        <f>AVERAGE(X9:X12)</f>
        <v>8.0366173496481522E-2</v>
      </c>
      <c r="Y13" s="2"/>
      <c r="Z13" s="8" t="s">
        <v>37</v>
      </c>
      <c r="AA13" s="52">
        <f>AVERAGE(AA9:AA12)</f>
        <v>7.2289536420739806E-2</v>
      </c>
      <c r="AB13" s="2"/>
      <c r="AC13" s="8" t="s">
        <v>37</v>
      </c>
      <c r="AD13" s="52">
        <f>AVERAGE(AD9:AD12)</f>
        <v>6.6227696221761348E-2</v>
      </c>
      <c r="AE13" s="1"/>
      <c r="AF13" s="25" t="s">
        <v>40</v>
      </c>
      <c r="AG13" s="51">
        <f>AG12+(0.001*AG11/2)</f>
        <v>1.0808461030679013E-3</v>
      </c>
      <c r="AI13" s="25" t="s">
        <v>40</v>
      </c>
      <c r="AJ13" s="51">
        <f>AJ12+(0.001*AJ11/2)</f>
        <v>1.3804431722490317E-2</v>
      </c>
      <c r="AK13" s="2"/>
      <c r="AL13" s="25" t="s">
        <v>40</v>
      </c>
      <c r="AM13" s="51">
        <f>AM12+(0.001*AM11/2)</f>
        <v>4.5832332206099894E-3</v>
      </c>
      <c r="AN13" s="2"/>
      <c r="AO13" s="25" t="s">
        <v>40</v>
      </c>
      <c r="AP13" s="51">
        <f>AP12+(0.001*AP11/2)</f>
        <v>1.2226691269742224E-3</v>
      </c>
      <c r="AQ13" s="2"/>
      <c r="AR13" s="25" t="s">
        <v>40</v>
      </c>
      <c r="AS13" s="51">
        <f>AS12+(0.001*AS11/2)</f>
        <v>2.6869211006941033E-3</v>
      </c>
      <c r="AT13" s="5"/>
      <c r="AU13" s="2"/>
    </row>
    <row r="14" spans="2:47" ht="17" thickBot="1" x14ac:dyDescent="0.25">
      <c r="B14" s="31"/>
      <c r="C14" s="12"/>
      <c r="D14" s="10"/>
      <c r="E14" s="22" t="s">
        <v>38</v>
      </c>
      <c r="F14" s="36">
        <f>STDEV(F9:F12)/2</f>
        <v>3.2031543384171434E-4</v>
      </c>
      <c r="G14" s="2"/>
      <c r="H14" s="22" t="s">
        <v>38</v>
      </c>
      <c r="I14" s="36">
        <f>STDEV(I9:I12)/2</f>
        <v>1.3368090906118698E-3</v>
      </c>
      <c r="J14" s="10"/>
      <c r="K14" s="22" t="s">
        <v>38</v>
      </c>
      <c r="L14" s="36">
        <f>STDEV(L9:L12)/2</f>
        <v>1.9025840594692044E-3</v>
      </c>
      <c r="M14" s="2"/>
      <c r="N14" s="22" t="s">
        <v>38</v>
      </c>
      <c r="O14" s="36">
        <f>STDEV(O9:O12)/2</f>
        <v>7.3290463622665907E-4</v>
      </c>
      <c r="P14" s="1"/>
      <c r="Q14" s="22" t="s">
        <v>38</v>
      </c>
      <c r="R14" s="36">
        <f>STDEV(R9:R12)/2</f>
        <v>4.0905412709221671E-3</v>
      </c>
      <c r="S14" s="10"/>
      <c r="T14" s="22" t="s">
        <v>38</v>
      </c>
      <c r="U14" s="36">
        <f>STDEV(U9:U12)/2</f>
        <v>1.6967014199241511E-3</v>
      </c>
      <c r="V14" s="10"/>
      <c r="W14" s="22" t="s">
        <v>38</v>
      </c>
      <c r="X14" s="36">
        <f>STDEV(X9:X12)/2</f>
        <v>5.1690911028495117E-4</v>
      </c>
      <c r="Y14" s="2"/>
      <c r="Z14" s="22" t="s">
        <v>38</v>
      </c>
      <c r="AA14" s="36">
        <f>STDEV(AA9:AA12)/2</f>
        <v>2.1495053970824489E-3</v>
      </c>
      <c r="AB14" s="2"/>
      <c r="AC14" s="22" t="s">
        <v>38</v>
      </c>
      <c r="AD14" s="36">
        <f>STDEV(AD9:AD12)/2</f>
        <v>2.0453917384061927E-3</v>
      </c>
      <c r="AE14" s="1"/>
      <c r="AF14" s="31"/>
      <c r="AG14" s="12"/>
      <c r="AI14" s="31"/>
      <c r="AJ14" s="12"/>
      <c r="AK14" s="2"/>
      <c r="AL14" s="31"/>
      <c r="AM14" s="12"/>
      <c r="AN14" s="2"/>
      <c r="AO14" s="31"/>
      <c r="AP14" s="12"/>
      <c r="AQ14" s="2"/>
      <c r="AR14" s="31"/>
      <c r="AS14" s="12"/>
      <c r="AT14" s="5"/>
      <c r="AU14" s="2"/>
    </row>
    <row r="15" spans="2:47" ht="17" thickBot="1" x14ac:dyDescent="0.25">
      <c r="B15" s="126" t="s">
        <v>0</v>
      </c>
      <c r="C15" s="120"/>
      <c r="D15" s="10"/>
      <c r="E15" s="25" t="s">
        <v>40</v>
      </c>
      <c r="F15" s="51">
        <f>F14+(0.001*F13/2)</f>
        <v>3.3977896156672089E-4</v>
      </c>
      <c r="G15" s="2"/>
      <c r="H15" s="25" t="s">
        <v>40</v>
      </c>
      <c r="I15" s="51">
        <f>I14+(0.001*I13/2)</f>
        <v>1.3570558412509084E-3</v>
      </c>
      <c r="J15" s="10"/>
      <c r="K15" s="25" t="s">
        <v>40</v>
      </c>
      <c r="L15" s="51">
        <f>L14+(0.001*L13/2)</f>
        <v>1.9228770944486697E-3</v>
      </c>
      <c r="M15" s="2"/>
      <c r="N15" s="25" t="s">
        <v>40</v>
      </c>
      <c r="O15" s="51">
        <f>O14+(0.001*O13/2)</f>
        <v>7.4432445585114534E-4</v>
      </c>
      <c r="P15" s="1"/>
      <c r="Q15" s="25" t="s">
        <v>40</v>
      </c>
      <c r="R15" s="51">
        <f>R14+(0.001*R13/2)</f>
        <v>4.1067382524785012E-3</v>
      </c>
      <c r="S15" s="10"/>
      <c r="T15" s="25" t="s">
        <v>40</v>
      </c>
      <c r="U15" s="51">
        <f>U14+(0.001*U13/2)</f>
        <v>1.7611801862005049E-3</v>
      </c>
      <c r="V15" s="10"/>
      <c r="W15" s="25" t="s">
        <v>40</v>
      </c>
      <c r="X15" s="51">
        <f>X14+(0.001*X13/2)</f>
        <v>5.5709219703319198E-4</v>
      </c>
      <c r="Y15" s="2"/>
      <c r="Z15" s="25" t="s">
        <v>40</v>
      </c>
      <c r="AA15" s="51">
        <f>AA14+(0.001*AA13/2)</f>
        <v>2.1856501652928188E-3</v>
      </c>
      <c r="AB15" s="2"/>
      <c r="AC15" s="25" t="s">
        <v>40</v>
      </c>
      <c r="AD15" s="51">
        <f>AD14+(0.001*AD13/2)</f>
        <v>2.0785055865170732E-3</v>
      </c>
      <c r="AE15" s="1"/>
      <c r="AF15" s="126" t="s">
        <v>0</v>
      </c>
      <c r="AG15" s="120"/>
      <c r="AI15" s="126" t="s">
        <v>0</v>
      </c>
      <c r="AJ15" s="120"/>
      <c r="AK15" s="2"/>
      <c r="AL15" s="126" t="s">
        <v>0</v>
      </c>
      <c r="AM15" s="120"/>
      <c r="AN15" s="2"/>
      <c r="AO15" s="126" t="s">
        <v>0</v>
      </c>
      <c r="AP15" s="120"/>
      <c r="AQ15" s="2"/>
      <c r="AR15" s="126" t="s">
        <v>0</v>
      </c>
      <c r="AS15" s="120"/>
      <c r="AT15" s="5"/>
      <c r="AU15" s="2"/>
    </row>
    <row r="16" spans="2:47" ht="17" thickBot="1" x14ac:dyDescent="0.25">
      <c r="B16" s="8" t="s">
        <v>37</v>
      </c>
      <c r="C16" s="26">
        <v>1E-4</v>
      </c>
      <c r="D16" s="10"/>
      <c r="E16" s="31"/>
      <c r="F16" s="12"/>
      <c r="G16" s="2"/>
      <c r="H16" s="31"/>
      <c r="I16" s="12"/>
      <c r="J16" s="10"/>
      <c r="K16" s="31"/>
      <c r="L16" s="12"/>
      <c r="M16" s="2"/>
      <c r="N16" s="31"/>
      <c r="O16" s="12"/>
      <c r="P16" s="1"/>
      <c r="Q16" s="31"/>
      <c r="R16" s="10"/>
      <c r="S16" s="10"/>
      <c r="T16" s="31"/>
      <c r="U16" s="12"/>
      <c r="V16" s="34"/>
      <c r="W16" s="31"/>
      <c r="X16" s="12"/>
      <c r="Y16" s="2"/>
      <c r="Z16" s="31"/>
      <c r="AA16" s="12"/>
      <c r="AB16" s="2"/>
      <c r="AC16" s="31"/>
      <c r="AD16" s="12"/>
      <c r="AE16" s="1"/>
      <c r="AF16" s="8" t="s">
        <v>37</v>
      </c>
      <c r="AG16" s="26">
        <v>1.235E-2</v>
      </c>
      <c r="AI16" s="8" t="s">
        <v>37</v>
      </c>
      <c r="AJ16" s="62">
        <v>3.4027241470511171E-2</v>
      </c>
      <c r="AL16" s="8" t="s">
        <v>37</v>
      </c>
      <c r="AM16" s="62">
        <v>1.9839608956165211E-2</v>
      </c>
      <c r="AO16" s="8" t="s">
        <v>37</v>
      </c>
      <c r="AP16" s="62">
        <v>1.9549504534766671E-2</v>
      </c>
      <c r="AR16" s="8" t="s">
        <v>37</v>
      </c>
      <c r="AS16" s="62">
        <v>1.5895332452664057E-2</v>
      </c>
      <c r="AT16" s="5"/>
      <c r="AU16" s="2"/>
    </row>
    <row r="17" spans="2:47" x14ac:dyDescent="0.2">
      <c r="B17" s="22" t="s">
        <v>38</v>
      </c>
      <c r="C17" s="27">
        <v>1.2374368670764583E-5</v>
      </c>
      <c r="D17" s="10"/>
      <c r="E17" s="116" t="s">
        <v>0</v>
      </c>
      <c r="F17" s="120"/>
      <c r="G17" s="2"/>
      <c r="H17" s="116" t="s">
        <v>0</v>
      </c>
      <c r="I17" s="120"/>
      <c r="J17" s="10"/>
      <c r="K17" s="116" t="s">
        <v>0</v>
      </c>
      <c r="L17" s="120"/>
      <c r="M17" s="10"/>
      <c r="N17" s="116" t="s">
        <v>0</v>
      </c>
      <c r="O17" s="120"/>
      <c r="P17" s="1"/>
      <c r="Q17" s="116" t="s">
        <v>0</v>
      </c>
      <c r="R17" s="120"/>
      <c r="S17" s="10"/>
      <c r="T17" s="116" t="s">
        <v>0</v>
      </c>
      <c r="U17" s="120"/>
      <c r="V17" s="10"/>
      <c r="W17" s="116" t="s">
        <v>0</v>
      </c>
      <c r="X17" s="120"/>
      <c r="Y17" s="2"/>
      <c r="Z17" s="116" t="s">
        <v>0</v>
      </c>
      <c r="AA17" s="120"/>
      <c r="AB17" s="2"/>
      <c r="AC17" s="116" t="s">
        <v>0</v>
      </c>
      <c r="AD17" s="120"/>
      <c r="AE17" s="15"/>
      <c r="AF17" s="22" t="s">
        <v>38</v>
      </c>
      <c r="AG17" s="27">
        <v>4.4757234524258364E-3</v>
      </c>
      <c r="AI17" s="22" t="s">
        <v>38</v>
      </c>
      <c r="AJ17" s="63">
        <v>4.8182093961154837E-3</v>
      </c>
      <c r="AL17" s="22" t="s">
        <v>38</v>
      </c>
      <c r="AM17" s="63">
        <v>3.5058760056180978E-4</v>
      </c>
      <c r="AO17" s="22" t="s">
        <v>38</v>
      </c>
      <c r="AP17" s="63">
        <v>6.5448785483533645E-4</v>
      </c>
      <c r="AR17" s="22" t="s">
        <v>38</v>
      </c>
      <c r="AS17" s="63">
        <v>9.753438477948089E-4</v>
      </c>
      <c r="AT17" s="5"/>
      <c r="AU17" s="2"/>
    </row>
    <row r="18" spans="2:47" ht="17" thickBot="1" x14ac:dyDescent="0.25">
      <c r="B18" s="25" t="s">
        <v>39</v>
      </c>
      <c r="C18" s="75">
        <v>5.0000000000000004E-8</v>
      </c>
      <c r="D18" s="10"/>
      <c r="E18" s="8" t="s">
        <v>37</v>
      </c>
      <c r="F18" s="62">
        <v>1.8820381919634227E-2</v>
      </c>
      <c r="G18" s="10"/>
      <c r="H18" s="8" t="s">
        <v>37</v>
      </c>
      <c r="I18" s="62">
        <v>2.4916581376680715E-2</v>
      </c>
      <c r="J18" s="10"/>
      <c r="K18" s="8" t="s">
        <v>37</v>
      </c>
      <c r="L18" s="62">
        <v>2.6681332742662996E-2</v>
      </c>
      <c r="M18" s="10"/>
      <c r="N18" s="8" t="s">
        <v>37</v>
      </c>
      <c r="O18" s="62">
        <v>1.4004270555060851E-2</v>
      </c>
      <c r="P18" s="10"/>
      <c r="Q18" s="8" t="s">
        <v>37</v>
      </c>
      <c r="R18" s="62">
        <v>9.7434219113002041E-3</v>
      </c>
      <c r="S18" s="10"/>
      <c r="T18" s="8" t="s">
        <v>37</v>
      </c>
      <c r="U18" s="62">
        <v>2.7043770192155606E-2</v>
      </c>
      <c r="V18" s="10"/>
      <c r="W18" s="8" t="s">
        <v>37</v>
      </c>
      <c r="X18" s="62">
        <v>3.6040504983317539E-2</v>
      </c>
      <c r="Y18" s="10"/>
      <c r="Z18" s="8" t="s">
        <v>37</v>
      </c>
      <c r="AA18" s="62">
        <v>3.3847993092266049E-2</v>
      </c>
      <c r="AB18" s="10"/>
      <c r="AC18" s="8" t="s">
        <v>37</v>
      </c>
      <c r="AD18" s="62">
        <v>2.8961202065222187E-2</v>
      </c>
      <c r="AE18" s="10"/>
      <c r="AF18" s="25" t="s">
        <v>39</v>
      </c>
      <c r="AG18" s="50">
        <v>4.8717109556501024E-6</v>
      </c>
      <c r="AI18" s="25" t="s">
        <v>39</v>
      </c>
      <c r="AJ18" s="50">
        <v>1.3606632198085226E-5</v>
      </c>
      <c r="AL18" s="25" t="s">
        <v>39</v>
      </c>
      <c r="AM18" s="65">
        <v>9.67190160832545E-6</v>
      </c>
      <c r="AN18" s="34"/>
      <c r="AO18" s="25" t="s">
        <v>39</v>
      </c>
      <c r="AP18" s="50">
        <v>9.3119594670249692E-6</v>
      </c>
      <c r="AQ18" s="34"/>
      <c r="AR18" s="25" t="s">
        <v>39</v>
      </c>
      <c r="AS18" s="50">
        <v>8.6373384750963011E-6</v>
      </c>
      <c r="AT18" s="5"/>
      <c r="AU18" s="2"/>
    </row>
    <row r="19" spans="2:47" ht="17" thickBot="1" x14ac:dyDescent="0.25">
      <c r="B19" s="31"/>
      <c r="C19" s="12"/>
      <c r="D19" s="10"/>
      <c r="E19" s="22" t="s">
        <v>38</v>
      </c>
      <c r="F19" s="63">
        <v>8.3422810671732937E-5</v>
      </c>
      <c r="G19" s="10"/>
      <c r="H19" s="22" t="s">
        <v>38</v>
      </c>
      <c r="I19" s="63">
        <v>1.7110444448167035E-3</v>
      </c>
      <c r="J19" s="10"/>
      <c r="K19" s="22" t="s">
        <v>38</v>
      </c>
      <c r="L19" s="63">
        <v>2.5351454123822208E-3</v>
      </c>
      <c r="M19" s="10"/>
      <c r="N19" s="22" t="s">
        <v>38</v>
      </c>
      <c r="O19" s="63">
        <v>9.4678900962547519E-4</v>
      </c>
      <c r="P19" s="71"/>
      <c r="Q19" s="22" t="s">
        <v>38</v>
      </c>
      <c r="R19" s="63">
        <v>4.4757234524258364E-3</v>
      </c>
      <c r="S19" s="10"/>
      <c r="T19" s="22" t="s">
        <v>38</v>
      </c>
      <c r="U19" s="63">
        <v>1.8815371934943945E-3</v>
      </c>
      <c r="V19" s="10"/>
      <c r="W19" s="22" t="s">
        <v>38</v>
      </c>
      <c r="X19" s="63">
        <v>3.4997296608500154E-4</v>
      </c>
      <c r="Y19" s="10"/>
      <c r="Z19" s="22" t="s">
        <v>38</v>
      </c>
      <c r="AA19" s="63">
        <v>2.2131147097925958E-3</v>
      </c>
      <c r="AB19" s="2"/>
      <c r="AC19" s="22" t="s">
        <v>38</v>
      </c>
      <c r="AD19" s="63">
        <v>2.3365207406011294E-3</v>
      </c>
      <c r="AE19" s="71"/>
      <c r="AF19" s="31"/>
      <c r="AG19" s="12"/>
      <c r="AH19" s="13"/>
      <c r="AI19" s="31"/>
      <c r="AJ19" s="12"/>
      <c r="AL19" s="31"/>
      <c r="AM19" s="12"/>
      <c r="AO19" s="31"/>
      <c r="AP19" s="12"/>
      <c r="AR19" s="31"/>
      <c r="AS19" s="12"/>
      <c r="AT19" s="5"/>
      <c r="AU19" s="2"/>
    </row>
    <row r="20" spans="2:47" ht="17" thickBot="1" x14ac:dyDescent="0.25">
      <c r="B20" s="126" t="s">
        <v>36</v>
      </c>
      <c r="C20" s="120"/>
      <c r="D20" s="10"/>
      <c r="E20" s="25" t="s">
        <v>39</v>
      </c>
      <c r="F20" s="50">
        <v>9.4101909598171133E-6</v>
      </c>
      <c r="G20" s="10"/>
      <c r="H20" s="25" t="s">
        <v>39</v>
      </c>
      <c r="I20" s="65">
        <v>1.2458290688340357E-5</v>
      </c>
      <c r="J20" s="34"/>
      <c r="K20" s="25" t="s">
        <v>39</v>
      </c>
      <c r="L20" s="50">
        <v>1.3340666371331498E-5</v>
      </c>
      <c r="M20" s="34"/>
      <c r="N20" s="25" t="s">
        <v>39</v>
      </c>
      <c r="O20" s="50">
        <v>7.0021352775304258E-6</v>
      </c>
      <c r="P20" s="15"/>
      <c r="Q20" s="25" t="s">
        <v>39</v>
      </c>
      <c r="R20" s="50">
        <v>4.8717109556501024E-6</v>
      </c>
      <c r="S20" s="10"/>
      <c r="T20" s="25" t="s">
        <v>39</v>
      </c>
      <c r="U20" s="50">
        <v>1.3521885096077803E-5</v>
      </c>
      <c r="V20" s="10"/>
      <c r="W20" s="25" t="s">
        <v>39</v>
      </c>
      <c r="X20" s="65">
        <v>1.802025249165877E-5</v>
      </c>
      <c r="Y20" s="34"/>
      <c r="Z20" s="25" t="s">
        <v>39</v>
      </c>
      <c r="AA20" s="65">
        <v>1.6923996546133026E-5</v>
      </c>
      <c r="AB20" s="64"/>
      <c r="AC20" s="25" t="s">
        <v>39</v>
      </c>
      <c r="AD20" s="50">
        <v>1.4480601032611095E-5</v>
      </c>
      <c r="AE20" s="15"/>
      <c r="AF20" s="126" t="s">
        <v>36</v>
      </c>
      <c r="AG20" s="120"/>
      <c r="AH20" s="54"/>
      <c r="AI20" s="126" t="s">
        <v>36</v>
      </c>
      <c r="AJ20" s="120"/>
      <c r="AL20" s="126" t="s">
        <v>36</v>
      </c>
      <c r="AM20" s="120"/>
      <c r="AO20" s="126" t="s">
        <v>36</v>
      </c>
      <c r="AP20" s="120"/>
      <c r="AR20" s="126" t="s">
        <v>36</v>
      </c>
      <c r="AS20" s="120"/>
      <c r="AT20" s="5"/>
      <c r="AU20" s="2"/>
    </row>
    <row r="21" spans="2:47" ht="17" thickBot="1" x14ac:dyDescent="0.25">
      <c r="B21" s="49" t="s">
        <v>3</v>
      </c>
      <c r="C21" s="9" t="s">
        <v>34</v>
      </c>
      <c r="D21" s="13"/>
      <c r="E21" s="31"/>
      <c r="F21" s="12"/>
      <c r="G21" s="10"/>
      <c r="H21" s="31"/>
      <c r="I21" s="12"/>
      <c r="J21" s="10"/>
      <c r="K21" s="31"/>
      <c r="L21" s="12"/>
      <c r="M21" s="10"/>
      <c r="N21" s="31"/>
      <c r="O21" s="12"/>
      <c r="P21" s="15"/>
      <c r="Q21" s="31"/>
      <c r="R21" s="10"/>
      <c r="S21" s="13"/>
      <c r="T21" s="31"/>
      <c r="U21" s="12"/>
      <c r="V21" s="10"/>
      <c r="W21" s="31"/>
      <c r="X21" s="12"/>
      <c r="Y21" s="10"/>
      <c r="Z21" s="31"/>
      <c r="AA21" s="12"/>
      <c r="AB21" s="2"/>
      <c r="AC21" s="31"/>
      <c r="AD21" s="12"/>
      <c r="AE21" s="15"/>
      <c r="AF21" s="49" t="s">
        <v>3</v>
      </c>
      <c r="AG21" s="9" t="s">
        <v>34</v>
      </c>
      <c r="AI21" s="49" t="s">
        <v>3</v>
      </c>
      <c r="AJ21" s="9" t="s">
        <v>34</v>
      </c>
      <c r="AL21" s="49" t="s">
        <v>3</v>
      </c>
      <c r="AM21" s="9" t="s">
        <v>34</v>
      </c>
      <c r="AO21" s="49" t="s">
        <v>3</v>
      </c>
      <c r="AP21" s="9" t="s">
        <v>34</v>
      </c>
      <c r="AR21" s="49" t="s">
        <v>3</v>
      </c>
      <c r="AS21" s="9" t="s">
        <v>34</v>
      </c>
      <c r="AT21" s="5"/>
      <c r="AU21" s="2"/>
    </row>
    <row r="22" spans="2:47" x14ac:dyDescent="0.2">
      <c r="B22" s="19" t="s">
        <v>1</v>
      </c>
      <c r="C22" s="55">
        <f>C9-C16</f>
        <v>5.0013269537480072E-3</v>
      </c>
      <c r="D22" s="54"/>
      <c r="E22" s="116" t="s">
        <v>36</v>
      </c>
      <c r="F22" s="117"/>
      <c r="G22" s="10"/>
      <c r="H22" s="116" t="s">
        <v>36</v>
      </c>
      <c r="I22" s="117"/>
      <c r="J22" s="10"/>
      <c r="K22" s="116" t="s">
        <v>36</v>
      </c>
      <c r="L22" s="117"/>
      <c r="M22" s="10"/>
      <c r="N22" s="116" t="s">
        <v>36</v>
      </c>
      <c r="O22" s="117"/>
      <c r="P22" s="15"/>
      <c r="Q22" s="116" t="s">
        <v>36</v>
      </c>
      <c r="R22" s="117"/>
      <c r="S22" s="54"/>
      <c r="T22" s="116" t="s">
        <v>36</v>
      </c>
      <c r="U22" s="117"/>
      <c r="V22" s="10"/>
      <c r="W22" s="116" t="s">
        <v>36</v>
      </c>
      <c r="X22" s="117"/>
      <c r="Y22" s="10"/>
      <c r="Z22" s="116" t="s">
        <v>36</v>
      </c>
      <c r="AA22" s="117"/>
      <c r="AB22" s="2"/>
      <c r="AC22" s="116" t="s">
        <v>36</v>
      </c>
      <c r="AD22" s="117"/>
      <c r="AE22" s="15"/>
      <c r="AF22" s="19" t="s">
        <v>1</v>
      </c>
      <c r="AG22" s="18">
        <f>AG9-AG16</f>
        <v>0.87565000000000004</v>
      </c>
      <c r="AH22" s="54"/>
      <c r="AI22" s="19" t="s">
        <v>1</v>
      </c>
      <c r="AJ22" s="36">
        <f>AJ9-AJ16</f>
        <v>8.4486387276028498</v>
      </c>
      <c r="AL22" s="19" t="s">
        <v>1</v>
      </c>
      <c r="AM22" s="36">
        <f>AM9-AM16</f>
        <v>2.0805590203984892</v>
      </c>
      <c r="AO22" s="19" t="s">
        <v>1</v>
      </c>
      <c r="AP22" s="36">
        <f>AP9-AP16</f>
        <v>1.6012301247799758</v>
      </c>
      <c r="AR22" s="19" t="s">
        <v>1</v>
      </c>
      <c r="AS22" s="36">
        <f>AS9-AS16</f>
        <v>1.1123061818164099</v>
      </c>
      <c r="AT22" s="5"/>
      <c r="AU22" s="2"/>
    </row>
    <row r="23" spans="2:47" ht="17" thickBot="1" x14ac:dyDescent="0.25">
      <c r="B23" s="47" t="s">
        <v>2</v>
      </c>
      <c r="C23" s="74">
        <f>C10-C16</f>
        <v>4.9034832535885167E-3</v>
      </c>
      <c r="D23" s="2"/>
      <c r="E23" s="49" t="s">
        <v>3</v>
      </c>
      <c r="F23" s="46" t="s">
        <v>34</v>
      </c>
      <c r="G23" s="10"/>
      <c r="H23" s="49" t="s">
        <v>3</v>
      </c>
      <c r="I23" s="46" t="s">
        <v>34</v>
      </c>
      <c r="J23" s="10"/>
      <c r="K23" s="49" t="s">
        <v>3</v>
      </c>
      <c r="L23" s="46" t="s">
        <v>34</v>
      </c>
      <c r="M23" s="10"/>
      <c r="N23" s="49" t="s">
        <v>3</v>
      </c>
      <c r="O23" s="46" t="s">
        <v>34</v>
      </c>
      <c r="P23" s="15"/>
      <c r="Q23" s="49" t="s">
        <v>3</v>
      </c>
      <c r="R23" s="46" t="s">
        <v>34</v>
      </c>
      <c r="S23" s="10"/>
      <c r="T23" s="49" t="s">
        <v>3</v>
      </c>
      <c r="U23" s="46" t="s">
        <v>34</v>
      </c>
      <c r="V23" s="10"/>
      <c r="W23" s="49" t="s">
        <v>3</v>
      </c>
      <c r="X23" s="46" t="s">
        <v>34</v>
      </c>
      <c r="Y23" s="10"/>
      <c r="Z23" s="49" t="s">
        <v>3</v>
      </c>
      <c r="AA23" s="46" t="s">
        <v>34</v>
      </c>
      <c r="AB23" s="2"/>
      <c r="AC23" s="49" t="s">
        <v>3</v>
      </c>
      <c r="AD23" s="46" t="s">
        <v>34</v>
      </c>
      <c r="AE23" s="15"/>
      <c r="AF23" s="47" t="s">
        <v>2</v>
      </c>
      <c r="AG23" s="4">
        <f>AG10-AG16</f>
        <v>0.87745000000000006</v>
      </c>
      <c r="AH23" s="2"/>
      <c r="AI23" s="48" t="s">
        <v>2</v>
      </c>
      <c r="AJ23" s="60">
        <f>AJ10-AJ16</f>
        <v>8.4756681427871357</v>
      </c>
      <c r="AL23" s="48" t="s">
        <v>2</v>
      </c>
      <c r="AM23" s="60">
        <f>AM10-AM16</f>
        <v>2.0705590203984894</v>
      </c>
      <c r="AO23" s="48" t="s">
        <v>2</v>
      </c>
      <c r="AP23" s="60">
        <f>AP10-AP16</f>
        <v>1.6023954027939189</v>
      </c>
      <c r="AR23" s="47" t="s">
        <v>2</v>
      </c>
      <c r="AS23" s="42">
        <f>AS10-AS16</f>
        <v>1.1183061818164097</v>
      </c>
      <c r="AT23" s="5"/>
      <c r="AU23" s="2"/>
    </row>
    <row r="24" spans="2:47" x14ac:dyDescent="0.2">
      <c r="B24" s="8" t="s">
        <v>37</v>
      </c>
      <c r="C24" s="42">
        <f>AVERAGE(C22,C23)</f>
        <v>4.9524051036682615E-3</v>
      </c>
      <c r="D24" s="2"/>
      <c r="E24" s="20" t="s">
        <v>1</v>
      </c>
      <c r="F24" s="55">
        <f>F9-$F$18</f>
        <v>1.9325795927479669E-2</v>
      </c>
      <c r="G24" s="10"/>
      <c r="H24" s="20" t="s">
        <v>1</v>
      </c>
      <c r="I24" s="55">
        <f>I9-$I$18</f>
        <v>1.8073387889721675E-2</v>
      </c>
      <c r="J24" s="10"/>
      <c r="K24" s="20" t="s">
        <v>1</v>
      </c>
      <c r="L24" s="55">
        <f>L9-$L$18</f>
        <v>1.7667604831574833E-2</v>
      </c>
      <c r="M24" s="10"/>
      <c r="N24" s="20" t="s">
        <v>1</v>
      </c>
      <c r="O24" s="55">
        <f>O9-$O$18</f>
        <v>7.9162679064776129E-3</v>
      </c>
      <c r="P24" s="15"/>
      <c r="Q24" s="20" t="s">
        <v>1</v>
      </c>
      <c r="R24" s="55">
        <f>R9-$R$18</f>
        <v>2.8562634325181371E-2</v>
      </c>
      <c r="S24" s="54"/>
      <c r="T24" s="20" t="s">
        <v>1</v>
      </c>
      <c r="U24" s="55">
        <f>U9-$U$18</f>
        <v>0.10059407646363565</v>
      </c>
      <c r="V24" s="10"/>
      <c r="W24" s="20" t="s">
        <v>1</v>
      </c>
      <c r="X24" s="55">
        <f>X9-$X$18</f>
        <v>4.3399946375889148E-2</v>
      </c>
      <c r="Y24" s="10"/>
      <c r="Z24" s="20" t="s">
        <v>1</v>
      </c>
      <c r="AA24" s="55">
        <f>AA9-$AA$18</f>
        <v>4.2997230109326226E-2</v>
      </c>
      <c r="AB24" s="2"/>
      <c r="AC24" s="20" t="s">
        <v>1</v>
      </c>
      <c r="AD24" s="55">
        <f>AD9-$AD$18</f>
        <v>3.4250175088964184E-2</v>
      </c>
      <c r="AE24" s="15"/>
      <c r="AF24" s="8" t="s">
        <v>37</v>
      </c>
      <c r="AG24" s="3">
        <f>AVERAGE(AG22:AG23)</f>
        <v>0.87655000000000005</v>
      </c>
      <c r="AH24" s="2"/>
      <c r="AI24" s="8" t="s">
        <v>37</v>
      </c>
      <c r="AJ24" s="52">
        <f>AVERAGE(AJ22:AJ23)</f>
        <v>8.4621534351949919</v>
      </c>
      <c r="AL24" s="8" t="s">
        <v>37</v>
      </c>
      <c r="AM24" s="52">
        <f>AVERAGE(AM22:AM23)</f>
        <v>2.0755590203984893</v>
      </c>
      <c r="AO24" s="8" t="s">
        <v>37</v>
      </c>
      <c r="AP24" s="52">
        <f>AVERAGE(AP22:AP23)</f>
        <v>1.6018127637869473</v>
      </c>
      <c r="AR24" s="8" t="s">
        <v>37</v>
      </c>
      <c r="AS24" s="52">
        <f>AVERAGE(AS22:AS23)</f>
        <v>1.1153061818164098</v>
      </c>
      <c r="AT24" s="5"/>
      <c r="AU24" s="2"/>
    </row>
    <row r="25" spans="2:47" x14ac:dyDescent="0.2">
      <c r="B25" s="22" t="s">
        <v>38</v>
      </c>
      <c r="C25" s="36">
        <f>SQRT(C12^2+C17^2)</f>
        <v>3.673960679719552E-5</v>
      </c>
      <c r="D25" s="54"/>
      <c r="E25" s="6" t="s">
        <v>2</v>
      </c>
      <c r="F25" s="36">
        <f t="shared" ref="F25:F27" si="0">F10-$F$18</f>
        <v>2.012478188691804E-2</v>
      </c>
      <c r="G25" s="10"/>
      <c r="H25" s="6" t="s">
        <v>2</v>
      </c>
      <c r="I25" s="36">
        <f t="shared" ref="I25:I26" si="1">I10-$I$18</f>
        <v>1.7685431896670122E-2</v>
      </c>
      <c r="J25" s="10"/>
      <c r="K25" s="6" t="s">
        <v>2</v>
      </c>
      <c r="L25" s="36">
        <f t="shared" ref="L25:L27" si="2">L10-$L$18</f>
        <v>1.6692790701092225E-2</v>
      </c>
      <c r="M25" s="10"/>
      <c r="N25" s="6" t="s">
        <v>2</v>
      </c>
      <c r="O25" s="36">
        <f t="shared" ref="O25:O27" si="3">O10-$O$18</f>
        <v>7.2701140603237714E-3</v>
      </c>
      <c r="P25" s="15"/>
      <c r="Q25" s="6" t="s">
        <v>2</v>
      </c>
      <c r="R25" s="36">
        <f t="shared" ref="R25:R27" si="4">R10-$R$18</f>
        <v>3.0813775877692809E-2</v>
      </c>
      <c r="S25" s="54"/>
      <c r="T25" s="6" t="s">
        <v>2</v>
      </c>
      <c r="U25" s="36">
        <f t="shared" ref="U25:U27" si="5">U10-$U$18</f>
        <v>9.7727273853521396E-2</v>
      </c>
      <c r="V25" s="10"/>
      <c r="W25" s="6" t="s">
        <v>2</v>
      </c>
      <c r="X25" s="36">
        <f t="shared" ref="X25:X27" si="6">X10-$X$18</f>
        <v>4.3478429877342392E-2</v>
      </c>
      <c r="Y25" s="10"/>
      <c r="Z25" s="6" t="s">
        <v>2</v>
      </c>
      <c r="AA25" s="36">
        <f t="shared" ref="AA25:AA27" si="7">AA10-$AA$18</f>
        <v>4.1142332469292095E-2</v>
      </c>
      <c r="AB25" s="2"/>
      <c r="AC25" s="6" t="s">
        <v>2</v>
      </c>
      <c r="AD25" s="36">
        <f t="shared" ref="AD25:AD27" si="8">AD10-$AD$18</f>
        <v>3.3237898133039227E-2</v>
      </c>
      <c r="AE25" s="15"/>
      <c r="AF25" s="22" t="s">
        <v>38</v>
      </c>
      <c r="AG25" s="36">
        <f>SQRT(AG12^2+AG17^2)</f>
        <v>4.5207411364282584E-3</v>
      </c>
      <c r="AH25" s="54"/>
      <c r="AI25" s="22" t="s">
        <v>38</v>
      </c>
      <c r="AJ25" s="36">
        <f>SQRT(AJ12^2+AJ17^2)</f>
        <v>1.0702280244666464E-2</v>
      </c>
      <c r="AL25" s="22" t="s">
        <v>38</v>
      </c>
      <c r="AM25" s="36">
        <f>SQRT(AM12^2+AM17^2)</f>
        <v>3.5528737193527096E-3</v>
      </c>
      <c r="AO25" s="22" t="s">
        <v>38</v>
      </c>
      <c r="AP25" s="36">
        <f>SQRT(AP12^2+AP17^2)</f>
        <v>7.7336179007586473E-4</v>
      </c>
      <c r="AR25" s="22" t="s">
        <v>38</v>
      </c>
      <c r="AS25" s="36">
        <f>SQRT(AS12^2+AS17^2)</f>
        <v>2.3348009811182749E-3</v>
      </c>
      <c r="AT25" s="5"/>
      <c r="AU25" s="2"/>
    </row>
    <row r="26" spans="2:47" ht="17" thickBot="1" x14ac:dyDescent="0.25">
      <c r="B26" s="25" t="s">
        <v>40</v>
      </c>
      <c r="C26" s="51">
        <f>C25+(0.001*C24/2)+C18</f>
        <v>3.9265809349029654E-5</v>
      </c>
      <c r="D26" s="54"/>
      <c r="E26" s="20" t="s">
        <v>6</v>
      </c>
      <c r="F26" s="36">
        <f t="shared" si="0"/>
        <v>2.0894393926660385E-2</v>
      </c>
      <c r="G26" s="10"/>
      <c r="H26" s="20" t="s">
        <v>6</v>
      </c>
      <c r="I26" s="36">
        <f t="shared" si="1"/>
        <v>1.3560442987346509E-2</v>
      </c>
      <c r="J26" s="10"/>
      <c r="K26" s="20" t="s">
        <v>6</v>
      </c>
      <c r="L26" s="36">
        <f t="shared" si="2"/>
        <v>1.0784542060787772E-2</v>
      </c>
      <c r="M26" s="10"/>
      <c r="N26" s="20" t="s">
        <v>6</v>
      </c>
      <c r="O26" s="36">
        <f t="shared" si="3"/>
        <v>1.0257839520234978E-2</v>
      </c>
      <c r="P26" s="15"/>
      <c r="Q26" s="20" t="s">
        <v>6</v>
      </c>
      <c r="R26" s="36">
        <f t="shared" si="4"/>
        <v>1.5879019033581659E-2</v>
      </c>
      <c r="S26" s="54"/>
      <c r="T26" s="20" t="s">
        <v>6</v>
      </c>
      <c r="U26" s="36">
        <f t="shared" si="5"/>
        <v>0.10491007099570755</v>
      </c>
      <c r="V26" s="10"/>
      <c r="W26" s="20" t="s">
        <v>6</v>
      </c>
      <c r="X26" s="36">
        <f t="shared" si="6"/>
        <v>4.5385167116394842E-2</v>
      </c>
      <c r="Y26" s="10"/>
      <c r="Z26" s="20" t="s">
        <v>6</v>
      </c>
      <c r="AA26" s="36">
        <f t="shared" si="7"/>
        <v>3.5543961235933619E-2</v>
      </c>
      <c r="AB26" s="2"/>
      <c r="AC26" s="20" t="s">
        <v>6</v>
      </c>
      <c r="AD26" s="36">
        <f t="shared" si="8"/>
        <v>4.0962657493978198E-2</v>
      </c>
      <c r="AE26" s="15"/>
      <c r="AF26" s="25" t="s">
        <v>40</v>
      </c>
      <c r="AG26" s="51">
        <f>AG25+(0.001*AG24/2)+AG18</f>
        <v>4.9638878473839089E-3</v>
      </c>
      <c r="AH26" s="54"/>
      <c r="AI26" s="25" t="s">
        <v>40</v>
      </c>
      <c r="AJ26" s="51">
        <f>AJ25+(0.001*AJ24/2)+AJ18</f>
        <v>1.4946963594462044E-2</v>
      </c>
      <c r="AL26" s="25" t="s">
        <v>40</v>
      </c>
      <c r="AM26" s="51">
        <f>AM25+(0.001*AM24/2)+AM18</f>
        <v>4.6003251311602794E-3</v>
      </c>
      <c r="AO26" s="25" t="s">
        <v>40</v>
      </c>
      <c r="AP26" s="51">
        <f>AP25+(0.001*AP24/2)+AP18</f>
        <v>1.5835801314363633E-3</v>
      </c>
      <c r="AR26" s="25" t="s">
        <v>40</v>
      </c>
      <c r="AS26" s="51">
        <f>AS25+(0.001*AS24/2)+AS18</f>
        <v>2.901091410501576E-3</v>
      </c>
      <c r="AT26" s="5"/>
      <c r="AU26" s="2"/>
    </row>
    <row r="27" spans="2:47" ht="17" thickBot="1" x14ac:dyDescent="0.25">
      <c r="B27" s="31"/>
      <c r="C27" s="12"/>
      <c r="D27" s="54"/>
      <c r="E27" s="6" t="s">
        <v>7</v>
      </c>
      <c r="F27" s="69">
        <f t="shared" si="0"/>
        <v>2.0081722380457273E-2</v>
      </c>
      <c r="G27" s="10"/>
      <c r="H27" s="6" t="s">
        <v>7</v>
      </c>
      <c r="I27" s="69">
        <f>I12-$I$18</f>
        <v>1.2988416831846698E-2</v>
      </c>
      <c r="J27" s="10"/>
      <c r="K27" s="6" t="s">
        <v>7</v>
      </c>
      <c r="L27" s="69">
        <f t="shared" si="2"/>
        <v>1.0474011271616041E-2</v>
      </c>
      <c r="M27" s="10"/>
      <c r="N27" s="6" t="s">
        <v>7</v>
      </c>
      <c r="O27" s="69">
        <f t="shared" si="3"/>
        <v>9.8972532886107238E-3</v>
      </c>
      <c r="P27" s="15"/>
      <c r="Q27" s="6" t="s">
        <v>7</v>
      </c>
      <c r="R27" s="69">
        <f t="shared" si="4"/>
        <v>1.5346735569014724E-2</v>
      </c>
      <c r="S27" s="2"/>
      <c r="T27" s="6" t="s">
        <v>7</v>
      </c>
      <c r="U27" s="69">
        <f t="shared" si="5"/>
        <v>0.10442362812934215</v>
      </c>
      <c r="V27" s="10"/>
      <c r="W27" s="6" t="s">
        <v>7</v>
      </c>
      <c r="X27" s="69">
        <f t="shared" si="6"/>
        <v>4.503913068302956E-2</v>
      </c>
      <c r="Y27" s="10"/>
      <c r="Z27" s="6" t="s">
        <v>7</v>
      </c>
      <c r="AA27" s="69">
        <f t="shared" si="7"/>
        <v>3.4082649499343087E-2</v>
      </c>
      <c r="AB27" s="2"/>
      <c r="AC27" s="6" t="s">
        <v>7</v>
      </c>
      <c r="AD27" s="69">
        <f t="shared" si="8"/>
        <v>4.0615245910175034E-2</v>
      </c>
      <c r="AE27" s="15"/>
      <c r="AF27" s="31"/>
      <c r="AG27" s="12"/>
      <c r="AH27" s="54"/>
      <c r="AI27" s="31"/>
      <c r="AJ27" s="12"/>
      <c r="AL27" s="31"/>
      <c r="AM27" s="12"/>
      <c r="AO27" s="31"/>
      <c r="AP27" s="12"/>
      <c r="AR27" s="31"/>
      <c r="AS27" s="12"/>
      <c r="AT27" s="5"/>
      <c r="AU27" s="2"/>
    </row>
    <row r="28" spans="2:47" ht="17" thickBot="1" x14ac:dyDescent="0.25">
      <c r="B28" s="45" t="s">
        <v>41</v>
      </c>
      <c r="C28" s="53">
        <v>2.96E-3</v>
      </c>
      <c r="D28" s="70"/>
      <c r="E28" s="8" t="s">
        <v>37</v>
      </c>
      <c r="F28" s="42">
        <f>AVERAGE(F24:F27)</f>
        <v>2.0106673530378844E-2</v>
      </c>
      <c r="G28" s="10"/>
      <c r="H28" s="8" t="s">
        <v>37</v>
      </c>
      <c r="I28" s="42">
        <f>AVERAGE(I24:I27)</f>
        <v>1.5576919901396251E-2</v>
      </c>
      <c r="J28" s="10"/>
      <c r="K28" s="8" t="s">
        <v>37</v>
      </c>
      <c r="L28" s="42">
        <f>AVERAGE(L24:L27)</f>
        <v>1.3904737216267718E-2</v>
      </c>
      <c r="M28" s="10"/>
      <c r="N28" s="8" t="s">
        <v>37</v>
      </c>
      <c r="O28" s="42">
        <f>AVERAGE(O24:O27)</f>
        <v>8.8353686939117715E-3</v>
      </c>
      <c r="P28" s="15"/>
      <c r="Q28" s="8" t="s">
        <v>37</v>
      </c>
      <c r="R28" s="42">
        <f>AVERAGE(R24:R27)</f>
        <v>2.2650541201367641E-2</v>
      </c>
      <c r="S28" s="2"/>
      <c r="T28" s="8" t="s">
        <v>37</v>
      </c>
      <c r="U28" s="42">
        <f>AVERAGE(U24:U27)</f>
        <v>0.10191376236055168</v>
      </c>
      <c r="V28" s="10"/>
      <c r="W28" s="8" t="s">
        <v>37</v>
      </c>
      <c r="X28" s="42">
        <f>AVERAGE(X24:X27)</f>
        <v>4.4325668513163982E-2</v>
      </c>
      <c r="Y28" s="10"/>
      <c r="Z28" s="8" t="s">
        <v>37</v>
      </c>
      <c r="AA28" s="42">
        <f>AVERAGE(AA24:AA27)</f>
        <v>3.8441543328473757E-2</v>
      </c>
      <c r="AB28" s="2"/>
      <c r="AC28" s="8" t="s">
        <v>37</v>
      </c>
      <c r="AD28" s="42">
        <f>AVERAGE(AD24:AD27)</f>
        <v>3.7266494156539161E-2</v>
      </c>
      <c r="AE28" s="15"/>
      <c r="AF28" s="45" t="s">
        <v>41</v>
      </c>
      <c r="AG28" s="53">
        <v>0.83677999999999997</v>
      </c>
      <c r="AH28" s="70"/>
      <c r="AI28" s="45" t="s">
        <v>41</v>
      </c>
      <c r="AJ28" s="53">
        <v>6.0318101616091155</v>
      </c>
      <c r="AL28" s="45" t="s">
        <v>41</v>
      </c>
      <c r="AM28" s="53">
        <v>1.3174272986864644</v>
      </c>
      <c r="AO28" s="45" t="s">
        <v>41</v>
      </c>
      <c r="AP28" s="53">
        <v>1.0299900187043014</v>
      </c>
      <c r="AR28" s="45" t="s">
        <v>41</v>
      </c>
      <c r="AS28" s="53">
        <v>0.82494480020404692</v>
      </c>
      <c r="AT28" s="5"/>
      <c r="AU28" s="2"/>
    </row>
    <row r="29" spans="2:47" ht="17" thickBot="1" x14ac:dyDescent="0.25">
      <c r="B29" s="31"/>
      <c r="C29" s="12"/>
      <c r="D29" s="10"/>
      <c r="E29" s="22" t="s">
        <v>38</v>
      </c>
      <c r="F29" s="36">
        <f>SQRT(F14^2+F19^2)</f>
        <v>3.3100051736753751E-4</v>
      </c>
      <c r="G29" s="10"/>
      <c r="H29" s="22" t="s">
        <v>38</v>
      </c>
      <c r="I29" s="36">
        <f>SQRT(I14^2+I19^2)</f>
        <v>2.1713432793735391E-3</v>
      </c>
      <c r="J29" s="10"/>
      <c r="K29" s="22" t="s">
        <v>38</v>
      </c>
      <c r="L29" s="36">
        <f>SQRT(L14^2+L19^2)</f>
        <v>3.1696669170859166E-3</v>
      </c>
      <c r="M29" s="10"/>
      <c r="N29" s="22" t="s">
        <v>38</v>
      </c>
      <c r="O29" s="36">
        <f>SQRT(O14^2+O19^2)</f>
        <v>1.197313089609447E-3</v>
      </c>
      <c r="P29" s="15"/>
      <c r="Q29" s="22" t="s">
        <v>38</v>
      </c>
      <c r="R29" s="36">
        <f>SQRT(R14^2+R19^2)</f>
        <v>6.0633842292660452E-3</v>
      </c>
      <c r="S29" s="54"/>
      <c r="T29" s="22" t="s">
        <v>38</v>
      </c>
      <c r="U29" s="36">
        <f>SQRT(U14^2+U19^2)</f>
        <v>2.5335701922140214E-3</v>
      </c>
      <c r="V29" s="10"/>
      <c r="W29" s="22" t="s">
        <v>38</v>
      </c>
      <c r="X29" s="36">
        <f>SQRT(X14^2+X19^2)</f>
        <v>6.2424042266254545E-4</v>
      </c>
      <c r="Y29" s="10"/>
      <c r="Z29" s="22" t="s">
        <v>38</v>
      </c>
      <c r="AA29" s="36">
        <f>SQRT(AA14^2+AA19^2)</f>
        <v>3.0851661496241888E-3</v>
      </c>
      <c r="AB29" s="2"/>
      <c r="AC29" s="22" t="s">
        <v>38</v>
      </c>
      <c r="AD29" s="36">
        <f>SQRT(AD14^2+AD19^2)</f>
        <v>3.1053110206225006E-3</v>
      </c>
      <c r="AE29" s="15"/>
      <c r="AF29" s="31"/>
      <c r="AG29" s="12"/>
      <c r="AI29" s="31"/>
      <c r="AJ29" s="12"/>
      <c r="AL29" s="31"/>
      <c r="AM29" s="12"/>
      <c r="AO29" s="31"/>
      <c r="AP29" s="12"/>
      <c r="AR29" s="31"/>
      <c r="AS29" s="12"/>
      <c r="AT29" s="5"/>
      <c r="AU29" s="2"/>
    </row>
    <row r="30" spans="2:47" ht="17" thickBot="1" x14ac:dyDescent="0.25">
      <c r="B30" s="126" t="s">
        <v>42</v>
      </c>
      <c r="C30" s="120"/>
      <c r="D30" s="13"/>
      <c r="E30" s="25" t="s">
        <v>40</v>
      </c>
      <c r="F30" s="51">
        <f>F29+(0.001*F28/2)+F20</f>
        <v>3.5046404509254405E-4</v>
      </c>
      <c r="G30" s="10"/>
      <c r="H30" s="25" t="s">
        <v>40</v>
      </c>
      <c r="I30" s="51">
        <f>I29+(0.001*I28/2)+I20</f>
        <v>2.1915900300125777E-3</v>
      </c>
      <c r="J30" s="10"/>
      <c r="K30" s="25" t="s">
        <v>40</v>
      </c>
      <c r="L30" s="51">
        <f>L29+(0.001*L28/2)+L20</f>
        <v>3.1899599520653819E-3</v>
      </c>
      <c r="M30" s="10"/>
      <c r="N30" s="25" t="s">
        <v>40</v>
      </c>
      <c r="O30" s="51">
        <f>O29+(0.001*O28/2)+O20</f>
        <v>1.2087329092339333E-3</v>
      </c>
      <c r="P30" s="15"/>
      <c r="Q30" s="25" t="s">
        <v>40</v>
      </c>
      <c r="R30" s="51">
        <f>R29+(0.001*R28/2)+R20</f>
        <v>6.0795812108223792E-3</v>
      </c>
      <c r="S30" s="54"/>
      <c r="T30" s="25" t="s">
        <v>40</v>
      </c>
      <c r="U30" s="51">
        <f>U29+(0.001*U28/2)+U20</f>
        <v>2.5980489584903751E-3</v>
      </c>
      <c r="V30" s="10"/>
      <c r="W30" s="25" t="s">
        <v>40</v>
      </c>
      <c r="X30" s="51">
        <f>X29+(0.001*X28/2)+X20</f>
        <v>6.6442350941078615E-4</v>
      </c>
      <c r="Y30" s="10"/>
      <c r="Z30" s="25" t="s">
        <v>40</v>
      </c>
      <c r="AA30" s="51">
        <f>AA29+(0.001*AA28/2)+AA20</f>
        <v>3.1213109178345588E-3</v>
      </c>
      <c r="AB30" s="2"/>
      <c r="AC30" s="25" t="s">
        <v>40</v>
      </c>
      <c r="AD30" s="51">
        <f>AD29+(0.001*AD28/2)+AD20</f>
        <v>3.1384248687333811E-3</v>
      </c>
      <c r="AE30" s="15"/>
      <c r="AF30" s="126" t="s">
        <v>42</v>
      </c>
      <c r="AG30" s="120"/>
      <c r="AH30" s="13"/>
      <c r="AI30" s="126" t="s">
        <v>44</v>
      </c>
      <c r="AJ30" s="120"/>
      <c r="AL30" s="126" t="s">
        <v>44</v>
      </c>
      <c r="AM30" s="120"/>
      <c r="AO30" s="126" t="s">
        <v>44</v>
      </c>
      <c r="AP30" s="120"/>
      <c r="AR30" s="126" t="s">
        <v>44</v>
      </c>
      <c r="AS30" s="120"/>
      <c r="AT30" s="5"/>
      <c r="AU30" s="2"/>
    </row>
    <row r="31" spans="2:47" ht="20" thickBot="1" x14ac:dyDescent="0.25">
      <c r="B31" s="35" t="s">
        <v>5</v>
      </c>
      <c r="C31" s="55">
        <f>C24-C28</f>
        <v>1.9924051036682615E-3</v>
      </c>
      <c r="D31" s="10"/>
      <c r="E31" s="31"/>
      <c r="F31" s="12"/>
      <c r="G31" s="10"/>
      <c r="H31" s="31"/>
      <c r="I31" s="12"/>
      <c r="J31" s="10"/>
      <c r="K31" s="31"/>
      <c r="L31" s="12"/>
      <c r="M31" s="10"/>
      <c r="N31" s="31"/>
      <c r="O31" s="12"/>
      <c r="P31" s="15"/>
      <c r="Q31" s="31"/>
      <c r="R31" s="10"/>
      <c r="S31" s="54"/>
      <c r="T31" s="31"/>
      <c r="U31" s="12"/>
      <c r="V31" s="10"/>
      <c r="W31" s="31"/>
      <c r="X31" s="12"/>
      <c r="Y31" s="10"/>
      <c r="Z31" s="31"/>
      <c r="AA31" s="12"/>
      <c r="AB31" s="2"/>
      <c r="AC31" s="31"/>
      <c r="AD31" s="12"/>
      <c r="AE31" s="15"/>
      <c r="AF31" s="35" t="s">
        <v>5</v>
      </c>
      <c r="AG31" s="55">
        <f>AG24-AG28</f>
        <v>3.9770000000000083E-2</v>
      </c>
      <c r="AI31" s="35" t="s">
        <v>9</v>
      </c>
      <c r="AJ31" s="55">
        <f>AJ24-AJ28-AG31</f>
        <v>2.3905732735858765</v>
      </c>
      <c r="AL31" s="35" t="s">
        <v>15</v>
      </c>
      <c r="AM31" s="16">
        <f>(0.0228*0.51)*2</f>
        <v>2.3256000000000002E-2</v>
      </c>
      <c r="AO31" s="35" t="s">
        <v>15</v>
      </c>
      <c r="AP31" s="17">
        <f>(0.0228*0.68)*2</f>
        <v>3.1008000000000004E-2</v>
      </c>
      <c r="AR31" s="23" t="s">
        <v>15</v>
      </c>
      <c r="AS31" s="18">
        <f>(0.0228*0.92)*2</f>
        <v>4.1952000000000003E-2</v>
      </c>
      <c r="AT31" s="5"/>
      <c r="AU31" s="2"/>
    </row>
    <row r="32" spans="2:47" ht="17" thickBot="1" x14ac:dyDescent="0.25">
      <c r="B32" s="23" t="s">
        <v>4</v>
      </c>
      <c r="C32" s="36">
        <v>1.6806639491635851E-4</v>
      </c>
      <c r="D32" s="10"/>
      <c r="E32" s="45" t="s">
        <v>41</v>
      </c>
      <c r="F32" s="53">
        <v>8.173434230828577E-3</v>
      </c>
      <c r="G32" s="10"/>
      <c r="H32" s="45" t="s">
        <v>41</v>
      </c>
      <c r="I32" s="53">
        <v>5.5424837362514703E-3</v>
      </c>
      <c r="J32" s="10"/>
      <c r="K32" s="45" t="s">
        <v>41</v>
      </c>
      <c r="L32" s="53">
        <v>5.8957834594594583E-3</v>
      </c>
      <c r="M32" s="10"/>
      <c r="N32" s="45" t="s">
        <v>41</v>
      </c>
      <c r="O32" s="53">
        <v>5.5605752231752265E-3</v>
      </c>
      <c r="P32" s="15"/>
      <c r="Q32" s="45" t="s">
        <v>41</v>
      </c>
      <c r="R32" s="53">
        <v>1.5820000000000001E-2</v>
      </c>
      <c r="S32" s="70"/>
      <c r="T32" s="45" t="s">
        <v>41</v>
      </c>
      <c r="U32" s="53">
        <v>6.1895885865595322E-2</v>
      </c>
      <c r="V32" s="10"/>
      <c r="W32" s="45" t="s">
        <v>41</v>
      </c>
      <c r="X32" s="53">
        <v>2.5710554642846304E-2</v>
      </c>
      <c r="Y32" s="10"/>
      <c r="Z32" s="45" t="s">
        <v>41</v>
      </c>
      <c r="AA32" s="53">
        <v>2.5428511005106669E-2</v>
      </c>
      <c r="AB32" s="2"/>
      <c r="AC32" s="45" t="s">
        <v>41</v>
      </c>
      <c r="AD32" s="53">
        <v>2.928264477081988E-2</v>
      </c>
      <c r="AE32" s="15"/>
      <c r="AF32" s="23" t="s">
        <v>4</v>
      </c>
      <c r="AG32" s="18">
        <v>2.1299999999999999E-3</v>
      </c>
      <c r="AI32" s="23" t="s">
        <v>10</v>
      </c>
      <c r="AJ32" s="36">
        <v>0.13014775852948901</v>
      </c>
      <c r="AL32" s="23" t="s">
        <v>5</v>
      </c>
      <c r="AM32" s="43">
        <f>$AG$39/AM31</f>
        <v>7.7980392156862897E-3</v>
      </c>
      <c r="AO32" s="23" t="s">
        <v>5</v>
      </c>
      <c r="AP32" s="36">
        <f>$AG$39/AP31</f>
        <v>5.8485294117647168E-3</v>
      </c>
      <c r="AR32" s="23" t="s">
        <v>5</v>
      </c>
      <c r="AS32" s="16">
        <f>$AG$39/AS31</f>
        <v>4.3228260869565306E-3</v>
      </c>
      <c r="AT32" s="5"/>
      <c r="AU32" s="2"/>
    </row>
    <row r="33" spans="2:47" ht="17" thickBot="1" x14ac:dyDescent="0.25">
      <c r="B33" s="59" t="s">
        <v>32</v>
      </c>
      <c r="C33" s="56">
        <f>C32/C31</f>
        <v>8.4353525599250731E-2</v>
      </c>
      <c r="D33" s="10"/>
      <c r="E33" s="31"/>
      <c r="F33" s="12"/>
      <c r="G33" s="10"/>
      <c r="H33" s="31"/>
      <c r="I33" s="12"/>
      <c r="J33" s="10"/>
      <c r="K33" s="31"/>
      <c r="L33" s="12"/>
      <c r="M33" s="10"/>
      <c r="N33" s="31"/>
      <c r="O33" s="12"/>
      <c r="P33" s="15"/>
      <c r="Q33" s="31"/>
      <c r="R33" s="10"/>
      <c r="S33" s="10"/>
      <c r="T33" s="31"/>
      <c r="U33" s="12"/>
      <c r="V33" s="10"/>
      <c r="W33" s="31"/>
      <c r="X33" s="12"/>
      <c r="Y33" s="10"/>
      <c r="Z33" s="31"/>
      <c r="AA33" s="12"/>
      <c r="AB33" s="2"/>
      <c r="AC33" s="31"/>
      <c r="AD33" s="12"/>
      <c r="AE33" s="15"/>
      <c r="AF33" s="59" t="s">
        <v>32</v>
      </c>
      <c r="AG33" s="56">
        <f>AG32/AG31</f>
        <v>5.3557958259994855E-2</v>
      </c>
      <c r="AH33" s="2"/>
      <c r="AI33" s="59" t="s">
        <v>33</v>
      </c>
      <c r="AJ33" s="56">
        <f>AJ32/AJ31</f>
        <v>5.444207043035601E-2</v>
      </c>
      <c r="AL33" s="23" t="s">
        <v>9</v>
      </c>
      <c r="AM33" s="43">
        <f>AM24-AM28-AM32</f>
        <v>0.75033368249633858</v>
      </c>
      <c r="AO33" s="23" t="s">
        <v>9</v>
      </c>
      <c r="AP33" s="36">
        <f>AP24-AP28-AP32</f>
        <v>0.56597421567088113</v>
      </c>
      <c r="AR33" s="23" t="s">
        <v>9</v>
      </c>
      <c r="AS33" s="43">
        <f>AS24-AS28-AS32</f>
        <v>0.28603855552540636</v>
      </c>
      <c r="AT33" s="5"/>
      <c r="AU33" s="2"/>
    </row>
    <row r="34" spans="2:47" ht="17" thickBot="1" x14ac:dyDescent="0.25">
      <c r="B34" s="31"/>
      <c r="C34" s="12"/>
      <c r="D34" s="10"/>
      <c r="E34" s="116" t="s">
        <v>44</v>
      </c>
      <c r="F34" s="117"/>
      <c r="G34" s="10"/>
      <c r="H34" s="116" t="s">
        <v>44</v>
      </c>
      <c r="I34" s="120"/>
      <c r="J34" s="10"/>
      <c r="K34" s="116" t="s">
        <v>44</v>
      </c>
      <c r="L34" s="117"/>
      <c r="M34" s="10"/>
      <c r="N34" s="116" t="s">
        <v>44</v>
      </c>
      <c r="O34" s="117"/>
      <c r="P34" s="15"/>
      <c r="Q34" s="116" t="s">
        <v>42</v>
      </c>
      <c r="R34" s="117"/>
      <c r="S34" s="13"/>
      <c r="T34" s="116" t="s">
        <v>44</v>
      </c>
      <c r="U34" s="117"/>
      <c r="V34" s="10"/>
      <c r="W34" s="116" t="s">
        <v>44</v>
      </c>
      <c r="X34" s="120"/>
      <c r="Y34" s="10"/>
      <c r="Z34" s="116" t="s">
        <v>44</v>
      </c>
      <c r="AA34" s="117"/>
      <c r="AB34" s="2"/>
      <c r="AC34" s="116" t="s">
        <v>44</v>
      </c>
      <c r="AD34" s="117"/>
      <c r="AE34" s="15"/>
      <c r="AF34" s="31"/>
      <c r="AG34" s="12"/>
      <c r="AH34" s="2"/>
      <c r="AI34" s="31"/>
      <c r="AJ34" s="12"/>
      <c r="AL34" s="23" t="s">
        <v>10</v>
      </c>
      <c r="AM34" s="43">
        <v>0.10346039104383487</v>
      </c>
      <c r="AO34" s="23" t="s">
        <v>10</v>
      </c>
      <c r="AP34" s="36">
        <v>7.1950495465233522E-2</v>
      </c>
      <c r="AR34" s="23" t="s">
        <v>10</v>
      </c>
      <c r="AS34" s="44">
        <v>3.3804667547335909E-2</v>
      </c>
      <c r="AT34" s="5"/>
      <c r="AU34" s="2"/>
    </row>
    <row r="35" spans="2:47" ht="20" thickBot="1" x14ac:dyDescent="0.25">
      <c r="B35" s="126" t="s">
        <v>43</v>
      </c>
      <c r="C35" s="120"/>
      <c r="D35" s="10"/>
      <c r="E35" s="35" t="s">
        <v>9</v>
      </c>
      <c r="F35" s="55">
        <f>F28-F32-C31</f>
        <v>9.9408341958820041E-3</v>
      </c>
      <c r="G35" s="10"/>
      <c r="H35" s="35" t="s">
        <v>15</v>
      </c>
      <c r="I35" s="18">
        <f>(0.0228*0.51)*2</f>
        <v>2.3256000000000002E-2</v>
      </c>
      <c r="J35" s="10"/>
      <c r="K35" s="35" t="s">
        <v>15</v>
      </c>
      <c r="L35" s="18">
        <f>(0.0228*0.68)*2</f>
        <v>3.1008000000000004E-2</v>
      </c>
      <c r="M35" s="10"/>
      <c r="N35" s="35" t="s">
        <v>15</v>
      </c>
      <c r="O35" s="17">
        <f>(0.0228*0.926)*2</f>
        <v>4.2225600000000002E-2</v>
      </c>
      <c r="P35" s="72"/>
      <c r="Q35" s="35" t="s">
        <v>5</v>
      </c>
      <c r="R35" s="55">
        <f>R28-R32</f>
        <v>6.8305412013676403E-3</v>
      </c>
      <c r="S35" s="10"/>
      <c r="T35" s="35" t="s">
        <v>9</v>
      </c>
      <c r="U35" s="55">
        <f>U28-U32-R35</f>
        <v>3.3187335293588714E-2</v>
      </c>
      <c r="V35" s="10"/>
      <c r="W35" s="35" t="s">
        <v>15</v>
      </c>
      <c r="X35" s="16">
        <f>(0.0228*0.51)*2</f>
        <v>2.3256000000000002E-2</v>
      </c>
      <c r="Y35" s="10"/>
      <c r="Z35" s="35" t="s">
        <v>15</v>
      </c>
      <c r="AA35" s="17">
        <v>3.1008000000000004E-2</v>
      </c>
      <c r="AB35" s="10"/>
      <c r="AC35" s="35" t="s">
        <v>15</v>
      </c>
      <c r="AD35" s="17">
        <f>(0.0228*0.93)*2</f>
        <v>4.2408000000000001E-2</v>
      </c>
      <c r="AE35" s="72"/>
      <c r="AF35" s="126" t="s">
        <v>43</v>
      </c>
      <c r="AG35" s="120"/>
      <c r="AH35" s="2"/>
      <c r="AI35" s="126" t="s">
        <v>43</v>
      </c>
      <c r="AJ35" s="120"/>
      <c r="AL35" s="59" t="s">
        <v>33</v>
      </c>
      <c r="AM35" s="66">
        <f>AM34/AM33</f>
        <v>0.13788584126948042</v>
      </c>
      <c r="AO35" s="59" t="s">
        <v>33</v>
      </c>
      <c r="AP35" s="56">
        <f>AP34/AP33</f>
        <v>0.12712680802949045</v>
      </c>
      <c r="AR35" s="59" t="s">
        <v>33</v>
      </c>
      <c r="AS35" s="66">
        <f>AS34/AS33</f>
        <v>0.11818220618979923</v>
      </c>
      <c r="AT35" s="5"/>
      <c r="AU35" s="2"/>
    </row>
    <row r="36" spans="2:47" ht="20" thickBot="1" x14ac:dyDescent="0.25">
      <c r="B36" s="30" t="s">
        <v>47</v>
      </c>
      <c r="C36" s="28">
        <v>2.2799999999999999E-3</v>
      </c>
      <c r="D36" s="10"/>
      <c r="E36" s="23" t="s">
        <v>10</v>
      </c>
      <c r="F36" s="36">
        <v>1.0086180803657724E-3</v>
      </c>
      <c r="G36" s="10"/>
      <c r="H36" s="23" t="s">
        <v>5</v>
      </c>
      <c r="I36" s="43">
        <f>$C$39/I35</f>
        <v>3.906676673859336E-4</v>
      </c>
      <c r="J36" s="10"/>
      <c r="K36" s="23" t="s">
        <v>5</v>
      </c>
      <c r="L36" s="36">
        <f>$C$39/L35</f>
        <v>2.9300075053945022E-4</v>
      </c>
      <c r="M36" s="10"/>
      <c r="N36" s="23" t="s">
        <v>5</v>
      </c>
      <c r="O36" s="18">
        <f>$C$39/O35</f>
        <v>2.1516253819311678E-4</v>
      </c>
      <c r="P36" s="73"/>
      <c r="Q36" s="23" t="s">
        <v>4</v>
      </c>
      <c r="R36" s="36">
        <v>2.0073343327457987E-4</v>
      </c>
      <c r="S36" s="10"/>
      <c r="T36" s="23" t="s">
        <v>10</v>
      </c>
      <c r="U36" s="36">
        <v>1.1762298078443964E-3</v>
      </c>
      <c r="V36" s="10"/>
      <c r="W36" s="23" t="s">
        <v>5</v>
      </c>
      <c r="X36" s="43">
        <f>$R$43/X35</f>
        <v>1.3393218041897331E-3</v>
      </c>
      <c r="Y36" s="10"/>
      <c r="Z36" s="23" t="s">
        <v>5</v>
      </c>
      <c r="AA36" s="36">
        <f>$R$43/AA35</f>
        <v>1.0044913531422998E-3</v>
      </c>
      <c r="AB36" s="10"/>
      <c r="AC36" s="23" t="s">
        <v>5</v>
      </c>
      <c r="AD36" s="18">
        <f>$R$43/AD35</f>
        <v>7.3446679584598278E-4</v>
      </c>
      <c r="AE36" s="73"/>
      <c r="AF36" s="30" t="s">
        <v>47</v>
      </c>
      <c r="AG36" s="28">
        <v>2.2799999999999999E-3</v>
      </c>
      <c r="AI36" s="30" t="s">
        <v>11</v>
      </c>
      <c r="AJ36" s="3">
        <v>5.0000000000000001E-4</v>
      </c>
      <c r="AK36" s="13"/>
      <c r="AL36" s="31"/>
      <c r="AM36" s="12"/>
      <c r="AO36" s="31"/>
      <c r="AP36" s="12"/>
      <c r="AR36" s="31"/>
      <c r="AS36" s="12"/>
      <c r="AT36" s="5"/>
      <c r="AU36" s="2"/>
    </row>
    <row r="37" spans="2:47" ht="20" thickBot="1" x14ac:dyDescent="0.25">
      <c r="B37" s="21" t="s">
        <v>48</v>
      </c>
      <c r="C37" s="29">
        <v>2.2799999999999999E-3</v>
      </c>
      <c r="D37" s="10"/>
      <c r="E37" s="59" t="s">
        <v>33</v>
      </c>
      <c r="F37" s="56">
        <f>F36/F35</f>
        <v>0.10146211680943164</v>
      </c>
      <c r="G37" s="10"/>
      <c r="H37" s="23" t="s">
        <v>9</v>
      </c>
      <c r="I37" s="43">
        <f>I28-I32-I36</f>
        <v>9.6437684977588468E-3</v>
      </c>
      <c r="J37" s="10"/>
      <c r="K37" s="23" t="s">
        <v>9</v>
      </c>
      <c r="L37" s="36">
        <f>L28-L32-L36</f>
        <v>7.7159530062688095E-3</v>
      </c>
      <c r="M37" s="10"/>
      <c r="N37" s="23" t="s">
        <v>9</v>
      </c>
      <c r="O37" s="36">
        <f>O28-O32-O36</f>
        <v>3.0596309325434281E-3</v>
      </c>
      <c r="P37" s="15"/>
      <c r="Q37" s="59" t="s">
        <v>32</v>
      </c>
      <c r="R37" s="56">
        <f>R36/R35</f>
        <v>2.9387632305678524E-2</v>
      </c>
      <c r="S37" s="2"/>
      <c r="T37" s="59" t="s">
        <v>33</v>
      </c>
      <c r="U37" s="56">
        <f>U36/U35</f>
        <v>3.5442128674658194E-2</v>
      </c>
      <c r="V37" s="10"/>
      <c r="W37" s="23" t="s">
        <v>9</v>
      </c>
      <c r="X37" s="43">
        <f>X28-X32-X36</f>
        <v>1.7275792066127945E-2</v>
      </c>
      <c r="Y37" s="10"/>
      <c r="Z37" s="23" t="s">
        <v>9</v>
      </c>
      <c r="AA37" s="36">
        <f>AA28-AA32-AA36</f>
        <v>1.2008540970224788E-2</v>
      </c>
      <c r="AB37" s="2"/>
      <c r="AC37" s="23" t="s">
        <v>9</v>
      </c>
      <c r="AD37" s="36">
        <f>AD28-AD32-AD36</f>
        <v>7.2493825898732982E-3</v>
      </c>
      <c r="AE37" s="15"/>
      <c r="AF37" s="21" t="s">
        <v>48</v>
      </c>
      <c r="AG37" s="29">
        <v>2.2799999999999999E-3</v>
      </c>
      <c r="AH37" s="2"/>
      <c r="AI37" s="21" t="s">
        <v>12</v>
      </c>
      <c r="AJ37" s="18">
        <v>0.01</v>
      </c>
      <c r="AK37" s="13"/>
      <c r="AL37" s="126" t="s">
        <v>43</v>
      </c>
      <c r="AM37" s="120"/>
      <c r="AO37" s="126" t="s">
        <v>43</v>
      </c>
      <c r="AP37" s="120"/>
      <c r="AR37" s="126" t="s">
        <v>43</v>
      </c>
      <c r="AS37" s="120"/>
      <c r="AT37" s="5"/>
      <c r="AU37" s="2"/>
    </row>
    <row r="38" spans="2:47" ht="20" thickBot="1" x14ac:dyDescent="0.25">
      <c r="B38" s="21" t="s">
        <v>8</v>
      </c>
      <c r="C38" s="29">
        <f>C36+C37</f>
        <v>4.5599999999999998E-3</v>
      </c>
      <c r="D38" s="10"/>
      <c r="E38" s="31"/>
      <c r="F38" s="12"/>
      <c r="G38" s="10"/>
      <c r="H38" s="23" t="s">
        <v>10</v>
      </c>
      <c r="I38" s="44">
        <v>9.2716862331928846E-4</v>
      </c>
      <c r="J38" s="10"/>
      <c r="K38" s="23" t="s">
        <v>10</v>
      </c>
      <c r="L38" s="36">
        <v>7.3466725733700548E-4</v>
      </c>
      <c r="M38" s="10"/>
      <c r="N38" s="23" t="s">
        <v>10</v>
      </c>
      <c r="O38" s="44">
        <v>4.0647944493914755E-4</v>
      </c>
      <c r="P38" s="10"/>
      <c r="Q38" s="31"/>
      <c r="R38" s="10"/>
      <c r="S38" s="2"/>
      <c r="T38" s="31"/>
      <c r="U38" s="12"/>
      <c r="V38" s="10"/>
      <c r="W38" s="23" t="s">
        <v>10</v>
      </c>
      <c r="X38" s="44">
        <v>1.3659950166824628E-3</v>
      </c>
      <c r="Y38" s="10"/>
      <c r="Z38" s="23" t="s">
        <v>10</v>
      </c>
      <c r="AA38" s="36">
        <v>8.0800690773395745E-4</v>
      </c>
      <c r="AB38" s="10"/>
      <c r="AC38" s="23" t="s">
        <v>10</v>
      </c>
      <c r="AD38" s="44">
        <v>7.0129793477781421E-4</v>
      </c>
      <c r="AE38" s="10"/>
      <c r="AF38" s="21" t="s">
        <v>8</v>
      </c>
      <c r="AG38" s="29">
        <f>AG36+AG37</f>
        <v>4.5599999999999998E-3</v>
      </c>
      <c r="AH38" s="2"/>
      <c r="AI38" s="21" t="s">
        <v>45</v>
      </c>
      <c r="AJ38" s="18">
        <v>0.01</v>
      </c>
      <c r="AK38" s="13"/>
      <c r="AL38" s="30" t="s">
        <v>46</v>
      </c>
      <c r="AM38" s="61">
        <f>((0.003312+0.000828)*0.51)/2</f>
        <v>1.0556999999999999E-3</v>
      </c>
      <c r="AN38" s="13"/>
      <c r="AO38" s="30" t="s">
        <v>46</v>
      </c>
      <c r="AP38" s="24">
        <f>((0.00323+0.0008075)*0.68)/2</f>
        <v>1.3727499999999998E-3</v>
      </c>
      <c r="AQ38" s="13"/>
      <c r="AR38" s="30" t="s">
        <v>46</v>
      </c>
      <c r="AS38" s="24">
        <f>((0.002379+0.000793)*0.92)/2</f>
        <v>1.4591199999999999E-3</v>
      </c>
      <c r="AT38" s="5"/>
      <c r="AU38" s="2"/>
    </row>
    <row r="39" spans="2:47" ht="20" thickBot="1" x14ac:dyDescent="0.25">
      <c r="B39" s="22" t="s">
        <v>49</v>
      </c>
      <c r="C39" s="42">
        <f>C31*C38</f>
        <v>9.0853672727272728E-6</v>
      </c>
      <c r="D39" s="10"/>
      <c r="E39" s="116" t="s">
        <v>43</v>
      </c>
      <c r="F39" s="117"/>
      <c r="G39" s="10"/>
      <c r="H39" s="59" t="s">
        <v>33</v>
      </c>
      <c r="I39" s="66">
        <f>I38/I37</f>
        <v>9.6141733756337763E-2</v>
      </c>
      <c r="J39" s="10"/>
      <c r="K39" s="59" t="s">
        <v>33</v>
      </c>
      <c r="L39" s="56">
        <f>L38/L37</f>
        <v>9.5214065811459275E-2</v>
      </c>
      <c r="M39" s="10"/>
      <c r="N39" s="59" t="s">
        <v>33</v>
      </c>
      <c r="O39" s="56">
        <f>O38/O37</f>
        <v>0.13285244328512749</v>
      </c>
      <c r="P39" s="15"/>
      <c r="Q39" s="116" t="s">
        <v>43</v>
      </c>
      <c r="R39" s="117"/>
      <c r="S39" s="2"/>
      <c r="T39" s="116" t="s">
        <v>43</v>
      </c>
      <c r="U39" s="117"/>
      <c r="V39" s="10"/>
      <c r="W39" s="59" t="s">
        <v>33</v>
      </c>
      <c r="X39" s="66">
        <f>X38/X37</f>
        <v>7.9069892219918669E-2</v>
      </c>
      <c r="Y39" s="10"/>
      <c r="Z39" s="59" t="s">
        <v>33</v>
      </c>
      <c r="AA39" s="56">
        <f>AA38/AA37</f>
        <v>6.728601832124427E-2</v>
      </c>
      <c r="AB39" s="10"/>
      <c r="AC39" s="59" t="s">
        <v>33</v>
      </c>
      <c r="AD39" s="56">
        <f>AD38/AD37</f>
        <v>9.673898791842786E-2</v>
      </c>
      <c r="AE39" s="15"/>
      <c r="AF39" s="22" t="s">
        <v>49</v>
      </c>
      <c r="AG39" s="42">
        <f>AG31*AG38</f>
        <v>1.8135120000000037E-4</v>
      </c>
      <c r="AH39" s="2"/>
      <c r="AI39" s="21" t="s">
        <v>8</v>
      </c>
      <c r="AJ39" s="29">
        <f>AJ36+AJ37+AJ38</f>
        <v>2.0500000000000001E-2</v>
      </c>
      <c r="AK39" s="2"/>
      <c r="AL39" s="21" t="s">
        <v>47</v>
      </c>
      <c r="AM39" s="33">
        <f>0.09*SQRT(0.51^2+0.002292^2)</f>
        <v>4.5900463520953685E-2</v>
      </c>
      <c r="AN39" s="13"/>
      <c r="AO39" s="21" t="s">
        <v>47</v>
      </c>
      <c r="AP39" s="39">
        <f>0.09*SQRT(0.68^2+0.0024225^2)</f>
        <v>6.1200388355799058E-2</v>
      </c>
      <c r="AQ39" s="13"/>
      <c r="AR39" s="21" t="s">
        <v>47</v>
      </c>
      <c r="AS39" s="39">
        <f>0.09*SQRT(0.92^2+0.001586^2)</f>
        <v>8.2800123035582499E-2</v>
      </c>
      <c r="AT39" s="5"/>
      <c r="AU39" s="2"/>
    </row>
    <row r="40" spans="2:47" ht="20" thickBot="1" x14ac:dyDescent="0.25">
      <c r="B40" s="25" t="s">
        <v>50</v>
      </c>
      <c r="C40" s="67">
        <f>C39*C33</f>
        <v>7.6638276081859479E-7</v>
      </c>
      <c r="D40" s="32"/>
      <c r="E40" s="30" t="s">
        <v>11</v>
      </c>
      <c r="F40" s="3">
        <v>5.0000000000000001E-4</v>
      </c>
      <c r="G40" s="68"/>
      <c r="H40" s="31"/>
      <c r="I40" s="12"/>
      <c r="J40" s="10"/>
      <c r="K40" s="31"/>
      <c r="L40" s="12"/>
      <c r="M40" s="10"/>
      <c r="N40" s="31"/>
      <c r="O40" s="12"/>
      <c r="P40" s="15"/>
      <c r="Q40" s="30" t="s">
        <v>47</v>
      </c>
      <c r="R40" s="28">
        <v>2.2799999999999999E-3</v>
      </c>
      <c r="S40" s="10"/>
      <c r="T40" s="30" t="s">
        <v>11</v>
      </c>
      <c r="U40" s="3">
        <v>5.9999999999999995E-4</v>
      </c>
      <c r="V40" s="68"/>
      <c r="W40" s="31"/>
      <c r="X40" s="12"/>
      <c r="Y40" s="10"/>
      <c r="Z40" s="31"/>
      <c r="AA40" s="12"/>
      <c r="AB40" s="10"/>
      <c r="AC40" s="31"/>
      <c r="AD40" s="12"/>
      <c r="AE40" s="15"/>
      <c r="AF40" s="25" t="s">
        <v>50</v>
      </c>
      <c r="AG40" s="57">
        <f>AG39*AG33</f>
        <v>9.7127999999999996E-6</v>
      </c>
      <c r="AH40" s="7"/>
      <c r="AI40" s="22" t="s">
        <v>51</v>
      </c>
      <c r="AJ40" s="42">
        <f>AJ31*AJ39</f>
        <v>4.9006752108510472E-2</v>
      </c>
      <c r="AK40" s="2"/>
      <c r="AL40" s="21" t="s">
        <v>48</v>
      </c>
      <c r="AM40" s="18">
        <f>0.09*0.51</f>
        <v>4.5899999999999996E-2</v>
      </c>
      <c r="AN40" s="13"/>
      <c r="AO40" s="21" t="s">
        <v>48</v>
      </c>
      <c r="AP40" s="16">
        <f>0.09*0.68</f>
        <v>6.1200000000000004E-2</v>
      </c>
      <c r="AQ40" s="13"/>
      <c r="AR40" s="21" t="s">
        <v>48</v>
      </c>
      <c r="AS40" s="16">
        <f>0.09*0.92</f>
        <v>8.2799999999999999E-2</v>
      </c>
      <c r="AT40" s="5"/>
      <c r="AU40" s="2"/>
    </row>
    <row r="41" spans="2:47" ht="20" thickBot="1" x14ac:dyDescent="0.25">
      <c r="E41" s="21" t="s">
        <v>12</v>
      </c>
      <c r="F41" s="18">
        <v>0.01</v>
      </c>
      <c r="G41" s="68"/>
      <c r="H41" s="116" t="s">
        <v>43</v>
      </c>
      <c r="I41" s="117"/>
      <c r="J41" s="10"/>
      <c r="K41" s="126" t="s">
        <v>43</v>
      </c>
      <c r="L41" s="120"/>
      <c r="M41" s="10"/>
      <c r="N41" s="126" t="s">
        <v>43</v>
      </c>
      <c r="O41" s="120"/>
      <c r="P41" s="15"/>
      <c r="Q41" s="21" t="s">
        <v>48</v>
      </c>
      <c r="R41" s="29">
        <v>2.2799999999999999E-3</v>
      </c>
      <c r="S41" s="2"/>
      <c r="T41" s="21" t="s">
        <v>12</v>
      </c>
      <c r="U41" s="18">
        <v>0.01</v>
      </c>
      <c r="V41" s="68"/>
      <c r="W41" s="116" t="s">
        <v>43</v>
      </c>
      <c r="X41" s="117"/>
      <c r="Y41" s="10"/>
      <c r="Z41" s="126" t="s">
        <v>43</v>
      </c>
      <c r="AA41" s="120"/>
      <c r="AB41" s="10"/>
      <c r="AC41" s="126" t="s">
        <v>43</v>
      </c>
      <c r="AD41" s="120"/>
      <c r="AE41" s="15"/>
      <c r="AF41" s="2"/>
      <c r="AG41" s="2"/>
      <c r="AH41" s="2"/>
      <c r="AI41" s="25" t="s">
        <v>52</v>
      </c>
      <c r="AJ41" s="57">
        <f>AJ40*AJ33</f>
        <v>2.6680290498545252E-3</v>
      </c>
      <c r="AK41" s="7"/>
      <c r="AL41" s="21" t="s">
        <v>8</v>
      </c>
      <c r="AM41" s="29">
        <f>AM38+AM39+AM40</f>
        <v>9.2856163520953688E-2</v>
      </c>
      <c r="AN41" s="2"/>
      <c r="AO41" s="21" t="s">
        <v>8</v>
      </c>
      <c r="AP41" s="29">
        <f>AP38+AP39+AP40</f>
        <v>0.12377313835579906</v>
      </c>
      <c r="AQ41" s="2"/>
      <c r="AR41" s="21" t="s">
        <v>8</v>
      </c>
      <c r="AS41" s="29">
        <f>AS38+AS39+AS40</f>
        <v>0.16705924303558251</v>
      </c>
      <c r="AT41" s="5"/>
      <c r="AU41" s="2"/>
    </row>
    <row r="42" spans="2:47" ht="19" x14ac:dyDescent="0.2">
      <c r="E42" s="21" t="s">
        <v>45</v>
      </c>
      <c r="F42" s="18">
        <v>0.01</v>
      </c>
      <c r="G42" s="68"/>
      <c r="H42" s="30" t="s">
        <v>46</v>
      </c>
      <c r="I42" s="38">
        <f>((0.00324+0.00081)*0.51)/2</f>
        <v>1.03275E-3</v>
      </c>
      <c r="J42" s="13"/>
      <c r="K42" s="30" t="s">
        <v>46</v>
      </c>
      <c r="L42" s="24">
        <f>((0.00319+0.0007975)*0.68)/2</f>
        <v>1.35575E-3</v>
      </c>
      <c r="M42" s="13"/>
      <c r="N42" s="30" t="s">
        <v>46</v>
      </c>
      <c r="O42" s="24">
        <v>1.4519680000000001E-3</v>
      </c>
      <c r="P42" s="16"/>
      <c r="Q42" s="21" t="s">
        <v>8</v>
      </c>
      <c r="R42" s="29">
        <f>R40+R41</f>
        <v>4.5599999999999998E-3</v>
      </c>
      <c r="S42" s="2"/>
      <c r="T42" s="21" t="s">
        <v>45</v>
      </c>
      <c r="U42" s="18">
        <v>0.01</v>
      </c>
      <c r="V42" s="68"/>
      <c r="W42" s="30" t="s">
        <v>46</v>
      </c>
      <c r="X42" s="52">
        <f>((0.00319+0.0007975)*0.51)/2</f>
        <v>1.0168124999999999E-3</v>
      </c>
      <c r="Y42" s="13"/>
      <c r="Z42" s="30" t="s">
        <v>46</v>
      </c>
      <c r="AA42" s="24">
        <v>1.28775E-3</v>
      </c>
      <c r="AB42" s="13"/>
      <c r="AC42" s="30" t="s">
        <v>46</v>
      </c>
      <c r="AD42" s="4">
        <f>((0.002361+0.000787)*0.93)/2</f>
        <v>1.46382E-3</v>
      </c>
      <c r="AE42" s="13"/>
      <c r="AH42" s="2"/>
      <c r="AK42" s="2"/>
      <c r="AL42" s="22" t="s">
        <v>51</v>
      </c>
      <c r="AM42" s="42">
        <f>AM33*AM41</f>
        <v>6.9673107117159364E-2</v>
      </c>
      <c r="AN42" s="2"/>
      <c r="AO42" s="22" t="s">
        <v>51</v>
      </c>
      <c r="AP42" s="42">
        <f>AP33*AP41</f>
        <v>7.0052404902046825E-2</v>
      </c>
      <c r="AQ42" s="2"/>
      <c r="AR42" s="22" t="s">
        <v>51</v>
      </c>
      <c r="AS42" s="42">
        <f>AS33*AS41</f>
        <v>4.7785384565065821E-2</v>
      </c>
      <c r="AT42" s="5"/>
      <c r="AU42" s="2"/>
    </row>
    <row r="43" spans="2:47" ht="20" thickBot="1" x14ac:dyDescent="0.25">
      <c r="E43" s="21" t="s">
        <v>8</v>
      </c>
      <c r="F43" s="29">
        <f>F40+F41+F42</f>
        <v>2.0500000000000001E-2</v>
      </c>
      <c r="G43" s="2"/>
      <c r="H43" s="21" t="s">
        <v>47</v>
      </c>
      <c r="I43" s="37">
        <f>0.093*SQRT(0.51^2+0.00243^2)</f>
        <v>4.7430538384885534E-2</v>
      </c>
      <c r="J43" s="13"/>
      <c r="K43" s="21" t="s">
        <v>47</v>
      </c>
      <c r="L43" s="40">
        <f>0.089*SQRT(0.68^2+0.0023925^2)</f>
        <v>6.052037458781593E-2</v>
      </c>
      <c r="M43" s="13"/>
      <c r="N43" s="21" t="s">
        <v>47</v>
      </c>
      <c r="O43" s="39">
        <v>8.611812346213181E-2</v>
      </c>
      <c r="P43" s="16"/>
      <c r="Q43" s="22" t="s">
        <v>49</v>
      </c>
      <c r="R43" s="42">
        <f>R35*R42</f>
        <v>3.1147267878236437E-5</v>
      </c>
      <c r="S43" s="2"/>
      <c r="T43" s="21" t="s">
        <v>8</v>
      </c>
      <c r="U43" s="29">
        <f>U40+U41+U42</f>
        <v>2.06E-2</v>
      </c>
      <c r="V43" s="2"/>
      <c r="W43" s="21" t="s">
        <v>47</v>
      </c>
      <c r="X43" s="36">
        <f>0.092*SQRT(0.51^2+0.0023925^2)</f>
        <v>4.6920516284586003E-2</v>
      </c>
      <c r="Y43" s="13"/>
      <c r="Z43" s="21" t="s">
        <v>47</v>
      </c>
      <c r="AA43" s="39">
        <v>6.2560404394501806E-2</v>
      </c>
      <c r="AB43" s="13"/>
      <c r="AC43" s="21" t="s">
        <v>47</v>
      </c>
      <c r="AD43" s="18">
        <f>0.092*SQRT(0.93^2+0.001574^2)</f>
        <v>8.5560122541735908E-2</v>
      </c>
      <c r="AE43" s="13"/>
      <c r="AF43" s="1"/>
      <c r="AG43" s="1"/>
      <c r="AH43" s="2"/>
      <c r="AK43" s="2"/>
      <c r="AL43" s="25" t="s">
        <v>52</v>
      </c>
      <c r="AM43" s="57">
        <f>AM42*AM35</f>
        <v>9.6069349887081424E-3</v>
      </c>
      <c r="AN43" s="7"/>
      <c r="AO43" s="25" t="s">
        <v>52</v>
      </c>
      <c r="AP43" s="57">
        <f>AP42*AP35</f>
        <v>8.905538629986642E-3</v>
      </c>
      <c r="AQ43" s="7"/>
      <c r="AR43" s="25" t="s">
        <v>52</v>
      </c>
      <c r="AS43" s="57">
        <f>AS42*AS35</f>
        <v>5.6473821715274583E-3</v>
      </c>
      <c r="AT43" s="5"/>
      <c r="AU43" s="2"/>
    </row>
    <row r="44" spans="2:47" ht="20" thickBot="1" x14ac:dyDescent="0.25">
      <c r="E44" s="22" t="s">
        <v>51</v>
      </c>
      <c r="F44" s="42">
        <f>F35*F43</f>
        <v>2.0378710101558111E-4</v>
      </c>
      <c r="G44" s="2"/>
      <c r="H44" s="21" t="s">
        <v>48</v>
      </c>
      <c r="I44" s="18">
        <f>0.093*0.51</f>
        <v>4.743E-2</v>
      </c>
      <c r="J44" s="13"/>
      <c r="K44" s="21" t="s">
        <v>48</v>
      </c>
      <c r="L44" s="16">
        <f>0.089*0.68</f>
        <v>6.0520000000000004E-2</v>
      </c>
      <c r="M44" s="13"/>
      <c r="N44" s="21" t="s">
        <v>48</v>
      </c>
      <c r="O44" s="16">
        <v>8.6118E-2</v>
      </c>
      <c r="P44" s="16"/>
      <c r="Q44" s="25" t="s">
        <v>50</v>
      </c>
      <c r="R44" s="67">
        <f>R43*R37</f>
        <v>9.1534445573208407E-7</v>
      </c>
      <c r="S44" s="7"/>
      <c r="T44" s="22" t="s">
        <v>51</v>
      </c>
      <c r="U44" s="42">
        <f>U35*U43</f>
        <v>6.8365910704792747E-4</v>
      </c>
      <c r="V44" s="2"/>
      <c r="W44" s="21" t="s">
        <v>48</v>
      </c>
      <c r="X44" s="36">
        <f>0.092*0.51</f>
        <v>4.6920000000000003E-2</v>
      </c>
      <c r="Y44" s="13"/>
      <c r="Z44" s="21" t="s">
        <v>48</v>
      </c>
      <c r="AA44" s="16">
        <v>6.2560000000000004E-2</v>
      </c>
      <c r="AB44" s="13"/>
      <c r="AC44" s="21" t="s">
        <v>48</v>
      </c>
      <c r="AD44" s="18">
        <f>0.092*0.93</f>
        <v>8.5559999999999997E-2</v>
      </c>
      <c r="AE44" s="13"/>
      <c r="AT44" s="2"/>
    </row>
    <row r="45" spans="2:47" ht="20" thickBot="1" x14ac:dyDescent="0.25">
      <c r="B45" s="2"/>
      <c r="C45" s="2"/>
      <c r="D45" s="2"/>
      <c r="E45" s="25" t="s">
        <v>52</v>
      </c>
      <c r="F45" s="57">
        <f>F44*F37</f>
        <v>2.0676670647498334E-5</v>
      </c>
      <c r="G45" s="7"/>
      <c r="H45" s="21" t="s">
        <v>8</v>
      </c>
      <c r="I45" s="29">
        <f>I42+I43+I44</f>
        <v>9.5893288384885533E-2</v>
      </c>
      <c r="J45" s="2"/>
      <c r="K45" s="21" t="s">
        <v>8</v>
      </c>
      <c r="L45" s="29">
        <f>L42+L43+L44</f>
        <v>0.12239612458781593</v>
      </c>
      <c r="M45" s="2"/>
      <c r="N45" s="21" t="s">
        <v>8</v>
      </c>
      <c r="O45" s="29">
        <f>O42+O43+O44</f>
        <v>0.17368809146213182</v>
      </c>
      <c r="P45" s="1"/>
      <c r="Q45" s="2"/>
      <c r="R45" s="2"/>
      <c r="S45" s="2"/>
      <c r="T45" s="25" t="s">
        <v>52</v>
      </c>
      <c r="U45" s="57">
        <f>U44*U37</f>
        <v>2.4230334041594566E-5</v>
      </c>
      <c r="V45" s="7"/>
      <c r="W45" s="21" t="s">
        <v>8</v>
      </c>
      <c r="X45" s="29">
        <f>X42+X43+X44</f>
        <v>9.4857328784585998E-2</v>
      </c>
      <c r="Y45" s="2"/>
      <c r="Z45" s="21" t="s">
        <v>8</v>
      </c>
      <c r="AA45" s="29">
        <f>AA42+AA43+AA44</f>
        <v>0.12640815439450181</v>
      </c>
      <c r="AB45" s="2"/>
      <c r="AC45" s="21" t="s">
        <v>8</v>
      </c>
      <c r="AD45" s="29">
        <f>AD42+AD43+AD44</f>
        <v>0.17258394254173592</v>
      </c>
      <c r="AE45" s="1"/>
    </row>
    <row r="46" spans="2:47" ht="19" x14ac:dyDescent="0.2">
      <c r="B46" s="10"/>
      <c r="C46" s="10"/>
      <c r="D46" s="2"/>
      <c r="E46" s="10"/>
      <c r="F46" s="10"/>
      <c r="G46" s="2"/>
      <c r="H46" s="22" t="s">
        <v>51</v>
      </c>
      <c r="I46" s="42">
        <f>I37*I45</f>
        <v>9.2477267367266347E-4</v>
      </c>
      <c r="J46" s="2"/>
      <c r="K46" s="22" t="s">
        <v>51</v>
      </c>
      <c r="L46" s="42">
        <f>L37*L45</f>
        <v>9.4440274546901009E-4</v>
      </c>
      <c r="M46" s="2"/>
      <c r="N46" s="22" t="s">
        <v>51</v>
      </c>
      <c r="O46" s="42">
        <f>O37*O45</f>
        <v>5.3142145725197057E-4</v>
      </c>
      <c r="P46" s="1"/>
      <c r="Q46" s="10"/>
      <c r="R46" s="10"/>
      <c r="S46" s="2"/>
      <c r="T46" s="10"/>
      <c r="U46" s="10"/>
      <c r="V46" s="2"/>
      <c r="W46" s="22" t="s">
        <v>51</v>
      </c>
      <c r="X46" s="42">
        <f>X37*X45</f>
        <v>1.6387354880308407E-3</v>
      </c>
      <c r="Y46" s="2"/>
      <c r="Z46" s="22" t="s">
        <v>51</v>
      </c>
      <c r="AA46" s="42">
        <f>AA37*AA45</f>
        <v>1.5179775010168756E-3</v>
      </c>
      <c r="AB46" s="2"/>
      <c r="AC46" s="22" t="s">
        <v>51</v>
      </c>
      <c r="AD46" s="42">
        <f>AD37*AD45</f>
        <v>1.2511270283537541E-3</v>
      </c>
      <c r="AE46" s="1"/>
    </row>
    <row r="47" spans="2:47" ht="20" thickBot="1" x14ac:dyDescent="0.25">
      <c r="B47" s="1"/>
      <c r="C47" s="1"/>
      <c r="D47" s="2"/>
      <c r="E47" s="10"/>
      <c r="F47" s="10"/>
      <c r="G47" s="2"/>
      <c r="H47" s="25" t="s">
        <v>52</v>
      </c>
      <c r="I47" s="57">
        <f>I46*I39</f>
        <v>8.8909248177373833E-5</v>
      </c>
      <c r="J47" s="7"/>
      <c r="K47" s="25" t="s">
        <v>52</v>
      </c>
      <c r="L47" s="57">
        <f>L46*L39</f>
        <v>8.9920425159609145E-5</v>
      </c>
      <c r="M47" s="7"/>
      <c r="N47" s="25" t="s">
        <v>52</v>
      </c>
      <c r="O47" s="57">
        <f>O46*O39</f>
        <v>7.0600639010067227E-5</v>
      </c>
      <c r="P47" s="1"/>
      <c r="Q47" s="1"/>
      <c r="R47" s="1"/>
      <c r="S47" s="2"/>
      <c r="T47" s="10"/>
      <c r="U47" s="10"/>
      <c r="V47" s="2"/>
      <c r="W47" s="25" t="s">
        <v>52</v>
      </c>
      <c r="X47" s="57">
        <f>X46*X39</f>
        <v>1.2957463841555439E-4</v>
      </c>
      <c r="Y47" s="7"/>
      <c r="Z47" s="25" t="s">
        <v>52</v>
      </c>
      <c r="AA47" s="57">
        <f>AA46*AA39</f>
        <v>1.0213866194465808E-4</v>
      </c>
      <c r="AB47" s="7"/>
      <c r="AC47" s="25" t="s">
        <v>52</v>
      </c>
      <c r="AD47" s="57">
        <f>AD46*AD39</f>
        <v>1.2103276248033237E-4</v>
      </c>
      <c r="AE47" s="1"/>
    </row>
    <row r="48" spans="2:47" x14ac:dyDescent="0.2">
      <c r="AF48" s="41"/>
      <c r="AG48" s="41"/>
      <c r="AH48" s="2"/>
      <c r="AK48" s="2"/>
      <c r="AL48" s="2"/>
      <c r="AM48" s="2"/>
      <c r="AN48" s="2"/>
      <c r="AO48" s="2"/>
      <c r="AP48" s="2"/>
      <c r="AQ48" s="2"/>
      <c r="AR48" s="2"/>
      <c r="AS48" s="1"/>
    </row>
    <row r="49" spans="32:45" x14ac:dyDescent="0.2">
      <c r="AF49" s="11"/>
      <c r="AG49" s="14"/>
      <c r="AH49" s="2"/>
      <c r="AI49" s="11"/>
      <c r="AK49" s="2"/>
      <c r="AL49" s="2"/>
      <c r="AM49" s="2"/>
      <c r="AN49" s="2"/>
      <c r="AO49" s="2"/>
      <c r="AP49" s="2"/>
      <c r="AQ49" s="2"/>
      <c r="AR49" s="2"/>
      <c r="AS49" s="1"/>
    </row>
    <row r="50" spans="32:45" x14ac:dyDescent="0.2">
      <c r="AF50" s="11"/>
      <c r="AG50" s="14"/>
      <c r="AH50" s="2"/>
      <c r="AI50" s="11"/>
      <c r="AK50" s="2"/>
      <c r="AL50" s="2"/>
      <c r="AM50" s="2"/>
      <c r="AN50" s="2"/>
      <c r="AO50" s="2"/>
      <c r="AP50" s="2"/>
      <c r="AQ50" s="2"/>
      <c r="AR50" s="2"/>
      <c r="AS50" s="1"/>
    </row>
    <row r="51" spans="32:45" x14ac:dyDescent="0.2">
      <c r="AF51" s="11"/>
      <c r="AG51" s="14"/>
      <c r="AI51" s="11"/>
      <c r="AK51" s="2"/>
      <c r="AL51" s="2"/>
      <c r="AM51" s="2"/>
      <c r="AN51" s="2"/>
      <c r="AO51" s="2"/>
      <c r="AP51" s="2"/>
      <c r="AQ51" s="2"/>
      <c r="AR51" s="2"/>
      <c r="AS51" s="1"/>
    </row>
  </sheetData>
  <mergeCells count="93">
    <mergeCell ref="AR37:AS37"/>
    <mergeCell ref="AO37:AP37"/>
    <mergeCell ref="AL37:AM37"/>
    <mergeCell ref="AI35:AJ35"/>
    <mergeCell ref="AF35:AG35"/>
    <mergeCell ref="B15:C15"/>
    <mergeCell ref="B20:C20"/>
    <mergeCell ref="B30:C30"/>
    <mergeCell ref="B35:C35"/>
    <mergeCell ref="AR15:AS15"/>
    <mergeCell ref="AI20:AJ20"/>
    <mergeCell ref="AL20:AM20"/>
    <mergeCell ref="AO20:AP20"/>
    <mergeCell ref="AR20:AS20"/>
    <mergeCell ref="AF30:AG30"/>
    <mergeCell ref="AI30:AJ30"/>
    <mergeCell ref="AL30:AM30"/>
    <mergeCell ref="AO30:AP30"/>
    <mergeCell ref="AR30:AS30"/>
    <mergeCell ref="E34:F34"/>
    <mergeCell ref="E17:F17"/>
    <mergeCell ref="H34:I34"/>
    <mergeCell ref="K34:L34"/>
    <mergeCell ref="N34:O34"/>
    <mergeCell ref="AC41:AD41"/>
    <mergeCell ref="H17:I17"/>
    <mergeCell ref="AF20:AG20"/>
    <mergeCell ref="AO15:AP15"/>
    <mergeCell ref="AL15:AM15"/>
    <mergeCell ref="AI15:AJ15"/>
    <mergeCell ref="AF15:AG15"/>
    <mergeCell ref="E39:F39"/>
    <mergeCell ref="Q39:R39"/>
    <mergeCell ref="T39:U39"/>
    <mergeCell ref="W41:X41"/>
    <mergeCell ref="Z41:AA41"/>
    <mergeCell ref="H41:I41"/>
    <mergeCell ref="K41:L41"/>
    <mergeCell ref="N41:O41"/>
    <mergeCell ref="B5:O5"/>
    <mergeCell ref="B6:C6"/>
    <mergeCell ref="E6:F6"/>
    <mergeCell ref="H6:I6"/>
    <mergeCell ref="K6:L6"/>
    <mergeCell ref="N6:O6"/>
    <mergeCell ref="B7:C7"/>
    <mergeCell ref="E7:F7"/>
    <mergeCell ref="H7:I7"/>
    <mergeCell ref="K7:L7"/>
    <mergeCell ref="N7:O7"/>
    <mergeCell ref="K17:L17"/>
    <mergeCell ref="N17:O17"/>
    <mergeCell ref="E22:F22"/>
    <mergeCell ref="Q22:R22"/>
    <mergeCell ref="T22:U22"/>
    <mergeCell ref="Q17:R17"/>
    <mergeCell ref="T17:U17"/>
    <mergeCell ref="H22:I22"/>
    <mergeCell ref="K22:L22"/>
    <mergeCell ref="N22:O22"/>
    <mergeCell ref="W22:X22"/>
    <mergeCell ref="Z22:AA22"/>
    <mergeCell ref="AC22:AD22"/>
    <mergeCell ref="Q34:R34"/>
    <mergeCell ref="T34:U34"/>
    <mergeCell ref="W34:X34"/>
    <mergeCell ref="Z34:AA34"/>
    <mergeCell ref="AC34:AD34"/>
    <mergeCell ref="AF5:AS5"/>
    <mergeCell ref="Q5:AD5"/>
    <mergeCell ref="Q6:R6"/>
    <mergeCell ref="T6:U6"/>
    <mergeCell ref="W6:X6"/>
    <mergeCell ref="Z6:AA6"/>
    <mergeCell ref="AC6:AD6"/>
    <mergeCell ref="AR6:AS6"/>
    <mergeCell ref="Q7:R7"/>
    <mergeCell ref="T7:U7"/>
    <mergeCell ref="W7:X7"/>
    <mergeCell ref="Z7:AA7"/>
    <mergeCell ref="AC7:AD7"/>
    <mergeCell ref="W17:X17"/>
    <mergeCell ref="Z17:AA17"/>
    <mergeCell ref="AC17:AD17"/>
    <mergeCell ref="AO6:AP6"/>
    <mergeCell ref="AO7:AP7"/>
    <mergeCell ref="AF7:AG7"/>
    <mergeCell ref="AF6:AG6"/>
    <mergeCell ref="AR7:AS7"/>
    <mergeCell ref="AI6:AJ6"/>
    <mergeCell ref="AI7:AJ7"/>
    <mergeCell ref="AL6:AM6"/>
    <mergeCell ref="AL7:AM7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33974-60EF-4145-B240-8AD5FD885CA0}">
  <dimension ref="B1:AS56"/>
  <sheetViews>
    <sheetView zoomScale="150" zoomScaleNormal="150" workbookViewId="0">
      <selection activeCell="AU8" sqref="AU8"/>
    </sheetView>
  </sheetViews>
  <sheetFormatPr baseColWidth="10" defaultColWidth="11" defaultRowHeight="16" x14ac:dyDescent="0.2"/>
  <cols>
    <col min="2" max="2" width="13.6640625" customWidth="1"/>
    <col min="3" max="3" width="18.1640625" customWidth="1"/>
    <col min="4" max="4" width="16.83203125" customWidth="1"/>
    <col min="5" max="5" width="18.83203125" customWidth="1"/>
    <col min="6" max="6" width="16.83203125" customWidth="1"/>
    <col min="7" max="7" width="19.6640625" customWidth="1"/>
    <col min="9" max="9" width="14.1640625" customWidth="1"/>
    <col min="10" max="10" width="17.33203125" customWidth="1"/>
    <col min="11" max="11" width="14.5" customWidth="1"/>
    <col min="12" max="12" width="15.6640625" customWidth="1"/>
    <col min="13" max="13" width="16.83203125" customWidth="1"/>
    <col min="14" max="14" width="19.83203125" customWidth="1"/>
    <col min="19" max="19" width="15.1640625" customWidth="1"/>
    <col min="20" max="20" width="37.5" customWidth="1"/>
    <col min="21" max="23" width="11.83203125" bestFit="1" customWidth="1"/>
    <col min="28" max="28" width="11" customWidth="1"/>
    <col min="29" max="29" width="16.33203125" customWidth="1"/>
    <col min="30" max="30" width="16.1640625" customWidth="1"/>
    <col min="31" max="31" width="15.6640625" customWidth="1"/>
    <col min="34" max="34" width="16.1640625" customWidth="1"/>
    <col min="35" max="35" width="13.1640625" customWidth="1"/>
    <col min="38" max="38" width="19.33203125" customWidth="1"/>
    <col min="42" max="42" width="14" customWidth="1"/>
    <col min="43" max="43" width="34.33203125" customWidth="1"/>
    <col min="44" max="44" width="15.5" customWidth="1"/>
    <col min="45" max="45" width="11.83203125" bestFit="1" customWidth="1"/>
  </cols>
  <sheetData>
    <row r="1" spans="2:45" ht="17" thickBot="1" x14ac:dyDescent="0.25">
      <c r="K1" s="78"/>
    </row>
    <row r="2" spans="2:45" ht="17" thickBot="1" x14ac:dyDescent="0.25">
      <c r="B2" s="118" t="s">
        <v>53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19"/>
      <c r="Z2" s="118" t="s">
        <v>54</v>
      </c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19"/>
    </row>
    <row r="3" spans="2:45" ht="20" x14ac:dyDescent="0.25">
      <c r="B3" s="79" t="s">
        <v>55</v>
      </c>
      <c r="C3" s="80" t="s">
        <v>56</v>
      </c>
      <c r="D3" s="80" t="s">
        <v>58</v>
      </c>
      <c r="E3" s="80" t="s">
        <v>59</v>
      </c>
      <c r="F3" s="80" t="s">
        <v>60</v>
      </c>
      <c r="G3" s="80" t="s">
        <v>61</v>
      </c>
      <c r="H3" s="81"/>
      <c r="I3" s="80" t="s">
        <v>62</v>
      </c>
      <c r="J3" s="80" t="s">
        <v>63</v>
      </c>
      <c r="K3" s="82" t="s">
        <v>57</v>
      </c>
      <c r="L3" s="131" t="s">
        <v>64</v>
      </c>
      <c r="M3" s="129" t="s">
        <v>65</v>
      </c>
      <c r="N3" s="83" t="s">
        <v>66</v>
      </c>
      <c r="O3" s="80" t="s">
        <v>67</v>
      </c>
      <c r="P3" s="80" t="s">
        <v>68</v>
      </c>
      <c r="Q3" s="80" t="s">
        <v>69</v>
      </c>
      <c r="R3" s="77" t="s">
        <v>70</v>
      </c>
      <c r="S3" s="84" t="s">
        <v>71</v>
      </c>
      <c r="T3" s="83" t="s">
        <v>72</v>
      </c>
      <c r="U3" s="80" t="s">
        <v>73</v>
      </c>
      <c r="V3" s="85" t="s">
        <v>74</v>
      </c>
      <c r="W3" s="77" t="s">
        <v>75</v>
      </c>
      <c r="Z3" s="79" t="s">
        <v>55</v>
      </c>
      <c r="AA3" s="80" t="s">
        <v>56</v>
      </c>
      <c r="AB3" s="80" t="s">
        <v>58</v>
      </c>
      <c r="AC3" s="80" t="s">
        <v>59</v>
      </c>
      <c r="AD3" s="80" t="s">
        <v>60</v>
      </c>
      <c r="AE3" s="80" t="s">
        <v>61</v>
      </c>
      <c r="AF3" s="81"/>
      <c r="AG3" s="80" t="s">
        <v>62</v>
      </c>
      <c r="AH3" s="80" t="s">
        <v>63</v>
      </c>
      <c r="AI3" s="82" t="s">
        <v>57</v>
      </c>
      <c r="AJ3" s="85" t="s">
        <v>64</v>
      </c>
      <c r="AK3" s="80" t="s">
        <v>65</v>
      </c>
      <c r="AL3" s="83" t="s">
        <v>76</v>
      </c>
      <c r="AM3" s="80" t="s">
        <v>67</v>
      </c>
      <c r="AN3" s="80" t="s">
        <v>68</v>
      </c>
      <c r="AO3" s="80" t="s">
        <v>69</v>
      </c>
      <c r="AP3" s="84" t="s">
        <v>71</v>
      </c>
      <c r="AQ3" s="83" t="s">
        <v>72</v>
      </c>
      <c r="AR3" s="80" t="s">
        <v>73</v>
      </c>
      <c r="AS3" s="76" t="s">
        <v>74</v>
      </c>
    </row>
    <row r="4" spans="2:45" x14ac:dyDescent="0.2">
      <c r="B4" s="90">
        <v>328.82</v>
      </c>
      <c r="C4" s="87">
        <f t="shared" ref="C4:C14" si="0">B4+273.15</f>
        <v>601.97</v>
      </c>
      <c r="D4" s="87">
        <f t="shared" ref="D4:D14" si="1">C4^2</f>
        <v>362367.88090000005</v>
      </c>
      <c r="E4" s="87">
        <v>0.2</v>
      </c>
      <c r="F4" s="87">
        <f t="shared" ref="F4:F14" si="2">E4/60</f>
        <v>3.3333333333333335E-3</v>
      </c>
      <c r="G4" s="87">
        <f t="shared" ref="G4:G14" si="3">F4/D4</f>
        <v>9.1987549367081148E-9</v>
      </c>
      <c r="H4" s="91"/>
      <c r="I4" s="87">
        <f t="shared" ref="I4:I14" si="4">1/C4</f>
        <v>1.6612123527750551E-3</v>
      </c>
      <c r="J4" s="87">
        <f t="shared" ref="J4:J14" si="5">LN(G4)</f>
        <v>-18.504197695016259</v>
      </c>
      <c r="K4" s="132">
        <f>(22345*8.314)/1000</f>
        <v>185.77632999999997</v>
      </c>
      <c r="L4" s="92">
        <v>-1.2712314361443929E-2</v>
      </c>
      <c r="M4" s="89">
        <v>1.0040900018433821E-2</v>
      </c>
      <c r="N4" s="87">
        <f>M4/L4</f>
        <v>-0.78985617669175734</v>
      </c>
      <c r="O4" s="88">
        <f>ABS(N4)</f>
        <v>0.78985617669175734</v>
      </c>
      <c r="P4" s="87">
        <f>1.26*SQRT(O4)</f>
        <v>1.1198105492072461</v>
      </c>
      <c r="Q4" s="112">
        <f>AVERAGE(P4:P14)</f>
        <v>1.17286493589401</v>
      </c>
      <c r="R4" s="132">
        <f>STDEV(P4:P14)/2</f>
        <v>9.0022586604494942E-2</v>
      </c>
      <c r="S4" s="90">
        <f>($K$6*F4)/(8.314*D4)</f>
        <v>2.055461790607428E-4</v>
      </c>
      <c r="T4" s="87">
        <f>(1+(P4-1)*((2*8.314*C4)/$K$6))*EXP(-$K$6/(8.314*C4))</f>
        <v>7.618588816842572E-17</v>
      </c>
      <c r="U4" s="87">
        <f>S4/T4</f>
        <v>2697956065122.4229</v>
      </c>
      <c r="V4" s="133">
        <f>AVERAGE(U4:U14)</f>
        <v>2201562275378.9546</v>
      </c>
      <c r="W4" s="134">
        <f>STDEV(U4:U14)/2</f>
        <v>471185102094.47107</v>
      </c>
      <c r="Z4" s="90"/>
      <c r="AA4" s="87"/>
      <c r="AB4" s="87"/>
      <c r="AC4" s="88">
        <v>0.2</v>
      </c>
      <c r="AD4" s="87"/>
      <c r="AE4" s="87"/>
      <c r="AF4" s="91"/>
      <c r="AG4" s="87"/>
      <c r="AH4" s="87"/>
      <c r="AI4" s="136">
        <f>(7800.7*8.314)/1000</f>
        <v>64.855019800000008</v>
      </c>
      <c r="AJ4" s="128"/>
      <c r="AK4" s="91"/>
      <c r="AL4" s="87"/>
      <c r="AM4" s="88"/>
      <c r="AN4" s="87"/>
      <c r="AO4" s="127">
        <f>AVERAGE(AN8:AN14)</f>
        <v>1</v>
      </c>
      <c r="AP4" s="92"/>
      <c r="AQ4" s="87"/>
      <c r="AR4" s="87"/>
      <c r="AS4" s="134">
        <f>AVERAGE(AR8:AR14)</f>
        <v>13110228.361121668</v>
      </c>
    </row>
    <row r="5" spans="2:45" x14ac:dyDescent="0.2">
      <c r="B5" s="47">
        <v>347.38</v>
      </c>
      <c r="C5" s="94">
        <f t="shared" si="0"/>
        <v>620.53</v>
      </c>
      <c r="D5" s="94">
        <f t="shared" si="1"/>
        <v>385057.48089999997</v>
      </c>
      <c r="E5" s="94">
        <v>0.5</v>
      </c>
      <c r="F5" s="94">
        <f t="shared" si="2"/>
        <v>8.3333333333333332E-3</v>
      </c>
      <c r="G5" s="94">
        <f t="shared" si="3"/>
        <v>2.164179050321454E-8</v>
      </c>
      <c r="H5" s="98"/>
      <c r="I5" s="94">
        <f t="shared" si="4"/>
        <v>1.6115256313151661E-3</v>
      </c>
      <c r="J5" s="94">
        <f t="shared" si="5"/>
        <v>-17.648639645946638</v>
      </c>
      <c r="K5" s="9" t="s">
        <v>80</v>
      </c>
      <c r="L5" s="6">
        <v>-1.6942644346407111E-2</v>
      </c>
      <c r="M5" s="96">
        <v>1.2283962279968207E-2</v>
      </c>
      <c r="N5" s="94">
        <f t="shared" ref="N5:N13" si="6">M5/L5</f>
        <v>-0.72503217495521399</v>
      </c>
      <c r="O5" s="95">
        <f t="shared" ref="O5:O14" si="7">ABS(N5)</f>
        <v>0.72503217495521399</v>
      </c>
      <c r="P5" s="94">
        <f t="shared" ref="P5:P14" si="8">1.26*SQRT(O5)</f>
        <v>1.0728751469574163</v>
      </c>
      <c r="Q5" s="54"/>
      <c r="R5" s="24"/>
      <c r="S5" s="47">
        <f>($K$6*F5)/(8.314*D5)</f>
        <v>4.835858087943289E-4</v>
      </c>
      <c r="T5" s="94">
        <f>(1+(P5-1)*((2*8.314*C5)/$K$6))*EXP(-$K$6/(8.314*C5))</f>
        <v>2.3067985023730091E-16</v>
      </c>
      <c r="U5" s="94">
        <f t="shared" ref="U5:U14" si="9">S5/T5</f>
        <v>2096350454089.783</v>
      </c>
      <c r="V5" s="2"/>
      <c r="W5" s="97"/>
      <c r="Z5" s="47"/>
      <c r="AA5" s="94"/>
      <c r="AB5" s="94"/>
      <c r="AC5" s="95">
        <v>0.5</v>
      </c>
      <c r="AD5" s="94"/>
      <c r="AE5" s="94"/>
      <c r="AF5" s="98"/>
      <c r="AG5" s="94"/>
      <c r="AH5" s="94"/>
      <c r="AI5" s="9" t="s">
        <v>80</v>
      </c>
      <c r="AJ5" s="2"/>
      <c r="AK5" s="98"/>
      <c r="AL5" s="94"/>
      <c r="AM5" s="95"/>
      <c r="AN5" s="94"/>
      <c r="AO5" s="54"/>
      <c r="AP5" s="6"/>
      <c r="AQ5" s="94"/>
      <c r="AR5" s="94"/>
      <c r="AS5" s="97"/>
    </row>
    <row r="6" spans="2:45" x14ac:dyDescent="0.2">
      <c r="B6" s="47">
        <v>357.17</v>
      </c>
      <c r="C6" s="94">
        <f t="shared" si="0"/>
        <v>630.31999999999994</v>
      </c>
      <c r="D6" s="94">
        <f t="shared" si="1"/>
        <v>397303.30239999993</v>
      </c>
      <c r="E6" s="94">
        <v>1</v>
      </c>
      <c r="F6" s="94">
        <f t="shared" si="2"/>
        <v>1.6666666666666666E-2</v>
      </c>
      <c r="G6" s="94">
        <f t="shared" si="3"/>
        <v>4.1949479317156238E-8</v>
      </c>
      <c r="H6" s="98"/>
      <c r="I6" s="94">
        <f t="shared" si="4"/>
        <v>1.586495748191395E-3</v>
      </c>
      <c r="J6" s="94">
        <f t="shared" si="5"/>
        <v>-16.986799816096966</v>
      </c>
      <c r="K6" s="135">
        <f>(22345*8.314)</f>
        <v>185776.33</v>
      </c>
      <c r="L6" s="6">
        <v>-3.8715083746851849E-2</v>
      </c>
      <c r="M6" s="96">
        <v>2.7127138009813482E-2</v>
      </c>
      <c r="N6" s="94">
        <f t="shared" si="6"/>
        <v>-0.70068653828029881</v>
      </c>
      <c r="O6" s="95">
        <f t="shared" si="7"/>
        <v>0.70068653828029881</v>
      </c>
      <c r="P6" s="94">
        <f t="shared" si="8"/>
        <v>1.0547084659628945</v>
      </c>
      <c r="Q6" s="54"/>
      <c r="R6" s="24"/>
      <c r="S6" s="47">
        <f>($K$6*F6)/(8.314*D6)</f>
        <v>9.3736111534185613E-4</v>
      </c>
      <c r="T6" s="94">
        <f>(1+(P6-1)*((2*8.314*C6)/$K$6))*EXP(-$K$6/(8.314*C6))</f>
        <v>4.0317306839348328E-16</v>
      </c>
      <c r="U6" s="94">
        <f t="shared" si="9"/>
        <v>2324959648413.3789</v>
      </c>
      <c r="V6" s="2"/>
      <c r="W6" s="97"/>
      <c r="Z6" s="47"/>
      <c r="AA6" s="94"/>
      <c r="AB6" s="94"/>
      <c r="AC6" s="95">
        <v>1</v>
      </c>
      <c r="AD6" s="94"/>
      <c r="AE6" s="94"/>
      <c r="AF6" s="98"/>
      <c r="AG6" s="94"/>
      <c r="AH6" s="94"/>
      <c r="AI6" s="135">
        <f>(7800.7*8.314)</f>
        <v>64855.019800000002</v>
      </c>
      <c r="AJ6" s="2"/>
      <c r="AK6" s="98"/>
      <c r="AL6" s="94"/>
      <c r="AM6" s="95"/>
      <c r="AN6" s="94"/>
      <c r="AO6" s="54"/>
      <c r="AP6" s="6"/>
      <c r="AQ6" s="94"/>
      <c r="AR6" s="94"/>
      <c r="AS6" s="97"/>
    </row>
    <row r="7" spans="2:45" x14ac:dyDescent="0.2">
      <c r="B7" s="47">
        <v>371.39</v>
      </c>
      <c r="C7" s="94">
        <f t="shared" si="0"/>
        <v>644.54</v>
      </c>
      <c r="D7" s="94">
        <f t="shared" si="1"/>
        <v>415431.81159999996</v>
      </c>
      <c r="E7" s="94">
        <v>2</v>
      </c>
      <c r="F7" s="94">
        <f t="shared" si="2"/>
        <v>3.3333333333333333E-2</v>
      </c>
      <c r="G7" s="94">
        <f t="shared" si="3"/>
        <v>8.0237796920156066E-8</v>
      </c>
      <c r="H7" s="98"/>
      <c r="I7" s="94">
        <f t="shared" si="4"/>
        <v>1.5514940888075217E-3</v>
      </c>
      <c r="J7" s="94">
        <f t="shared" si="5"/>
        <v>-16.338271149799318</v>
      </c>
      <c r="K7" s="97"/>
      <c r="L7" s="6">
        <v>-8.2950333883570954E-2</v>
      </c>
      <c r="M7" s="96">
        <v>5.3909566726285815E-2</v>
      </c>
      <c r="N7" s="94">
        <f>M7/L7</f>
        <v>-0.64990174484352592</v>
      </c>
      <c r="O7" s="95">
        <f t="shared" si="7"/>
        <v>0.64990174484352592</v>
      </c>
      <c r="P7" s="94">
        <f t="shared" si="8"/>
        <v>1.0157676949546985</v>
      </c>
      <c r="Q7" s="54"/>
      <c r="R7" s="24"/>
      <c r="S7" s="47">
        <f>($K$6*F7)/(8.314*D7)</f>
        <v>1.7929135721808875E-3</v>
      </c>
      <c r="T7" s="94">
        <f>(1+(P7-1)*((2*8.314*C7)/$K$6))*EXP(-$K$6/(8.314*C7))</f>
        <v>8.7945771290870362E-16</v>
      </c>
      <c r="U7" s="94">
        <f t="shared" si="9"/>
        <v>2038658079705.7715</v>
      </c>
      <c r="V7" s="2"/>
      <c r="W7" s="97"/>
      <c r="Z7" s="47"/>
      <c r="AA7" s="94"/>
      <c r="AB7" s="94"/>
      <c r="AC7" s="95">
        <v>2</v>
      </c>
      <c r="AD7" s="94"/>
      <c r="AE7" s="94"/>
      <c r="AF7" s="98"/>
      <c r="AG7" s="94"/>
      <c r="AH7" s="94"/>
      <c r="AI7" s="97"/>
      <c r="AJ7" s="2"/>
      <c r="AK7" s="98"/>
      <c r="AL7" s="94"/>
      <c r="AM7" s="95"/>
      <c r="AN7" s="94"/>
      <c r="AO7" s="54"/>
      <c r="AP7" s="6"/>
      <c r="AQ7" s="94"/>
      <c r="AR7" s="94"/>
      <c r="AS7" s="97"/>
    </row>
    <row r="8" spans="2:45" x14ac:dyDescent="0.2">
      <c r="B8" s="47">
        <v>396.77</v>
      </c>
      <c r="C8" s="94">
        <f t="shared" si="0"/>
        <v>669.92</v>
      </c>
      <c r="D8" s="94">
        <f t="shared" si="1"/>
        <v>448792.80639999994</v>
      </c>
      <c r="E8" s="94">
        <v>5</v>
      </c>
      <c r="F8" s="94">
        <f t="shared" si="2"/>
        <v>8.3333333333333329E-2</v>
      </c>
      <c r="G8" s="94">
        <f t="shared" si="3"/>
        <v>1.8568330896788042E-7</v>
      </c>
      <c r="H8" s="98"/>
      <c r="I8" s="94">
        <f t="shared" si="4"/>
        <v>1.4927155481251494E-3</v>
      </c>
      <c r="J8" s="94">
        <f t="shared" si="5"/>
        <v>-15.499223254329667</v>
      </c>
      <c r="K8" s="97"/>
      <c r="L8" s="6">
        <v>-0.15956410774629859</v>
      </c>
      <c r="M8" s="96">
        <v>0.1816769433013167</v>
      </c>
      <c r="N8" s="94">
        <f t="shared" si="6"/>
        <v>-1.1385827669351354</v>
      </c>
      <c r="O8" s="95">
        <f t="shared" si="7"/>
        <v>1.1385827669351354</v>
      </c>
      <c r="P8" s="94">
        <f t="shared" si="8"/>
        <v>1.344475362654973</v>
      </c>
      <c r="Q8" s="54"/>
      <c r="R8" s="24"/>
      <c r="S8" s="47">
        <f>($K$6*F8)/(8.314*D8)</f>
        <v>4.1490935388872876E-3</v>
      </c>
      <c r="T8" s="94">
        <f>(1+(P8-1)*((2*8.314*C8)/$K$6))*EXP(-$K$6/(8.314*C8))</f>
        <v>3.3350654641084495E-15</v>
      </c>
      <c r="U8" s="94">
        <f t="shared" si="9"/>
        <v>1244081588064.5537</v>
      </c>
      <c r="V8" s="2"/>
      <c r="W8" s="97"/>
      <c r="Z8" s="93">
        <v>103.87</v>
      </c>
      <c r="AA8" s="99">
        <f t="shared" ref="AA8:AA14" si="10">Z8+273.15</f>
        <v>377.02</v>
      </c>
      <c r="AB8" s="94">
        <f t="shared" ref="AB8:AB14" si="11">AA8^2</f>
        <v>142144.08039999998</v>
      </c>
      <c r="AC8" s="94">
        <v>5</v>
      </c>
      <c r="AD8" s="94">
        <f t="shared" ref="AD8:AD14" si="12">AC8/60</f>
        <v>8.3333333333333329E-2</v>
      </c>
      <c r="AE8" s="94">
        <f t="shared" ref="AE8:AE14" si="13">AD8/AB8</f>
        <v>5.8625961136636497E-7</v>
      </c>
      <c r="AF8" s="98"/>
      <c r="AG8" s="94">
        <f t="shared" ref="AG8:AG14" si="14">1/AA8</f>
        <v>2.6523791841281631E-3</v>
      </c>
      <c r="AH8" s="94">
        <f t="shared" ref="AH8:AH14" si="15">LN(AE8)</f>
        <v>-14.349503122665533</v>
      </c>
      <c r="AI8" s="97"/>
      <c r="AJ8" s="2"/>
      <c r="AK8" s="98"/>
      <c r="AL8" s="94">
        <v>-1</v>
      </c>
      <c r="AM8" s="95">
        <f t="shared" ref="AM8:AM14" si="16">ABS(AL8)</f>
        <v>1</v>
      </c>
      <c r="AN8" s="94">
        <v>1</v>
      </c>
      <c r="AO8" s="54"/>
      <c r="AP8" s="6">
        <f>($AI$6*AD8)/(8.314*AB8)</f>
        <v>4.5732353503856035E-3</v>
      </c>
      <c r="AQ8" s="94">
        <f>(1+(AN8-1)*((2*8.314*AA8)/$AI$6))*EXP(-$AI$6/(8.314*AA8))</f>
        <v>1.033397104879085E-9</v>
      </c>
      <c r="AR8" s="94">
        <f>AP8/AQ8</f>
        <v>4425438.5161265815</v>
      </c>
      <c r="AS8" s="97"/>
    </row>
    <row r="9" spans="2:45" x14ac:dyDescent="0.2">
      <c r="B9" s="47">
        <v>419.41</v>
      </c>
      <c r="C9" s="94">
        <f t="shared" si="0"/>
        <v>692.56</v>
      </c>
      <c r="D9" s="94">
        <f t="shared" si="1"/>
        <v>479639.35359999991</v>
      </c>
      <c r="E9" s="94">
        <v>10</v>
      </c>
      <c r="F9" s="94">
        <f t="shared" si="2"/>
        <v>0.16666666666666666</v>
      </c>
      <c r="G9" s="94">
        <f t="shared" si="3"/>
        <v>3.4748330264338569E-7</v>
      </c>
      <c r="H9" s="98"/>
      <c r="I9" s="94">
        <f t="shared" si="4"/>
        <v>1.443918216472219E-3</v>
      </c>
      <c r="J9" s="94">
        <f t="shared" si="5"/>
        <v>-14.872549223043091</v>
      </c>
      <c r="K9" s="97"/>
      <c r="L9" s="6">
        <v>-0.78328774705685678</v>
      </c>
      <c r="M9" s="96">
        <v>1.0776676818371582</v>
      </c>
      <c r="N9" s="94">
        <f t="shared" si="6"/>
        <v>-1.3758260433492178</v>
      </c>
      <c r="O9" s="95">
        <f t="shared" si="7"/>
        <v>1.3758260433492178</v>
      </c>
      <c r="P9" s="94">
        <f t="shared" si="8"/>
        <v>1.4779247025546389</v>
      </c>
      <c r="Q9" s="54"/>
      <c r="R9" s="24"/>
      <c r="S9" s="47">
        <f>($K$6*F9)/(8.314*D9)</f>
        <v>7.764514397566453E-3</v>
      </c>
      <c r="T9" s="94">
        <f>(1+(P9-1)*((2*8.314*C9)/$K$6))*EXP(-$K$6/(8.314*C9))</f>
        <v>1.0010344885008647E-14</v>
      </c>
      <c r="U9" s="94">
        <f t="shared" si="9"/>
        <v>775649039744.323</v>
      </c>
      <c r="V9" s="2"/>
      <c r="W9" s="97"/>
      <c r="Z9" s="93">
        <v>107.26</v>
      </c>
      <c r="AA9" s="99">
        <f t="shared" si="10"/>
        <v>380.40999999999997</v>
      </c>
      <c r="AB9" s="94">
        <f t="shared" si="11"/>
        <v>144711.76809999999</v>
      </c>
      <c r="AC9" s="94">
        <v>10</v>
      </c>
      <c r="AD9" s="94">
        <f t="shared" si="12"/>
        <v>0.16666666666666666</v>
      </c>
      <c r="AE9" s="94">
        <f t="shared" si="13"/>
        <v>1.1517146729317494E-6</v>
      </c>
      <c r="AF9" s="98"/>
      <c r="AG9" s="94">
        <f t="shared" si="14"/>
        <v>2.628742672379801E-3</v>
      </c>
      <c r="AH9" s="94">
        <f t="shared" si="15"/>
        <v>-13.674258706115014</v>
      </c>
      <c r="AI9" s="97"/>
      <c r="AJ9" s="2"/>
      <c r="AK9" s="98"/>
      <c r="AL9" s="94">
        <v>-1</v>
      </c>
      <c r="AM9" s="95">
        <f t="shared" si="16"/>
        <v>1</v>
      </c>
      <c r="AN9" s="94">
        <v>1</v>
      </c>
      <c r="AO9" s="54"/>
      <c r="AP9" s="6">
        <f>($AI$20*AD9)/(8.314*AB9)</f>
        <v>1.9027478111505434E-2</v>
      </c>
      <c r="AQ9" s="94">
        <f>(1+(AN9-1)*((2*8.314*AA9)/$AI$6))*EXP(-$AI$6/(8.314*AA9))</f>
        <v>1.2426334436197402E-9</v>
      </c>
      <c r="AR9" s="94">
        <f t="shared" ref="AR9:AR14" si="17">AP9/AQ9</f>
        <v>15312221.161599491</v>
      </c>
      <c r="AS9" s="97"/>
    </row>
    <row r="10" spans="2:45" x14ac:dyDescent="0.2">
      <c r="B10" s="47">
        <v>426.66</v>
      </c>
      <c r="C10" s="94">
        <f t="shared" si="0"/>
        <v>699.81</v>
      </c>
      <c r="D10" s="94">
        <f t="shared" si="1"/>
        <v>489734.03609999991</v>
      </c>
      <c r="E10" s="94">
        <v>20</v>
      </c>
      <c r="F10" s="94">
        <f t="shared" si="2"/>
        <v>0.33333333333333331</v>
      </c>
      <c r="G10" s="94">
        <f t="shared" si="3"/>
        <v>6.8064154982536113E-7</v>
      </c>
      <c r="H10" s="98"/>
      <c r="I10" s="94">
        <f t="shared" si="4"/>
        <v>1.428959288949858E-3</v>
      </c>
      <c r="J10" s="94">
        <f t="shared" si="5"/>
        <v>-14.200230027925258</v>
      </c>
      <c r="K10" s="97"/>
      <c r="L10" s="6">
        <v>-1.9080615490852604</v>
      </c>
      <c r="M10" s="96">
        <v>2.2953712381526472</v>
      </c>
      <c r="N10" s="94">
        <f t="shared" si="6"/>
        <v>-1.2029859515030141</v>
      </c>
      <c r="O10" s="95">
        <f t="shared" si="7"/>
        <v>1.2029859515030141</v>
      </c>
      <c r="P10" s="94">
        <f t="shared" si="8"/>
        <v>1.3819770246303609</v>
      </c>
      <c r="Q10" s="54"/>
      <c r="R10" s="24"/>
      <c r="S10" s="47">
        <f>($K$6*F10)/(8.314*D10)</f>
        <v>1.5208935430847694E-2</v>
      </c>
      <c r="T10" s="94">
        <f>(1+(P10-1)*((2*8.314*C10)/$K$6))*EXP(-$K$6/(8.314*C10))</f>
        <v>1.3906066394650058E-14</v>
      </c>
      <c r="U10" s="94">
        <f t="shared" si="9"/>
        <v>1093690695788.629</v>
      </c>
      <c r="V10" s="2"/>
      <c r="W10" s="97"/>
      <c r="Z10" s="93">
        <v>118.96</v>
      </c>
      <c r="AA10" s="99">
        <f t="shared" si="10"/>
        <v>392.10999999999996</v>
      </c>
      <c r="AB10" s="94">
        <f t="shared" si="11"/>
        <v>153750.25209999995</v>
      </c>
      <c r="AC10" s="94">
        <v>20</v>
      </c>
      <c r="AD10" s="94">
        <f t="shared" si="12"/>
        <v>0.33333333333333331</v>
      </c>
      <c r="AE10" s="94">
        <f t="shared" si="13"/>
        <v>2.1680181253721234E-6</v>
      </c>
      <c r="AF10" s="98"/>
      <c r="AG10" s="94">
        <f t="shared" si="14"/>
        <v>2.5503047614189897E-3</v>
      </c>
      <c r="AH10" s="94">
        <f t="shared" si="15"/>
        <v>-13.041697114010326</v>
      </c>
      <c r="AI10" s="97"/>
      <c r="AJ10" s="2"/>
      <c r="AK10" s="98"/>
      <c r="AL10" s="94">
        <v>-1</v>
      </c>
      <c r="AM10" s="95">
        <f t="shared" si="16"/>
        <v>1</v>
      </c>
      <c r="AN10" s="94">
        <v>1</v>
      </c>
      <c r="AO10" s="54"/>
      <c r="AP10" s="6">
        <f>($AI$20*AD10)/(8.314*AB10)</f>
        <v>3.5817827449272858E-2</v>
      </c>
      <c r="AQ10" s="94">
        <f>(1+(AN10-1)*((2*8.314*AA10)/$AI$6))*EXP(-$AI$6/(8.314*AA10))</f>
        <v>2.2912636659115802E-9</v>
      </c>
      <c r="AR10" s="94">
        <f t="shared" si="17"/>
        <v>15632346.456741249</v>
      </c>
      <c r="AS10" s="97"/>
    </row>
    <row r="11" spans="2:45" x14ac:dyDescent="0.2">
      <c r="B11" s="47">
        <v>433.79</v>
      </c>
      <c r="C11" s="94">
        <f t="shared" si="0"/>
        <v>706.94</v>
      </c>
      <c r="D11" s="94">
        <f t="shared" si="1"/>
        <v>499764.16360000009</v>
      </c>
      <c r="E11" s="94">
        <v>50</v>
      </c>
      <c r="F11" s="94">
        <f t="shared" si="2"/>
        <v>0.83333333333333337</v>
      </c>
      <c r="G11" s="94">
        <f t="shared" si="3"/>
        <v>1.6674531589670254E-6</v>
      </c>
      <c r="H11" s="98"/>
      <c r="I11" s="94">
        <f t="shared" si="4"/>
        <v>1.4145472034401787E-3</v>
      </c>
      <c r="J11" s="94">
        <f t="shared" si="5"/>
        <v>-13.304213150125678</v>
      </c>
      <c r="K11" s="97"/>
      <c r="L11" s="6">
        <v>-2.4717235689770058</v>
      </c>
      <c r="M11" s="96">
        <v>2.910097590246195</v>
      </c>
      <c r="N11" s="94">
        <f t="shared" si="6"/>
        <v>-1.1773556018849725</v>
      </c>
      <c r="O11" s="95">
        <f t="shared" si="7"/>
        <v>1.1773556018849725</v>
      </c>
      <c r="P11" s="94">
        <f t="shared" si="8"/>
        <v>1.3671758312494344</v>
      </c>
      <c r="Q11" s="54"/>
      <c r="R11" s="24"/>
      <c r="S11" s="47">
        <f>($K$6*F11)/(8.314*D11)</f>
        <v>3.7259240837118179E-2</v>
      </c>
      <c r="T11" s="94">
        <f>(1+(P11-1)*((2*8.314*C11)/$K$6))*EXP(-$K$6/(8.314*C11))</f>
        <v>1.9176516052422151E-14</v>
      </c>
      <c r="U11" s="94">
        <f t="shared" si="9"/>
        <v>1942961940284.8743</v>
      </c>
      <c r="V11" s="2"/>
      <c r="W11" s="97"/>
      <c r="Z11" s="93">
        <v>133.93</v>
      </c>
      <c r="AA11" s="99">
        <f t="shared" si="10"/>
        <v>407.08</v>
      </c>
      <c r="AB11" s="94">
        <f t="shared" si="11"/>
        <v>165714.12639999998</v>
      </c>
      <c r="AC11" s="94">
        <v>50</v>
      </c>
      <c r="AD11" s="94">
        <f t="shared" si="12"/>
        <v>0.83333333333333337</v>
      </c>
      <c r="AE11" s="94">
        <f t="shared" si="13"/>
        <v>5.028740466710951E-6</v>
      </c>
      <c r="AF11" s="98"/>
      <c r="AG11" s="94">
        <f t="shared" si="14"/>
        <v>2.4565196030264321E-3</v>
      </c>
      <c r="AH11" s="94">
        <f t="shared" si="15"/>
        <v>-12.200341009441416</v>
      </c>
      <c r="AI11" s="97"/>
      <c r="AJ11" s="2"/>
      <c r="AK11" s="98"/>
      <c r="AL11" s="94">
        <v>-1</v>
      </c>
      <c r="AM11" s="95">
        <f t="shared" si="16"/>
        <v>1</v>
      </c>
      <c r="AN11" s="94">
        <v>1</v>
      </c>
      <c r="AO11" s="54"/>
      <c r="AP11" s="6">
        <f>($AI$20*AD11)/(8.314*AB11)</f>
        <v>8.3079821250531621E-2</v>
      </c>
      <c r="AQ11" s="94">
        <f>(1+(AN11-1)*((2*8.314*AA11)/$AI$6))*EXP(-$AI$6/(8.314*AA11))</f>
        <v>4.7621220114005886E-9</v>
      </c>
      <c r="AR11" s="94">
        <f t="shared" si="17"/>
        <v>17445966.535850476</v>
      </c>
      <c r="AS11" s="97"/>
    </row>
    <row r="12" spans="2:45" x14ac:dyDescent="0.2">
      <c r="B12" s="47">
        <v>440.82</v>
      </c>
      <c r="C12" s="94">
        <f t="shared" si="0"/>
        <v>713.97</v>
      </c>
      <c r="D12" s="94">
        <f t="shared" si="1"/>
        <v>509753.16090000002</v>
      </c>
      <c r="E12" s="94">
        <v>100</v>
      </c>
      <c r="F12" s="94">
        <f t="shared" si="2"/>
        <v>1.6666666666666667</v>
      </c>
      <c r="G12" s="94">
        <f t="shared" si="3"/>
        <v>3.2695563156961421E-6</v>
      </c>
      <c r="H12" s="98"/>
      <c r="I12" s="94">
        <f t="shared" si="4"/>
        <v>1.4006190736305447E-3</v>
      </c>
      <c r="J12" s="94">
        <f t="shared" si="5"/>
        <v>-12.630856265534272</v>
      </c>
      <c r="K12" s="97"/>
      <c r="L12" s="6">
        <v>-5.712338282661106</v>
      </c>
      <c r="M12" s="96">
        <v>3.7521189943979292</v>
      </c>
      <c r="N12" s="94">
        <f t="shared" si="6"/>
        <v>-0.65684467703652805</v>
      </c>
      <c r="O12" s="95">
        <f t="shared" si="7"/>
        <v>0.65684467703652805</v>
      </c>
      <c r="P12" s="94">
        <f t="shared" si="8"/>
        <v>1.0211790289969687</v>
      </c>
      <c r="Q12" s="54"/>
      <c r="R12" s="24"/>
      <c r="S12" s="47">
        <f>($K$6*F12)/(8.314*D12)</f>
        <v>7.3058235874230285E-2</v>
      </c>
      <c r="T12" s="94">
        <f>(1+(P12-1)*((2*8.314*C12)/$K$6))*EXP(-$K$6/(8.314*C12))</f>
        <v>2.5618012288673217E-14</v>
      </c>
      <c r="U12" s="94">
        <f t="shared" si="9"/>
        <v>2851830776368.7173</v>
      </c>
      <c r="V12" s="2"/>
      <c r="W12" s="97"/>
      <c r="Z12" s="93">
        <v>150.55000000000001</v>
      </c>
      <c r="AA12" s="99">
        <f t="shared" si="10"/>
        <v>423.7</v>
      </c>
      <c r="AB12" s="94">
        <f t="shared" si="11"/>
        <v>179521.69</v>
      </c>
      <c r="AC12" s="94">
        <v>100</v>
      </c>
      <c r="AD12" s="94">
        <f t="shared" si="12"/>
        <v>1.6666666666666667</v>
      </c>
      <c r="AE12" s="94">
        <f t="shared" si="13"/>
        <v>9.283929238114162E-6</v>
      </c>
      <c r="AF12" s="98"/>
      <c r="AG12" s="94">
        <f t="shared" si="14"/>
        <v>2.360160490913382E-3</v>
      </c>
      <c r="AH12" s="94">
        <f t="shared" si="15"/>
        <v>-11.587225691499036</v>
      </c>
      <c r="AI12" s="97"/>
      <c r="AJ12" s="2"/>
      <c r="AK12" s="98"/>
      <c r="AL12" s="94">
        <v>-1</v>
      </c>
      <c r="AM12" s="95">
        <f t="shared" si="16"/>
        <v>1</v>
      </c>
      <c r="AN12" s="94">
        <v>1</v>
      </c>
      <c r="AO12" s="54"/>
      <c r="AP12" s="6">
        <f>($AI$20*AD12)/(8.314*AB12)</f>
        <v>0.15337979494288406</v>
      </c>
      <c r="AQ12" s="94">
        <f>(1+(AN12-1)*((2*8.314*AA12)/$AI$6))*EXP(-$AI$6/(8.314*AA12))</f>
        <v>1.0098247515532164E-8</v>
      </c>
      <c r="AR12" s="94">
        <f t="shared" si="17"/>
        <v>15188753.762172084</v>
      </c>
      <c r="AS12" s="97"/>
    </row>
    <row r="13" spans="2:45" x14ac:dyDescent="0.2">
      <c r="B13" s="47">
        <v>446.37</v>
      </c>
      <c r="C13" s="94">
        <f t="shared" si="0"/>
        <v>719.52</v>
      </c>
      <c r="D13" s="94">
        <f t="shared" si="1"/>
        <v>517709.03039999999</v>
      </c>
      <c r="E13" s="94">
        <v>150</v>
      </c>
      <c r="F13" s="94">
        <f t="shared" si="2"/>
        <v>2.5</v>
      </c>
      <c r="G13" s="94">
        <f t="shared" si="3"/>
        <v>4.8289673411113059E-6</v>
      </c>
      <c r="H13" s="98"/>
      <c r="I13" s="94">
        <f t="shared" si="4"/>
        <v>1.3898154325105627E-3</v>
      </c>
      <c r="J13" s="94">
        <f t="shared" si="5"/>
        <v>-12.240877914170639</v>
      </c>
      <c r="K13" s="97"/>
      <c r="L13" s="6">
        <v>-8.718523535714704</v>
      </c>
      <c r="M13" s="96">
        <v>5.5409823561115186</v>
      </c>
      <c r="N13" s="94">
        <f t="shared" si="6"/>
        <v>-0.6355413658532143</v>
      </c>
      <c r="O13" s="95">
        <f t="shared" si="7"/>
        <v>0.6355413658532143</v>
      </c>
      <c r="P13" s="94">
        <f t="shared" si="8"/>
        <v>1.004482688964107</v>
      </c>
      <c r="Q13" s="54"/>
      <c r="R13" s="24"/>
      <c r="S13" s="47">
        <f>($K$6*F13)/(8.314*D13)</f>
        <v>0.10790327523713211</v>
      </c>
      <c r="T13" s="94">
        <f>(1+(P13-1)*((2*8.314*C13)/$K$6))*EXP(-$K$6/(8.314*C13))</f>
        <v>3.25780648122591E-14</v>
      </c>
      <c r="U13" s="94">
        <f t="shared" si="9"/>
        <v>3312145023314.2207</v>
      </c>
      <c r="V13" s="2"/>
      <c r="W13" s="97"/>
      <c r="Z13" s="93">
        <v>165.38</v>
      </c>
      <c r="AA13" s="99">
        <f t="shared" si="10"/>
        <v>438.53</v>
      </c>
      <c r="AB13" s="94">
        <f t="shared" si="11"/>
        <v>192308.56089999998</v>
      </c>
      <c r="AC13" s="94">
        <v>150</v>
      </c>
      <c r="AD13" s="94">
        <f t="shared" si="12"/>
        <v>2.5</v>
      </c>
      <c r="AE13" s="94">
        <f t="shared" si="13"/>
        <v>1.2999941283425204E-5</v>
      </c>
      <c r="AF13" s="98"/>
      <c r="AG13" s="94">
        <f t="shared" si="14"/>
        <v>2.280345700408182E-3</v>
      </c>
      <c r="AH13" s="94">
        <f t="shared" si="15"/>
        <v>-11.250565717172536</v>
      </c>
      <c r="AI13" s="97"/>
      <c r="AJ13" s="2"/>
      <c r="AK13" s="98"/>
      <c r="AL13" s="94">
        <v>-1</v>
      </c>
      <c r="AM13" s="95">
        <f t="shared" si="16"/>
        <v>1</v>
      </c>
      <c r="AN13" s="94">
        <v>1</v>
      </c>
      <c r="AO13" s="54"/>
      <c r="AP13" s="6">
        <f>($AI$20*AD13)/(8.314*AB13)</f>
        <v>0.21477202994346783</v>
      </c>
      <c r="AQ13" s="94">
        <f>(1+(AN13-1)*((2*8.314*AA13)/$AI$6))*EXP(-$AI$6/(8.314*AA13))</f>
        <v>1.8820997441546459E-8</v>
      </c>
      <c r="AR13" s="94">
        <f t="shared" si="17"/>
        <v>11411299.03505373</v>
      </c>
      <c r="AS13" s="97"/>
    </row>
    <row r="14" spans="2:45" ht="17" thickBot="1" x14ac:dyDescent="0.25">
      <c r="B14" s="48">
        <v>449.38</v>
      </c>
      <c r="C14" s="101">
        <f t="shared" si="0"/>
        <v>722.53</v>
      </c>
      <c r="D14" s="101">
        <f t="shared" si="1"/>
        <v>522049.60089999996</v>
      </c>
      <c r="E14" s="101">
        <v>200</v>
      </c>
      <c r="F14" s="101">
        <f t="shared" si="2"/>
        <v>3.3333333333333335</v>
      </c>
      <c r="G14" s="101">
        <f t="shared" si="3"/>
        <v>6.385089324054177E-6</v>
      </c>
      <c r="H14" s="106"/>
      <c r="I14" s="101">
        <f t="shared" si="4"/>
        <v>1.3840255767926591E-3</v>
      </c>
      <c r="J14" s="101">
        <f t="shared" si="5"/>
        <v>-11.961545078905868</v>
      </c>
      <c r="K14" s="104"/>
      <c r="L14" s="107">
        <v>-11.966934610304458</v>
      </c>
      <c r="M14" s="103">
        <v>8.1706810084786099</v>
      </c>
      <c r="N14" s="101">
        <f>M14/L14</f>
        <v>-0.68277142597929974</v>
      </c>
      <c r="O14" s="102">
        <f t="shared" si="7"/>
        <v>0.68277142597929974</v>
      </c>
      <c r="P14" s="101">
        <f t="shared" si="8"/>
        <v>1.0411377987013708</v>
      </c>
      <c r="Q14" s="105"/>
      <c r="R14" s="108"/>
      <c r="S14" s="48">
        <f>($K$6*F14)/(8.314*D14)</f>
        <v>0.14267482094599057</v>
      </c>
      <c r="T14" s="101">
        <f>(1+(P14-1)*((2*8.314*C14)/$K$6))*EXP(-$K$6/(8.314*C14))</f>
        <v>3.716553103376113E-14</v>
      </c>
      <c r="U14" s="101">
        <f t="shared" si="9"/>
        <v>3838901718271.8286</v>
      </c>
      <c r="V14" s="7"/>
      <c r="W14" s="104"/>
      <c r="Z14" s="100">
        <v>170.04</v>
      </c>
      <c r="AA14" s="109">
        <f t="shared" si="10"/>
        <v>443.18999999999994</v>
      </c>
      <c r="AB14" s="101">
        <f t="shared" si="11"/>
        <v>196417.37609999994</v>
      </c>
      <c r="AC14" s="101">
        <v>200</v>
      </c>
      <c r="AD14" s="101">
        <f t="shared" si="12"/>
        <v>3.3333333333333335</v>
      </c>
      <c r="AE14" s="101">
        <f t="shared" si="13"/>
        <v>1.6970664202520799E-5</v>
      </c>
      <c r="AF14" s="106"/>
      <c r="AG14" s="101">
        <f t="shared" si="14"/>
        <v>2.2563686003745573E-3</v>
      </c>
      <c r="AH14" s="101">
        <f t="shared" si="15"/>
        <v>-10.984024339677317</v>
      </c>
      <c r="AI14" s="104"/>
      <c r="AJ14" s="7"/>
      <c r="AK14" s="106"/>
      <c r="AL14" s="101">
        <v>-1</v>
      </c>
      <c r="AM14" s="102">
        <f t="shared" si="16"/>
        <v>1</v>
      </c>
      <c r="AN14" s="101">
        <v>1</v>
      </c>
      <c r="AO14" s="105"/>
      <c r="AP14" s="107">
        <f>($AI$20*AD14)/(8.314*AB14)</f>
        <v>0.28037234328984617</v>
      </c>
      <c r="AQ14" s="101">
        <f>(1+(AN14-1)*((2*8.314*AA14)/$AI$6))*EXP(-$AI$6/(8.314*AA14))</f>
        <v>2.2691974052626889E-8</v>
      </c>
      <c r="AR14" s="101">
        <f t="shared" si="17"/>
        <v>12355573.060308054</v>
      </c>
      <c r="AS14" s="104"/>
    </row>
    <row r="15" spans="2:45" ht="17" thickBot="1" x14ac:dyDescent="0.25"/>
    <row r="16" spans="2:45" ht="17" thickBot="1" x14ac:dyDescent="0.25">
      <c r="O16" s="78"/>
      <c r="P16" s="78"/>
      <c r="V16" s="110"/>
      <c r="W16" s="110"/>
      <c r="X16" s="110"/>
      <c r="Z16" s="118" t="s">
        <v>77</v>
      </c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19"/>
    </row>
    <row r="17" spans="3:45" ht="20" x14ac:dyDescent="0.25">
      <c r="O17" s="78"/>
      <c r="P17" s="78"/>
      <c r="V17" s="110"/>
      <c r="W17" s="110"/>
      <c r="X17" s="110"/>
      <c r="Z17" s="79" t="s">
        <v>55</v>
      </c>
      <c r="AA17" s="80" t="s">
        <v>56</v>
      </c>
      <c r="AB17" s="80" t="s">
        <v>58</v>
      </c>
      <c r="AC17" s="80" t="s">
        <v>59</v>
      </c>
      <c r="AD17" s="80" t="s">
        <v>60</v>
      </c>
      <c r="AE17" s="80" t="s">
        <v>61</v>
      </c>
      <c r="AF17" s="81"/>
      <c r="AG17" s="80" t="s">
        <v>62</v>
      </c>
      <c r="AH17" s="80" t="s">
        <v>63</v>
      </c>
      <c r="AI17" s="82" t="s">
        <v>57</v>
      </c>
      <c r="AJ17" s="85" t="s">
        <v>64</v>
      </c>
      <c r="AK17" s="80" t="s">
        <v>65</v>
      </c>
      <c r="AL17" s="83" t="s">
        <v>76</v>
      </c>
      <c r="AM17" s="80" t="s">
        <v>67</v>
      </c>
      <c r="AN17" s="80" t="s">
        <v>68</v>
      </c>
      <c r="AO17" s="80" t="s">
        <v>69</v>
      </c>
      <c r="AP17" s="84" t="s">
        <v>71</v>
      </c>
      <c r="AQ17" s="83" t="s">
        <v>72</v>
      </c>
      <c r="AR17" s="80" t="s">
        <v>73</v>
      </c>
      <c r="AS17" s="76" t="s">
        <v>74</v>
      </c>
    </row>
    <row r="18" spans="3:45" x14ac:dyDescent="0.2">
      <c r="O18" s="78"/>
      <c r="P18" s="78"/>
      <c r="Z18" s="86">
        <v>180.19</v>
      </c>
      <c r="AA18" s="111">
        <f>Z18+273.15</f>
        <v>453.34</v>
      </c>
      <c r="AB18" s="87">
        <f>AA18^2</f>
        <v>205517.15559999997</v>
      </c>
      <c r="AC18" s="87">
        <v>0.2</v>
      </c>
      <c r="AD18" s="87">
        <f>AC18/60</f>
        <v>3.3333333333333335E-3</v>
      </c>
      <c r="AE18" s="87">
        <f>AD18/AB18</f>
        <v>1.6219246143232114E-8</v>
      </c>
      <c r="AF18" s="91"/>
      <c r="AG18" s="87">
        <f>1/AA18</f>
        <v>2.2058499139718537E-3</v>
      </c>
      <c r="AH18" s="87">
        <f>LN(AE18)</f>
        <v>-17.937067266328622</v>
      </c>
      <c r="AI18" s="136">
        <f>(16521*8.314)/1000</f>
        <v>137.35559400000002</v>
      </c>
      <c r="AJ18" s="128"/>
      <c r="AK18" s="91"/>
      <c r="AL18" s="87">
        <v>-1</v>
      </c>
      <c r="AM18" s="88">
        <f>ABS(AL18)</f>
        <v>1</v>
      </c>
      <c r="AN18" s="87">
        <v>1</v>
      </c>
      <c r="AO18" s="127">
        <f>AVERAGE(AN18:AN28)</f>
        <v>1</v>
      </c>
      <c r="AP18" s="92">
        <f>($AI$20*AD18)/(8.314*AB18)</f>
        <v>2.6795816553233778E-4</v>
      </c>
      <c r="AQ18" s="87">
        <f>(1+(AN18-1)*((2*8.314*AA18)/$AI$20))*EXP(-$AI$20/(8.314*AA18))</f>
        <v>1.4896110702047306E-16</v>
      </c>
      <c r="AR18" s="87">
        <f>AP18/AQ18</f>
        <v>1798846496861.1565</v>
      </c>
      <c r="AS18" s="134">
        <f>AVERAGE(AR18:AR28)</f>
        <v>1997157752581.9126</v>
      </c>
    </row>
    <row r="19" spans="3:45" x14ac:dyDescent="0.2">
      <c r="O19" s="78"/>
      <c r="P19" s="78"/>
      <c r="Z19" s="93">
        <v>191.52</v>
      </c>
      <c r="AA19" s="99">
        <f t="shared" ref="AA19:AA28" si="18">Z19+273.15</f>
        <v>464.66999999999996</v>
      </c>
      <c r="AB19" s="94">
        <f t="shared" ref="AB19:AB28" si="19">AA19^2</f>
        <v>215918.20889999997</v>
      </c>
      <c r="AC19" s="94">
        <v>0.5</v>
      </c>
      <c r="AD19" s="94">
        <f t="shared" ref="AD19:AD28" si="20">AC19/60</f>
        <v>8.3333333333333332E-3</v>
      </c>
      <c r="AE19" s="94">
        <f t="shared" ref="AE19:AE28" si="21">AD19/AB19</f>
        <v>3.8594861340262506E-8</v>
      </c>
      <c r="AF19" s="98"/>
      <c r="AG19" s="94">
        <f t="shared" ref="AG19:AG28" si="22">1/AA19</f>
        <v>2.1520649062775734E-3</v>
      </c>
      <c r="AH19" s="94">
        <f t="shared" ref="AH19:AH28" si="23">LN(AE19)</f>
        <v>-17.0701466952376</v>
      </c>
      <c r="AI19" s="9" t="s">
        <v>80</v>
      </c>
      <c r="AJ19" s="2"/>
      <c r="AK19" s="98"/>
      <c r="AL19" s="94">
        <v>-1</v>
      </c>
      <c r="AM19" s="95">
        <f t="shared" ref="AM19:AM20" si="24">ABS(AL19)</f>
        <v>1</v>
      </c>
      <c r="AN19" s="94">
        <v>1</v>
      </c>
      <c r="AO19" s="54"/>
      <c r="AP19" s="6">
        <f>($AI$20*AD19)/(8.314*AB19)</f>
        <v>6.3762570420247699E-4</v>
      </c>
      <c r="AQ19" s="94">
        <f>(1+(AN19-1)*((2*8.314*AA19)/$AI$20))*EXP(-$AI$20/(8.314*AA19))</f>
        <v>3.6222564895356173E-16</v>
      </c>
      <c r="AR19" s="94">
        <f t="shared" ref="AR19:AR28" si="25">AP19/AQ19</f>
        <v>1760299708329.6614</v>
      </c>
      <c r="AS19" s="97"/>
    </row>
    <row r="20" spans="3:45" x14ac:dyDescent="0.2">
      <c r="O20" s="78"/>
      <c r="P20" s="78"/>
      <c r="Z20" s="93">
        <v>198.27</v>
      </c>
      <c r="AA20" s="99">
        <f t="shared" si="18"/>
        <v>471.41999999999996</v>
      </c>
      <c r="AB20" s="94">
        <f t="shared" si="19"/>
        <v>222236.81639999995</v>
      </c>
      <c r="AC20" s="94">
        <v>1</v>
      </c>
      <c r="AD20" s="94">
        <f t="shared" si="20"/>
        <v>1.6666666666666666E-2</v>
      </c>
      <c r="AE20" s="94">
        <f t="shared" si="21"/>
        <v>7.4995074788457371E-8</v>
      </c>
      <c r="AF20" s="98"/>
      <c r="AG20" s="94">
        <f t="shared" si="22"/>
        <v>2.1212506894064741E-3</v>
      </c>
      <c r="AH20" s="94">
        <f t="shared" si="23"/>
        <v>-16.405843395053672</v>
      </c>
      <c r="AI20" s="135">
        <f>(16521*8.314)</f>
        <v>137355.59400000001</v>
      </c>
      <c r="AJ20" s="2"/>
      <c r="AK20" s="98"/>
      <c r="AL20" s="94">
        <v>-1</v>
      </c>
      <c r="AM20" s="95">
        <f t="shared" si="24"/>
        <v>1</v>
      </c>
      <c r="AN20" s="94">
        <v>1</v>
      </c>
      <c r="AO20" s="54"/>
      <c r="AP20" s="6">
        <f>($AI$20*AD20)/(8.314*AB20)</f>
        <v>1.2389936305801043E-3</v>
      </c>
      <c r="AQ20" s="94">
        <f>(1+(AN20-1)*((2*8.314*AA20)/$AI$20))*EXP(-$AI$20/(8.314*AA20))</f>
        <v>6.0265749530958567E-16</v>
      </c>
      <c r="AR20" s="94">
        <f t="shared" si="25"/>
        <v>2055883549483.8276</v>
      </c>
      <c r="AS20" s="97"/>
    </row>
    <row r="21" spans="3:45" x14ac:dyDescent="0.2">
      <c r="O21" s="78"/>
      <c r="P21" s="78"/>
      <c r="Z21" s="93">
        <v>207.2</v>
      </c>
      <c r="AA21" s="99">
        <f t="shared" si="18"/>
        <v>480.34999999999997</v>
      </c>
      <c r="AB21" s="94">
        <f t="shared" si="19"/>
        <v>230736.12249999997</v>
      </c>
      <c r="AC21" s="94">
        <v>2</v>
      </c>
      <c r="AD21" s="94">
        <f t="shared" si="20"/>
        <v>3.3333333333333333E-2</v>
      </c>
      <c r="AE21" s="94">
        <f t="shared" si="21"/>
        <v>1.4446517074210319E-7</v>
      </c>
      <c r="AF21" s="98"/>
      <c r="AG21" s="94">
        <f t="shared" si="22"/>
        <v>2.0818153429790777E-3</v>
      </c>
      <c r="AH21" s="94">
        <f t="shared" si="23"/>
        <v>-15.750227391373651</v>
      </c>
      <c r="AI21" s="97"/>
      <c r="AJ21" s="2"/>
      <c r="AK21" s="98"/>
      <c r="AL21" s="94">
        <v>-1</v>
      </c>
      <c r="AM21" s="95">
        <f>ABS(AL21)</f>
        <v>1</v>
      </c>
      <c r="AN21" s="94">
        <v>1</v>
      </c>
      <c r="AO21" s="54"/>
      <c r="AP21" s="6">
        <f>($AI$20*AD21)/(8.314*AB21)</f>
        <v>2.3867090858302868E-3</v>
      </c>
      <c r="AQ21" s="94">
        <f>(1+(AN21-1)*((2*8.314*AA21)/$AI$20))*EXP(-$AI$20/(8.314*AA21))</f>
        <v>1.1561610920817324E-15</v>
      </c>
      <c r="AR21" s="94">
        <f t="shared" si="25"/>
        <v>2064339564941.4946</v>
      </c>
      <c r="AS21" s="97"/>
    </row>
    <row r="22" spans="3:45" x14ac:dyDescent="0.2">
      <c r="O22" s="78"/>
      <c r="P22" s="78"/>
      <c r="Z22" s="93">
        <v>214.5</v>
      </c>
      <c r="AA22" s="99">
        <f t="shared" si="18"/>
        <v>487.65</v>
      </c>
      <c r="AB22" s="94">
        <f t="shared" si="19"/>
        <v>237802.52249999999</v>
      </c>
      <c r="AC22" s="94">
        <v>5</v>
      </c>
      <c r="AD22" s="94">
        <f t="shared" si="20"/>
        <v>8.3333333333333329E-2</v>
      </c>
      <c r="AE22" s="94">
        <f t="shared" si="21"/>
        <v>3.5043082157941925E-7</v>
      </c>
      <c r="AF22" s="98"/>
      <c r="AG22" s="94">
        <f t="shared" si="22"/>
        <v>2.0506510817184455E-3</v>
      </c>
      <c r="AH22" s="94">
        <f t="shared" si="23"/>
        <v>-14.864102520624048</v>
      </c>
      <c r="AI22" s="97"/>
      <c r="AJ22" s="2"/>
      <c r="AK22" s="98"/>
      <c r="AL22" s="94">
        <v>-1</v>
      </c>
      <c r="AM22" s="95">
        <f t="shared" ref="AM22:AM28" si="26">ABS(AL22)</f>
        <v>1</v>
      </c>
      <c r="AN22" s="94">
        <v>1</v>
      </c>
      <c r="AO22" s="54"/>
      <c r="AP22" s="6">
        <f>($AI$20*AD22)/(8.314*AB22)</f>
        <v>5.7894676033135861E-3</v>
      </c>
      <c r="AQ22" s="94">
        <f>(1+(AN22-1)*((2*8.314*AA22)/$AI$20))*EXP(-$AI$20/(8.314*AA22))</f>
        <v>1.9347340474170503E-15</v>
      </c>
      <c r="AR22" s="94">
        <f t="shared" si="25"/>
        <v>2992384204455.7822</v>
      </c>
      <c r="AS22" s="97"/>
    </row>
    <row r="23" spans="3:45" x14ac:dyDescent="0.2">
      <c r="O23" s="78"/>
      <c r="P23" s="78"/>
      <c r="Z23" s="93">
        <v>232.55</v>
      </c>
      <c r="AA23" s="99">
        <f t="shared" si="18"/>
        <v>505.7</v>
      </c>
      <c r="AB23" s="94">
        <f t="shared" si="19"/>
        <v>255732.49</v>
      </c>
      <c r="AC23" s="94">
        <v>10</v>
      </c>
      <c r="AD23" s="94">
        <f t="shared" si="20"/>
        <v>0.16666666666666666</v>
      </c>
      <c r="AE23" s="94">
        <f t="shared" si="21"/>
        <v>6.5172269142128431E-7</v>
      </c>
      <c r="AF23" s="98"/>
      <c r="AG23" s="94">
        <f t="shared" si="22"/>
        <v>1.9774569903104606E-3</v>
      </c>
      <c r="AH23" s="94">
        <f t="shared" si="23"/>
        <v>-14.243646685399929</v>
      </c>
      <c r="AI23" s="97"/>
      <c r="AJ23" s="2"/>
      <c r="AK23" s="98"/>
      <c r="AL23" s="94">
        <v>-1</v>
      </c>
      <c r="AM23" s="95">
        <f t="shared" si="26"/>
        <v>1</v>
      </c>
      <c r="AN23" s="94">
        <v>1</v>
      </c>
      <c r="AO23" s="54"/>
      <c r="AP23" s="6">
        <f>($AI$20*AD23)/(8.314*AB23)</f>
        <v>1.0767110584971038E-2</v>
      </c>
      <c r="AQ23" s="94">
        <f>(1+(AN23-1)*((2*8.314*AA23)/$AI$20))*EXP(-$AI$20/(8.314*AA23))</f>
        <v>6.4831691553377565E-15</v>
      </c>
      <c r="AR23" s="94">
        <f t="shared" si="25"/>
        <v>1660778907196.3679</v>
      </c>
      <c r="AS23" s="97"/>
    </row>
    <row r="24" spans="3:45" x14ac:dyDescent="0.2">
      <c r="O24" s="78"/>
      <c r="P24" s="78"/>
      <c r="Z24" s="93">
        <v>241.8</v>
      </c>
      <c r="AA24" s="99">
        <f t="shared" si="18"/>
        <v>514.95000000000005</v>
      </c>
      <c r="AB24" s="94">
        <f t="shared" si="19"/>
        <v>265173.50250000006</v>
      </c>
      <c r="AC24" s="94">
        <v>20</v>
      </c>
      <c r="AD24" s="94">
        <f t="shared" si="20"/>
        <v>0.33333333333333331</v>
      </c>
      <c r="AE24" s="94">
        <f t="shared" si="21"/>
        <v>1.2570386188315828E-6</v>
      </c>
      <c r="AF24" s="98"/>
      <c r="AG24" s="94">
        <f t="shared" si="22"/>
        <v>1.9419361103019709E-3</v>
      </c>
      <c r="AH24" s="94">
        <f t="shared" si="23"/>
        <v>-13.586751905811731</v>
      </c>
      <c r="AI24" s="97"/>
      <c r="AJ24" s="2"/>
      <c r="AK24" s="98"/>
      <c r="AL24" s="94">
        <v>-1</v>
      </c>
      <c r="AM24" s="95">
        <f t="shared" si="26"/>
        <v>1</v>
      </c>
      <c r="AN24" s="94">
        <v>1</v>
      </c>
      <c r="AO24" s="54"/>
      <c r="AP24" s="6">
        <f>($AI$20*AD24)/(8.314*AB24)</f>
        <v>2.076753502171658E-2</v>
      </c>
      <c r="AQ24" s="94">
        <f>(1+(AN24-1)*((2*8.314*AA24)/$AI$20))*EXP(-$AI$20/(8.314*AA24))</f>
        <v>1.1658667754254771E-14</v>
      </c>
      <c r="AR24" s="94">
        <f t="shared" si="25"/>
        <v>1781295724302.425</v>
      </c>
      <c r="AS24" s="97"/>
    </row>
    <row r="25" spans="3:45" x14ac:dyDescent="0.2">
      <c r="O25" s="78"/>
      <c r="P25" s="78"/>
      <c r="Z25" s="93">
        <v>256.60000000000002</v>
      </c>
      <c r="AA25" s="99">
        <f t="shared" si="18"/>
        <v>529.75</v>
      </c>
      <c r="AB25" s="94">
        <f t="shared" si="19"/>
        <v>280635.0625</v>
      </c>
      <c r="AC25" s="94">
        <v>50</v>
      </c>
      <c r="AD25" s="94">
        <f t="shared" si="20"/>
        <v>0.83333333333333337</v>
      </c>
      <c r="AE25" s="94">
        <f t="shared" si="21"/>
        <v>2.9694555124712308E-6</v>
      </c>
      <c r="AF25" s="98"/>
      <c r="AG25" s="94">
        <f t="shared" si="22"/>
        <v>1.8876828692779614E-3</v>
      </c>
      <c r="AH25" s="94">
        <f t="shared" si="23"/>
        <v>-12.727131951090772</v>
      </c>
      <c r="AI25" s="97"/>
      <c r="AJ25" s="2"/>
      <c r="AK25" s="98"/>
      <c r="AL25" s="94">
        <v>-1</v>
      </c>
      <c r="AM25" s="95">
        <f t="shared" si="26"/>
        <v>1</v>
      </c>
      <c r="AN25" s="94">
        <v>1</v>
      </c>
      <c r="AO25" s="54"/>
      <c r="AP25" s="6">
        <f>($AI$20*AD25)/(8.314*AB25)</f>
        <v>4.9058374521537211E-2</v>
      </c>
      <c r="AQ25" s="94">
        <f>(1+(AN25-1)*((2*8.314*AA25)/$AI$20))*EXP(-$AI$20/(8.314*AA25))</f>
        <v>2.8570299853060338E-14</v>
      </c>
      <c r="AR25" s="94">
        <f t="shared" si="25"/>
        <v>1717110942966.9592</v>
      </c>
      <c r="AS25" s="97"/>
    </row>
    <row r="26" spans="3:45" x14ac:dyDescent="0.2">
      <c r="O26" s="78"/>
      <c r="P26" s="78"/>
      <c r="Z26" s="93">
        <v>266.83999999999997</v>
      </c>
      <c r="AA26" s="99">
        <f t="shared" si="18"/>
        <v>539.99</v>
      </c>
      <c r="AB26" s="94">
        <f t="shared" si="19"/>
        <v>291589.20010000002</v>
      </c>
      <c r="AC26" s="94">
        <v>100</v>
      </c>
      <c r="AD26" s="94">
        <f t="shared" si="20"/>
        <v>1.6666666666666667</v>
      </c>
      <c r="AE26" s="94">
        <f t="shared" si="21"/>
        <v>5.7158038298232108E-6</v>
      </c>
      <c r="AF26" s="98"/>
      <c r="AG26" s="94">
        <f t="shared" si="22"/>
        <v>1.8518861460397414E-3</v>
      </c>
      <c r="AH26" s="94">
        <f t="shared" si="23"/>
        <v>-12.072275617970673</v>
      </c>
      <c r="AI26" s="97"/>
      <c r="AJ26" s="2"/>
      <c r="AK26" s="98"/>
      <c r="AL26" s="94">
        <v>-1</v>
      </c>
      <c r="AM26" s="95">
        <f t="shared" si="26"/>
        <v>1</v>
      </c>
      <c r="AN26" s="94">
        <v>1</v>
      </c>
      <c r="AO26" s="54"/>
      <c r="AP26" s="6">
        <f>($AI$20*AD26)/(8.314*AB26)</f>
        <v>9.4430795072509274E-2</v>
      </c>
      <c r="AQ26" s="94">
        <f>(1+(AN26-1)*((2*8.314*AA26)/$AI$20))*EXP(-$AI$20/(8.314*AA26))</f>
        <v>5.1612576643375722E-14</v>
      </c>
      <c r="AR26" s="94">
        <f t="shared" si="25"/>
        <v>1829608231439.2476</v>
      </c>
      <c r="AS26" s="97"/>
    </row>
    <row r="27" spans="3:45" x14ac:dyDescent="0.2">
      <c r="Z27" s="93">
        <v>270.89999999999998</v>
      </c>
      <c r="AA27" s="99">
        <f t="shared" si="18"/>
        <v>544.04999999999995</v>
      </c>
      <c r="AB27" s="94">
        <f t="shared" si="19"/>
        <v>295990.40249999997</v>
      </c>
      <c r="AC27" s="94">
        <v>150</v>
      </c>
      <c r="AD27" s="94">
        <f t="shared" si="20"/>
        <v>2.5</v>
      </c>
      <c r="AE27" s="94">
        <f t="shared" si="21"/>
        <v>8.4462198060628013E-6</v>
      </c>
      <c r="AF27" s="98"/>
      <c r="AG27" s="94">
        <f t="shared" si="22"/>
        <v>1.8380663541953865E-3</v>
      </c>
      <c r="AH27" s="94">
        <f t="shared" si="23"/>
        <v>-11.681791576919887</v>
      </c>
      <c r="AI27" s="97"/>
      <c r="AJ27" s="2"/>
      <c r="AK27" s="98"/>
      <c r="AL27" s="94">
        <v>-1</v>
      </c>
      <c r="AM27" s="95">
        <f t="shared" si="26"/>
        <v>1</v>
      </c>
      <c r="AN27" s="94">
        <v>1</v>
      </c>
      <c r="AO27" s="54"/>
      <c r="AP27" s="6">
        <f>($AI$20*AD27)/(8.314*AB27)</f>
        <v>0.13953999741596354</v>
      </c>
      <c r="AQ27" s="94">
        <f>(1+(AN27-1)*((2*8.314*AA27)/$AI$20))*EXP(-$AI$20/(8.314*AA27))</f>
        <v>6.4850340235525655E-14</v>
      </c>
      <c r="AR27" s="94">
        <f t="shared" si="25"/>
        <v>2151723443688.614</v>
      </c>
      <c r="AS27" s="97"/>
    </row>
    <row r="28" spans="3:45" ht="17" thickBot="1" x14ac:dyDescent="0.25">
      <c r="C28" s="1"/>
      <c r="D28" s="1"/>
      <c r="E28" s="1"/>
      <c r="F28" s="1"/>
      <c r="G28" s="1"/>
      <c r="Z28" s="100">
        <v>275.74</v>
      </c>
      <c r="AA28" s="109">
        <f t="shared" si="18"/>
        <v>548.89</v>
      </c>
      <c r="AB28" s="101">
        <f t="shared" si="19"/>
        <v>301280.23209999996</v>
      </c>
      <c r="AC28" s="101">
        <v>200</v>
      </c>
      <c r="AD28" s="101">
        <f t="shared" si="20"/>
        <v>3.3333333333333335</v>
      </c>
      <c r="AE28" s="101">
        <f t="shared" si="21"/>
        <v>1.1063896592548242E-5</v>
      </c>
      <c r="AF28" s="106"/>
      <c r="AG28" s="101">
        <f t="shared" si="22"/>
        <v>1.8218586602051414E-3</v>
      </c>
      <c r="AH28" s="101">
        <f t="shared" si="23"/>
        <v>-11.411823309944459</v>
      </c>
      <c r="AI28" s="104"/>
      <c r="AJ28" s="7"/>
      <c r="AK28" s="106"/>
      <c r="AL28" s="101">
        <v>-1</v>
      </c>
      <c r="AM28" s="102">
        <f t="shared" si="26"/>
        <v>1</v>
      </c>
      <c r="AN28" s="101">
        <v>1</v>
      </c>
      <c r="AO28" s="105"/>
      <c r="AP28" s="107">
        <f>($AI$20*AD28)/(8.314*AB28)</f>
        <v>0.18278663560548952</v>
      </c>
      <c r="AQ28" s="101">
        <f>(1+(AN28-1)*((2*8.314*AA28)/$AI$20))*EXP(-$AI$20/(8.314*AA28))</f>
        <v>8.4762181433590936E-14</v>
      </c>
      <c r="AR28" s="101">
        <f t="shared" si="25"/>
        <v>2156464504735.5029</v>
      </c>
      <c r="AS28" s="104"/>
    </row>
    <row r="29" spans="3:45" ht="17" thickBot="1" x14ac:dyDescent="0.25">
      <c r="C29" s="1"/>
      <c r="D29" s="1"/>
      <c r="E29" s="1"/>
      <c r="F29" s="1"/>
      <c r="G29" s="1"/>
    </row>
    <row r="30" spans="3:45" ht="17" thickBot="1" x14ac:dyDescent="0.25">
      <c r="C30" s="1"/>
      <c r="D30" s="1"/>
      <c r="E30" s="1"/>
      <c r="F30" s="1"/>
      <c r="G30" s="1"/>
      <c r="Z30" s="118" t="s">
        <v>78</v>
      </c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19"/>
    </row>
    <row r="31" spans="3:45" ht="20" x14ac:dyDescent="0.25">
      <c r="C31" s="2"/>
      <c r="D31" s="2"/>
      <c r="E31" s="2"/>
      <c r="F31" s="2"/>
      <c r="G31" s="2"/>
      <c r="Z31" s="79" t="s">
        <v>55</v>
      </c>
      <c r="AA31" s="80" t="s">
        <v>56</v>
      </c>
      <c r="AB31" s="80" t="s">
        <v>58</v>
      </c>
      <c r="AC31" s="80" t="s">
        <v>59</v>
      </c>
      <c r="AD31" s="80" t="s">
        <v>60</v>
      </c>
      <c r="AE31" s="80" t="s">
        <v>61</v>
      </c>
      <c r="AF31" s="81"/>
      <c r="AG31" s="80" t="s">
        <v>62</v>
      </c>
      <c r="AH31" s="80" t="s">
        <v>63</v>
      </c>
      <c r="AI31" s="82" t="s">
        <v>57</v>
      </c>
      <c r="AJ31" s="85" t="s">
        <v>64</v>
      </c>
      <c r="AK31" s="80" t="s">
        <v>65</v>
      </c>
      <c r="AL31" s="83" t="s">
        <v>76</v>
      </c>
      <c r="AM31" s="80" t="s">
        <v>67</v>
      </c>
      <c r="AN31" s="80" t="s">
        <v>68</v>
      </c>
      <c r="AO31" s="80" t="s">
        <v>69</v>
      </c>
      <c r="AP31" s="84" t="s">
        <v>71</v>
      </c>
      <c r="AQ31" s="83" t="s">
        <v>72</v>
      </c>
      <c r="AR31" s="80" t="s">
        <v>73</v>
      </c>
      <c r="AS31" s="76" t="s">
        <v>74</v>
      </c>
    </row>
    <row r="32" spans="3:45" x14ac:dyDescent="0.2">
      <c r="Z32" s="86">
        <v>328.79</v>
      </c>
      <c r="AA32" s="111">
        <f>Z32+273.15</f>
        <v>601.94000000000005</v>
      </c>
      <c r="AB32" s="87">
        <f>AA32^2</f>
        <v>362331.76360000006</v>
      </c>
      <c r="AC32" s="87">
        <v>0.2</v>
      </c>
      <c r="AD32" s="87">
        <f>AC32/60</f>
        <v>3.3333333333333335E-3</v>
      </c>
      <c r="AE32" s="87">
        <f>AD32/AB32</f>
        <v>9.199671870372375E-9</v>
      </c>
      <c r="AF32" s="91"/>
      <c r="AG32" s="87">
        <f>1/AA32</f>
        <v>1.6612951456955842E-3</v>
      </c>
      <c r="AH32" s="87">
        <f>LN(AE32)</f>
        <v>-18.504098019791346</v>
      </c>
      <c r="AI32" s="136">
        <f>(22620*8.314)/1000</f>
        <v>188.06268</v>
      </c>
      <c r="AJ32" s="128"/>
      <c r="AK32" s="91"/>
      <c r="AL32" s="87">
        <v>-1</v>
      </c>
      <c r="AM32" s="88">
        <f>ABS(AL32)</f>
        <v>1</v>
      </c>
      <c r="AN32" s="87">
        <v>1</v>
      </c>
      <c r="AO32" s="127">
        <f>AVERAGE(AN32:AN42)</f>
        <v>1</v>
      </c>
      <c r="AP32" s="92">
        <f>($AI$34*AD32)/(8.314*AB32)</f>
        <v>2.0809657770782308E-4</v>
      </c>
      <c r="AQ32" s="87">
        <f>(1+(AN32-1)*((2*8.314*AA32)/$AI$34))*EXP(-$AI$34/(8.314*AA32))</f>
        <v>4.784829467360248E-17</v>
      </c>
      <c r="AR32" s="87">
        <f t="shared" ref="AR32:AR42" si="27">AP32/AQ32</f>
        <v>4349090790536.1211</v>
      </c>
      <c r="AS32" s="134">
        <f>AVERAGE(AR32:AR42)</f>
        <v>4760236859012.1504</v>
      </c>
    </row>
    <row r="33" spans="14:45" x14ac:dyDescent="0.2">
      <c r="N33" s="113"/>
      <c r="Z33" s="93">
        <v>343.38</v>
      </c>
      <c r="AA33" s="99">
        <f t="shared" ref="AA33:AA42" si="28">Z33+273.15</f>
        <v>616.53</v>
      </c>
      <c r="AB33" s="94">
        <f t="shared" ref="AB33:AB42" si="29">AA33^2</f>
        <v>380109.24089999998</v>
      </c>
      <c r="AC33" s="94">
        <v>0.5</v>
      </c>
      <c r="AD33" s="94">
        <f t="shared" ref="AD33:AD42" si="30">AC33/60</f>
        <v>8.3333333333333332E-3</v>
      </c>
      <c r="AE33" s="94">
        <f t="shared" ref="AE33:AE42" si="31">AD33/AB33</f>
        <v>2.1923522073817947E-8</v>
      </c>
      <c r="AF33" s="98"/>
      <c r="AG33" s="94">
        <f t="shared" ref="AG33:AG42" si="32">1/AA33</f>
        <v>1.6219810877005174E-3</v>
      </c>
      <c r="AH33" s="94">
        <f t="shared" ref="AH33:AH42" si="33">LN(AE33)</f>
        <v>-17.635705709223924</v>
      </c>
      <c r="AI33" s="9" t="s">
        <v>80</v>
      </c>
      <c r="AJ33" s="2"/>
      <c r="AK33" s="98"/>
      <c r="AL33" s="94">
        <v>-1</v>
      </c>
      <c r="AM33" s="95">
        <f t="shared" ref="AM33:AM34" si="34">ABS(AL33)</f>
        <v>1</v>
      </c>
      <c r="AN33" s="94">
        <v>1</v>
      </c>
      <c r="AO33" s="54"/>
      <c r="AP33" s="6">
        <f>($AI$34*AD33)/(8.314*AB33)</f>
        <v>4.9591006930976194E-4</v>
      </c>
      <c r="AQ33" s="94">
        <f>(1+(AN33-1)*((2*8.314*AA33)/$AI$34))*EXP(-$AI$34/(8.314*AA33))</f>
        <v>1.1643340400401546E-16</v>
      </c>
      <c r="AR33" s="94">
        <f t="shared" si="27"/>
        <v>4259173503959.9067</v>
      </c>
      <c r="AS33" s="97"/>
    </row>
    <row r="34" spans="14:45" x14ac:dyDescent="0.2">
      <c r="Z34" s="93">
        <v>354.05</v>
      </c>
      <c r="AA34" s="99">
        <f t="shared" si="28"/>
        <v>627.20000000000005</v>
      </c>
      <c r="AB34" s="94">
        <f t="shared" si="29"/>
        <v>393379.84000000008</v>
      </c>
      <c r="AC34" s="94">
        <v>1</v>
      </c>
      <c r="AD34" s="94">
        <f t="shared" si="30"/>
        <v>1.6666666666666666E-2</v>
      </c>
      <c r="AE34" s="94">
        <f t="shared" si="31"/>
        <v>4.2367871893655409E-8</v>
      </c>
      <c r="AF34" s="98"/>
      <c r="AG34" s="94">
        <f t="shared" si="32"/>
        <v>1.5943877551020406E-3</v>
      </c>
      <c r="AH34" s="94">
        <f t="shared" si="33"/>
        <v>-16.976875500294497</v>
      </c>
      <c r="AI34" s="135">
        <f>(22620*8.314)</f>
        <v>188062.68</v>
      </c>
      <c r="AJ34" s="2"/>
      <c r="AK34" s="98"/>
      <c r="AL34" s="94">
        <v>-1</v>
      </c>
      <c r="AM34" s="95">
        <f t="shared" si="34"/>
        <v>1</v>
      </c>
      <c r="AN34" s="94">
        <v>1</v>
      </c>
      <c r="AO34" s="54"/>
      <c r="AP34" s="6">
        <f>($AI$34*AD34)/(8.314*AB34)</f>
        <v>9.5836126223448534E-4</v>
      </c>
      <c r="AQ34" s="94">
        <f>(1+(AN34-1)*((2*8.314*AA34)/$AI$34))*EXP(-$AI$34/(8.314*AA34))</f>
        <v>2.173438482234985E-16</v>
      </c>
      <c r="AR34" s="94">
        <f t="shared" si="27"/>
        <v>4409424375558.9785</v>
      </c>
      <c r="AS34" s="97"/>
    </row>
    <row r="35" spans="14:45" x14ac:dyDescent="0.2">
      <c r="Z35" s="93">
        <v>366.74</v>
      </c>
      <c r="AA35" s="99">
        <f t="shared" si="28"/>
        <v>639.89</v>
      </c>
      <c r="AB35" s="94">
        <f t="shared" si="29"/>
        <v>409459.2121</v>
      </c>
      <c r="AC35" s="94">
        <v>2</v>
      </c>
      <c r="AD35" s="94">
        <f t="shared" si="30"/>
        <v>3.3333333333333333E-2</v>
      </c>
      <c r="AE35" s="94">
        <f t="shared" si="31"/>
        <v>8.1408189993763069E-8</v>
      </c>
      <c r="AF35" s="98"/>
      <c r="AG35" s="94">
        <f t="shared" si="32"/>
        <v>1.5627686008532716E-3</v>
      </c>
      <c r="AH35" s="94">
        <f t="shared" si="33"/>
        <v>-16.323789954825191</v>
      </c>
      <c r="AI35" s="97"/>
      <c r="AJ35" s="2"/>
      <c r="AK35" s="98"/>
      <c r="AL35" s="94">
        <v>-1</v>
      </c>
      <c r="AM35" s="95">
        <f>ABS(AL35)</f>
        <v>1</v>
      </c>
      <c r="AN35" s="94">
        <v>1</v>
      </c>
      <c r="AO35" s="54"/>
      <c r="AP35" s="6">
        <f>($AI$34*AD35)/(8.314*AB35)</f>
        <v>1.8414532576589207E-3</v>
      </c>
      <c r="AQ35" s="94">
        <f>(1+(AN35-1)*((2*8.314*AA35)/$AI$34))*EXP(-$AI$34/(8.314*AA35))</f>
        <v>4.4439149641018583E-16</v>
      </c>
      <c r="AR35" s="94">
        <f t="shared" si="27"/>
        <v>4143763489027.7192</v>
      </c>
      <c r="AS35" s="97"/>
    </row>
    <row r="36" spans="14:45" x14ac:dyDescent="0.2">
      <c r="Z36" s="93">
        <v>369.43</v>
      </c>
      <c r="AA36" s="99">
        <f t="shared" si="28"/>
        <v>642.57999999999993</v>
      </c>
      <c r="AB36" s="94">
        <f t="shared" si="29"/>
        <v>412909.05639999988</v>
      </c>
      <c r="AC36" s="94">
        <v>5</v>
      </c>
      <c r="AD36" s="94">
        <f t="shared" si="30"/>
        <v>8.3333333333333329E-2</v>
      </c>
      <c r="AE36" s="94">
        <f t="shared" si="31"/>
        <v>2.018200667718107E-7</v>
      </c>
      <c r="AF36" s="98"/>
      <c r="AG36" s="94">
        <f t="shared" si="32"/>
        <v>1.5562264620747612E-3</v>
      </c>
      <c r="AH36" s="94">
        <f t="shared" si="33"/>
        <v>-15.415889295061749</v>
      </c>
      <c r="AI36" s="97"/>
      <c r="AJ36" s="2"/>
      <c r="AK36" s="98"/>
      <c r="AL36" s="94">
        <v>-1</v>
      </c>
      <c r="AM36" s="95">
        <f t="shared" ref="AM36:AM42" si="35">ABS(AL36)</f>
        <v>1</v>
      </c>
      <c r="AN36" s="94">
        <v>1</v>
      </c>
      <c r="AO36" s="54"/>
      <c r="AP36" s="6">
        <f>($AI$34*AD36)/(8.314*AB36)</f>
        <v>4.5651699103783586E-3</v>
      </c>
      <c r="AQ36" s="94">
        <f>(1+(AN36-1)*((2*8.314*AA36)/$AI$34))*EXP(-$AI$34/(8.314*AA36))</f>
        <v>5.1526900379638933E-16</v>
      </c>
      <c r="AR36" s="94">
        <f t="shared" si="27"/>
        <v>8859779798014.5996</v>
      </c>
      <c r="AS36" s="97"/>
    </row>
    <row r="37" spans="14:45" x14ac:dyDescent="0.2">
      <c r="Z37" s="93">
        <v>401.49</v>
      </c>
      <c r="AA37" s="99">
        <f t="shared" si="28"/>
        <v>674.64</v>
      </c>
      <c r="AB37" s="94">
        <f t="shared" si="29"/>
        <v>455139.12959999999</v>
      </c>
      <c r="AC37" s="94">
        <v>10</v>
      </c>
      <c r="AD37" s="94">
        <f t="shared" si="30"/>
        <v>0.16666666666666666</v>
      </c>
      <c r="AE37" s="94">
        <f t="shared" si="31"/>
        <v>3.6618839345485856E-7</v>
      </c>
      <c r="AF37" s="98"/>
      <c r="AG37" s="94">
        <f t="shared" si="32"/>
        <v>1.4822720265623148E-3</v>
      </c>
      <c r="AH37" s="94">
        <f t="shared" si="33"/>
        <v>-14.820117899760827</v>
      </c>
      <c r="AI37" s="97"/>
      <c r="AJ37" s="2"/>
      <c r="AK37" s="98"/>
      <c r="AL37" s="94">
        <v>-1</v>
      </c>
      <c r="AM37" s="95">
        <f t="shared" si="35"/>
        <v>1</v>
      </c>
      <c r="AN37" s="94">
        <v>1</v>
      </c>
      <c r="AO37" s="54"/>
      <c r="AP37" s="6">
        <f>($AI$34*AD37)/(8.314*AB37)</f>
        <v>8.2831814599489007E-3</v>
      </c>
      <c r="AQ37" s="94">
        <f>(1+(AN37-1)*((2*8.314*AA37)/$AI$34))*EXP(-$AI$34/(8.314*AA37))</f>
        <v>2.745005707161867E-15</v>
      </c>
      <c r="AR37" s="94">
        <f t="shared" si="27"/>
        <v>3017546170610.0049</v>
      </c>
      <c r="AS37" s="97"/>
    </row>
    <row r="38" spans="14:45" x14ac:dyDescent="0.2">
      <c r="Z38" s="93">
        <v>416.65</v>
      </c>
      <c r="AA38" s="99">
        <f t="shared" si="28"/>
        <v>689.8</v>
      </c>
      <c r="AB38" s="94">
        <f t="shared" si="29"/>
        <v>475824.03999999992</v>
      </c>
      <c r="AC38" s="94">
        <v>20</v>
      </c>
      <c r="AD38" s="94">
        <f t="shared" si="30"/>
        <v>0.33333333333333331</v>
      </c>
      <c r="AE38" s="94">
        <f t="shared" si="31"/>
        <v>7.005390760276285E-7</v>
      </c>
      <c r="AF38" s="98"/>
      <c r="AG38" s="94">
        <f t="shared" si="32"/>
        <v>1.4496955639315744E-3</v>
      </c>
      <c r="AH38" s="94">
        <f t="shared" si="33"/>
        <v>-14.171415689673591</v>
      </c>
      <c r="AI38" s="97"/>
      <c r="AJ38" s="2"/>
      <c r="AK38" s="98"/>
      <c r="AL38" s="94">
        <v>-1</v>
      </c>
      <c r="AM38" s="95">
        <f t="shared" si="35"/>
        <v>1</v>
      </c>
      <c r="AN38" s="94">
        <v>1</v>
      </c>
      <c r="AO38" s="54"/>
      <c r="AP38" s="6">
        <f>($AI$34*AD38)/(8.314*AB38)</f>
        <v>1.5846193899744957E-2</v>
      </c>
      <c r="AQ38" s="94">
        <f>(1+(AN38-1)*((2*8.314*AA38)/$AI$34))*EXP(-$AI$34/(8.314*AA38))</f>
        <v>5.7354300734355865E-15</v>
      </c>
      <c r="AR38" s="94">
        <f t="shared" si="27"/>
        <v>2762860621932.9097</v>
      </c>
      <c r="AS38" s="97"/>
    </row>
    <row r="39" spans="14:45" x14ac:dyDescent="0.2">
      <c r="Z39" s="93">
        <v>431.51</v>
      </c>
      <c r="AA39" s="99">
        <f t="shared" si="28"/>
        <v>704.66</v>
      </c>
      <c r="AB39" s="94">
        <f t="shared" si="29"/>
        <v>496545.71559999994</v>
      </c>
      <c r="AC39" s="94">
        <v>50</v>
      </c>
      <c r="AD39" s="94">
        <f t="shared" si="30"/>
        <v>0.83333333333333337</v>
      </c>
      <c r="AE39" s="94">
        <f t="shared" si="31"/>
        <v>1.6782610485851778E-6</v>
      </c>
      <c r="AF39" s="98"/>
      <c r="AG39" s="94">
        <f t="shared" si="32"/>
        <v>1.4191241165952375E-3</v>
      </c>
      <c r="AH39" s="94">
        <f>LN(AE39)</f>
        <v>-13.29775239075272</v>
      </c>
      <c r="AI39" s="97"/>
      <c r="AJ39" s="2"/>
      <c r="AK39" s="98"/>
      <c r="AL39" s="94">
        <v>-1</v>
      </c>
      <c r="AM39" s="95">
        <f t="shared" si="35"/>
        <v>1</v>
      </c>
      <c r="AN39" s="94">
        <v>1</v>
      </c>
      <c r="AO39" s="54"/>
      <c r="AP39" s="6">
        <f>($AI$34*AD39)/(8.314*AB39)</f>
        <v>3.7962264918996722E-2</v>
      </c>
      <c r="AQ39" s="94">
        <f>(1+(AN39-1)*((2*8.314*AA39)/$AI$34))*EXP(-$AI$34/(8.314*AA39))</f>
        <v>1.145228046624168E-14</v>
      </c>
      <c r="AR39" s="94">
        <f t="shared" si="27"/>
        <v>3314821448086.2153</v>
      </c>
      <c r="AS39" s="97"/>
    </row>
    <row r="40" spans="14:45" x14ac:dyDescent="0.2">
      <c r="Z40" s="93">
        <v>438.41</v>
      </c>
      <c r="AA40" s="99">
        <f t="shared" si="28"/>
        <v>711.56</v>
      </c>
      <c r="AB40" s="94">
        <f t="shared" si="29"/>
        <v>506317.63359999994</v>
      </c>
      <c r="AC40" s="94">
        <v>100</v>
      </c>
      <c r="AD40" s="94">
        <f t="shared" si="30"/>
        <v>1.6666666666666667</v>
      </c>
      <c r="AE40" s="94">
        <f t="shared" si="31"/>
        <v>3.2917413024239314E-6</v>
      </c>
      <c r="AF40" s="98"/>
      <c r="AG40" s="94">
        <f t="shared" si="32"/>
        <v>1.4053628646916636E-3</v>
      </c>
      <c r="AH40" s="94">
        <f t="shared" si="33"/>
        <v>-12.624093861948147</v>
      </c>
      <c r="AI40" s="97"/>
      <c r="AJ40" s="2"/>
      <c r="AK40" s="98"/>
      <c r="AL40" s="94">
        <v>-1</v>
      </c>
      <c r="AM40" s="95">
        <f t="shared" si="35"/>
        <v>1</v>
      </c>
      <c r="AN40" s="94">
        <v>1</v>
      </c>
      <c r="AO40" s="54"/>
      <c r="AP40" s="6">
        <f>($AI$34*AD40)/(8.314*AB40)</f>
        <v>7.4459188260829312E-2</v>
      </c>
      <c r="AQ40" s="94">
        <f>(1+(AN40-1)*((2*8.314*AA40)/$AI$34))*EXP(-$AI$34/(8.314*AA40))</f>
        <v>1.5634318401958073E-14</v>
      </c>
      <c r="AR40" s="94">
        <f t="shared" si="27"/>
        <v>4762547771286.5244</v>
      </c>
      <c r="AS40" s="97"/>
    </row>
    <row r="41" spans="14:45" x14ac:dyDescent="0.2">
      <c r="Z41" s="93">
        <v>442.04</v>
      </c>
      <c r="AA41" s="99">
        <f t="shared" si="28"/>
        <v>715.19</v>
      </c>
      <c r="AB41" s="94">
        <f t="shared" si="29"/>
        <v>511496.7361000001</v>
      </c>
      <c r="AC41" s="94">
        <v>150</v>
      </c>
      <c r="AD41" s="94">
        <f t="shared" si="30"/>
        <v>2.5</v>
      </c>
      <c r="AE41" s="94">
        <f t="shared" si="31"/>
        <v>4.8876167208058935E-6</v>
      </c>
      <c r="AF41" s="98"/>
      <c r="AG41" s="94">
        <f t="shared" si="32"/>
        <v>1.3982298410212669E-3</v>
      </c>
      <c r="AH41" s="94">
        <f t="shared" si="33"/>
        <v>-12.228805751443137</v>
      </c>
      <c r="AI41" s="97"/>
      <c r="AJ41" s="2"/>
      <c r="AK41" s="98"/>
      <c r="AL41" s="94">
        <v>-1</v>
      </c>
      <c r="AM41" s="95">
        <f t="shared" si="35"/>
        <v>1</v>
      </c>
      <c r="AN41" s="94">
        <v>1</v>
      </c>
      <c r="AO41" s="54"/>
      <c r="AP41" s="6">
        <f>($AI$34*AD41)/(8.314*AB41)</f>
        <v>0.11055789022462931</v>
      </c>
      <c r="AQ41" s="94">
        <f>(1+(AN41-1)*((2*8.314*AA41)/$AI$34))*EXP(-$AI$34/(8.314*AA41))</f>
        <v>1.8371809383149458E-14</v>
      </c>
      <c r="AR41" s="94">
        <f t="shared" si="27"/>
        <v>6017800855588.6992</v>
      </c>
      <c r="AS41" s="97"/>
    </row>
    <row r="42" spans="14:45" ht="17" thickBot="1" x14ac:dyDescent="0.25">
      <c r="Z42" s="100">
        <v>446.66</v>
      </c>
      <c r="AA42" s="109">
        <f t="shared" si="28"/>
        <v>719.81</v>
      </c>
      <c r="AB42" s="101">
        <f t="shared" si="29"/>
        <v>518126.43609999993</v>
      </c>
      <c r="AC42" s="101">
        <v>200</v>
      </c>
      <c r="AD42" s="101">
        <f t="shared" si="30"/>
        <v>3.3333333333333335</v>
      </c>
      <c r="AE42" s="101">
        <f t="shared" si="31"/>
        <v>6.4334361288795352E-6</v>
      </c>
      <c r="AF42" s="106"/>
      <c r="AG42" s="101">
        <f t="shared" si="32"/>
        <v>1.3892554979786334E-3</v>
      </c>
      <c r="AH42" s="101">
        <f t="shared" si="33"/>
        <v>-11.954001772266889</v>
      </c>
      <c r="AI42" s="104"/>
      <c r="AJ42" s="7"/>
      <c r="AK42" s="106"/>
      <c r="AL42" s="101">
        <v>-1</v>
      </c>
      <c r="AM42" s="102">
        <f t="shared" si="35"/>
        <v>1</v>
      </c>
      <c r="AN42" s="101">
        <v>1</v>
      </c>
      <c r="AO42" s="105"/>
      <c r="AP42" s="107">
        <f>($AI$34*AD42)/(8.314*AB42)</f>
        <v>0.14552432523525508</v>
      </c>
      <c r="AQ42" s="101">
        <f>(1+(AN42-1)*((2*8.314*AA42)/$AI$34))*EXP(-$AI$34/(8.314*AA42))</f>
        <v>2.2506789756287546E-14</v>
      </c>
      <c r="AR42" s="101">
        <f t="shared" si="27"/>
        <v>6465796624531.9854</v>
      </c>
      <c r="AS42" s="104"/>
    </row>
    <row r="43" spans="14:45" ht="17" thickBot="1" x14ac:dyDescent="0.25"/>
    <row r="44" spans="14:45" ht="17" thickBot="1" x14ac:dyDescent="0.25">
      <c r="Z44" s="118" t="s">
        <v>79</v>
      </c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19"/>
    </row>
    <row r="45" spans="14:45" ht="20" x14ac:dyDescent="0.25">
      <c r="Z45" s="79" t="s">
        <v>55</v>
      </c>
      <c r="AA45" s="80" t="s">
        <v>56</v>
      </c>
      <c r="AB45" s="80" t="s">
        <v>58</v>
      </c>
      <c r="AC45" s="80" t="s">
        <v>59</v>
      </c>
      <c r="AD45" s="80" t="s">
        <v>60</v>
      </c>
      <c r="AE45" s="80" t="s">
        <v>61</v>
      </c>
      <c r="AF45" s="81"/>
      <c r="AG45" s="80" t="s">
        <v>62</v>
      </c>
      <c r="AH45" s="80" t="s">
        <v>63</v>
      </c>
      <c r="AI45" s="82" t="s">
        <v>57</v>
      </c>
      <c r="AJ45" s="130" t="s">
        <v>64</v>
      </c>
      <c r="AK45" s="114" t="s">
        <v>65</v>
      </c>
      <c r="AL45" s="115" t="s">
        <v>76</v>
      </c>
      <c r="AM45" s="114" t="s">
        <v>67</v>
      </c>
      <c r="AN45" s="114" t="s">
        <v>68</v>
      </c>
      <c r="AO45" s="114" t="s">
        <v>69</v>
      </c>
      <c r="AP45" s="84" t="s">
        <v>71</v>
      </c>
      <c r="AQ45" s="83" t="s">
        <v>72</v>
      </c>
      <c r="AR45" s="80" t="s">
        <v>73</v>
      </c>
      <c r="AS45" s="76" t="s">
        <v>74</v>
      </c>
    </row>
    <row r="46" spans="14:45" x14ac:dyDescent="0.2">
      <c r="Z46" s="86">
        <v>338.55</v>
      </c>
      <c r="AA46" s="111">
        <f>Z46+273.15</f>
        <v>611.70000000000005</v>
      </c>
      <c r="AB46" s="87">
        <f>AA46^2</f>
        <v>374176.89000000007</v>
      </c>
      <c r="AC46" s="87">
        <v>0.2</v>
      </c>
      <c r="AD46" s="87">
        <f>AC46/60</f>
        <v>3.3333333333333335E-3</v>
      </c>
      <c r="AE46" s="87">
        <f>AD46/AB46</f>
        <v>8.9084425639791198E-9</v>
      </c>
      <c r="AF46" s="91"/>
      <c r="AG46" s="87">
        <f>1/AA46</f>
        <v>1.6347882949158082E-3</v>
      </c>
      <c r="AH46" s="87">
        <f>LN(AE46)</f>
        <v>-18.536266407153239</v>
      </c>
      <c r="AI46" s="136">
        <f>(24082*8.314)/1000</f>
        <v>200.217748</v>
      </c>
      <c r="AJ46" s="128"/>
      <c r="AK46" s="91"/>
      <c r="AL46" s="87">
        <v>-1</v>
      </c>
      <c r="AM46" s="88">
        <f>ABS(AL46)</f>
        <v>1</v>
      </c>
      <c r="AN46" s="87">
        <v>1</v>
      </c>
      <c r="AO46" s="127">
        <f>AVERAGE(AN46:AN56)</f>
        <v>1</v>
      </c>
      <c r="AP46" s="90">
        <f>($AI$48*AD46)/(8.314*AB46)</f>
        <v>2.1453311382574518E-4</v>
      </c>
      <c r="AQ46" s="88">
        <f>(1+(AN46-1)*((2*8.314*AA46)/$AI$48))*EXP(-$AI$48/(8.314*AA46))</f>
        <v>7.9849614649888753E-18</v>
      </c>
      <c r="AR46" s="87">
        <f t="shared" ref="AR46:AR56" si="36">AP46/AQ46</f>
        <v>26867144539944.762</v>
      </c>
      <c r="AS46" s="134">
        <f>AVERAGE(AR46:AR56)</f>
        <v>21921579994005.703</v>
      </c>
    </row>
    <row r="47" spans="14:45" x14ac:dyDescent="0.2">
      <c r="Z47" s="93">
        <v>355.07</v>
      </c>
      <c r="AA47" s="99">
        <f t="shared" ref="AA47:AA56" si="37">Z47+273.15</f>
        <v>628.22</v>
      </c>
      <c r="AB47" s="94">
        <f t="shared" ref="AB47:AB56" si="38">AA47^2</f>
        <v>394660.36840000004</v>
      </c>
      <c r="AC47" s="94">
        <v>0.5</v>
      </c>
      <c r="AD47" s="94">
        <f t="shared" ref="AD47:AD56" si="39">AC47/60</f>
        <v>8.3333333333333332E-3</v>
      </c>
      <c r="AE47" s="94">
        <f t="shared" ref="AE47:AE56" si="40">AD47/AB47</f>
        <v>2.1115201830671916E-8</v>
      </c>
      <c r="AF47" s="98"/>
      <c r="AG47" s="94">
        <f t="shared" ref="AG47:AG56" si="41">1/AA47</f>
        <v>1.5917990512877653E-3</v>
      </c>
      <c r="AH47" s="94">
        <f t="shared" ref="AH47:AH52" si="42">LN(AE47)</f>
        <v>-17.673272589966743</v>
      </c>
      <c r="AI47" s="9" t="s">
        <v>80</v>
      </c>
      <c r="AJ47" s="2"/>
      <c r="AK47" s="98"/>
      <c r="AL47" s="94">
        <v>-1</v>
      </c>
      <c r="AM47" s="95">
        <f t="shared" ref="AM47:AM48" si="43">ABS(AL47)</f>
        <v>1</v>
      </c>
      <c r="AN47" s="94">
        <v>1</v>
      </c>
      <c r="AO47" s="54"/>
      <c r="AP47" s="47">
        <f>($AI$48*AD47)/(8.314*AB47)</f>
        <v>5.0849629048624106E-4</v>
      </c>
      <c r="AQ47" s="95">
        <f>(1+(AN47-1)*((2*8.314*AA47)/$AI$48))*EXP(-$AI$48/(8.314*AA47))</f>
        <v>2.248451659024749E-17</v>
      </c>
      <c r="AR47" s="94">
        <f t="shared" si="36"/>
        <v>22615397953754.449</v>
      </c>
      <c r="AS47" s="97"/>
    </row>
    <row r="48" spans="14:45" x14ac:dyDescent="0.2">
      <c r="Z48" s="93">
        <v>364.67</v>
      </c>
      <c r="AA48" s="99">
        <f t="shared" si="37"/>
        <v>637.81999999999994</v>
      </c>
      <c r="AB48" s="94">
        <f t="shared" si="38"/>
        <v>406814.35239999992</v>
      </c>
      <c r="AC48" s="94">
        <v>1</v>
      </c>
      <c r="AD48" s="94">
        <f t="shared" si="39"/>
        <v>1.6666666666666666E-2</v>
      </c>
      <c r="AE48" s="94">
        <f t="shared" si="40"/>
        <v>4.0968728286850554E-8</v>
      </c>
      <c r="AF48" s="98"/>
      <c r="AG48" s="94">
        <f t="shared" si="41"/>
        <v>1.5678404565551412E-3</v>
      </c>
      <c r="AH48" s="94">
        <f t="shared" si="42"/>
        <v>-17.010456785975546</v>
      </c>
      <c r="AI48" s="135">
        <f>(24082*8.314)</f>
        <v>200217.74799999999</v>
      </c>
      <c r="AJ48" s="2"/>
      <c r="AK48" s="98"/>
      <c r="AL48" s="94">
        <v>-1</v>
      </c>
      <c r="AM48" s="95">
        <f t="shared" si="43"/>
        <v>1</v>
      </c>
      <c r="AN48" s="94">
        <v>1</v>
      </c>
      <c r="AO48" s="54"/>
      <c r="AP48" s="47">
        <f>($AI$48*AD48)/(8.314*AB48)</f>
        <v>9.8660891460393505E-4</v>
      </c>
      <c r="AQ48" s="95">
        <f>(1+(AN48-1)*((2*8.314*AA48)/$AI$48))*EXP(-$AI$48/(8.314*AA48))</f>
        <v>4.0036750673035188E-17</v>
      </c>
      <c r="AR48" s="94">
        <f t="shared" si="36"/>
        <v>24642582078180.926</v>
      </c>
      <c r="AS48" s="97"/>
    </row>
    <row r="49" spans="26:45" x14ac:dyDescent="0.2">
      <c r="Z49" s="93">
        <v>382.22</v>
      </c>
      <c r="AA49" s="99">
        <f t="shared" si="37"/>
        <v>655.37</v>
      </c>
      <c r="AB49" s="94">
        <f t="shared" si="38"/>
        <v>429509.83689999999</v>
      </c>
      <c r="AC49" s="94">
        <v>2</v>
      </c>
      <c r="AD49" s="94">
        <f t="shared" si="39"/>
        <v>3.3333333333333333E-2</v>
      </c>
      <c r="AE49" s="94">
        <f t="shared" si="40"/>
        <v>7.7607846129713011E-8</v>
      </c>
      <c r="AF49" s="98"/>
      <c r="AG49" s="94">
        <f t="shared" si="41"/>
        <v>1.5258556235409006E-3</v>
      </c>
      <c r="AH49" s="94">
        <f t="shared" si="42"/>
        <v>-16.371597304949518</v>
      </c>
      <c r="AI49" s="97"/>
      <c r="AJ49" s="2"/>
      <c r="AK49" s="98"/>
      <c r="AL49" s="94">
        <v>-1</v>
      </c>
      <c r="AM49" s="95">
        <f>ABS(AL49)</f>
        <v>1</v>
      </c>
      <c r="AN49" s="94">
        <v>1</v>
      </c>
      <c r="AO49" s="54"/>
      <c r="AP49" s="47">
        <f>($AI$48*AD49)/(8.314*AB49)</f>
        <v>1.8689521504957486E-3</v>
      </c>
      <c r="AQ49" s="95">
        <f>(1+(AN49-1)*((2*8.314*AA49)/$AI$48))*EXP(-$AI$48/(8.314*AA49))</f>
        <v>1.1004358865267816E-16</v>
      </c>
      <c r="AR49" s="94">
        <f>AP49/AQ49</f>
        <v>16983744108841.941</v>
      </c>
      <c r="AS49" s="97"/>
    </row>
    <row r="50" spans="26:45" x14ac:dyDescent="0.2">
      <c r="Z50" s="93">
        <v>398.93</v>
      </c>
      <c r="AA50" s="99">
        <f t="shared" si="37"/>
        <v>672.07999999999993</v>
      </c>
      <c r="AB50" s="94">
        <f t="shared" si="38"/>
        <v>451691.52639999992</v>
      </c>
      <c r="AC50" s="94">
        <v>5</v>
      </c>
      <c r="AD50" s="94">
        <f t="shared" si="39"/>
        <v>8.3333333333333329E-2</v>
      </c>
      <c r="AE50" s="94">
        <f t="shared" si="40"/>
        <v>1.8449169059579982E-7</v>
      </c>
      <c r="AF50" s="98"/>
      <c r="AG50" s="94">
        <f t="shared" si="41"/>
        <v>1.4879181049875017E-3</v>
      </c>
      <c r="AH50" s="94">
        <f t="shared" si="42"/>
        <v>-15.505661411901183</v>
      </c>
      <c r="AI50" s="97"/>
      <c r="AJ50" s="2"/>
      <c r="AK50" s="98"/>
      <c r="AL50" s="94">
        <v>-1</v>
      </c>
      <c r="AM50" s="95">
        <f t="shared" ref="AM50:AM56" si="44">ABS(AL50)</f>
        <v>1</v>
      </c>
      <c r="AN50" s="94">
        <v>1</v>
      </c>
      <c r="AO50" s="54"/>
      <c r="AP50" s="47">
        <f>($AI$48*AD50)/(8.314*AB50)</f>
        <v>4.4429288929280514E-3</v>
      </c>
      <c r="AQ50" s="95">
        <f>(1+(AN50-1)*((2*8.314*AA50)/$AI$48))*EXP(-$AI$48/(8.314*AA50))</f>
        <v>2.7437282853744808E-16</v>
      </c>
      <c r="AR50" s="94">
        <f t="shared" si="36"/>
        <v>16193035281996.422</v>
      </c>
      <c r="AS50" s="97"/>
    </row>
    <row r="51" spans="26:45" x14ac:dyDescent="0.2">
      <c r="Z51" s="93">
        <v>421.41</v>
      </c>
      <c r="AA51" s="99">
        <f t="shared" si="37"/>
        <v>694.56</v>
      </c>
      <c r="AB51" s="94">
        <f t="shared" si="38"/>
        <v>482413.59359999991</v>
      </c>
      <c r="AC51" s="94">
        <v>10</v>
      </c>
      <c r="AD51" s="94">
        <f t="shared" si="39"/>
        <v>0.16666666666666666</v>
      </c>
      <c r="AE51" s="94">
        <f t="shared" si="40"/>
        <v>3.4548501302154579E-7</v>
      </c>
      <c r="AF51" s="98"/>
      <c r="AG51" s="94">
        <f t="shared" si="41"/>
        <v>1.439760423865469E-3</v>
      </c>
      <c r="AH51" s="94">
        <f t="shared" si="42"/>
        <v>-14.878316572330622</v>
      </c>
      <c r="AI51" s="97"/>
      <c r="AJ51" s="2"/>
      <c r="AK51" s="98"/>
      <c r="AL51" s="94">
        <v>-1</v>
      </c>
      <c r="AM51" s="95">
        <f t="shared" si="44"/>
        <v>1</v>
      </c>
      <c r="AN51" s="94">
        <v>1</v>
      </c>
      <c r="AO51" s="54"/>
      <c r="AP51" s="47">
        <f>($AI$48*AD51)/(8.314*AB51)</f>
        <v>8.3199700835848642E-3</v>
      </c>
      <c r="AQ51" s="95">
        <f>(1+(AN51-1)*((2*8.314*AA51)/$AI$48))*EXP(-$AI$48/(8.314*AA51))</f>
        <v>8.7499760250940071E-16</v>
      </c>
      <c r="AR51" s="94">
        <f t="shared" si="36"/>
        <v>9508563291743.9648</v>
      </c>
      <c r="AS51" s="97"/>
    </row>
    <row r="52" spans="26:45" x14ac:dyDescent="0.2">
      <c r="Z52" s="93">
        <v>430.08</v>
      </c>
      <c r="AA52" s="99">
        <f t="shared" si="37"/>
        <v>703.23</v>
      </c>
      <c r="AB52" s="94">
        <f t="shared" si="38"/>
        <v>494532.43290000001</v>
      </c>
      <c r="AC52" s="94">
        <v>20</v>
      </c>
      <c r="AD52" s="94">
        <f t="shared" si="39"/>
        <v>0.33333333333333331</v>
      </c>
      <c r="AE52" s="94">
        <f t="shared" si="40"/>
        <v>6.7403735560603165E-7</v>
      </c>
      <c r="AF52" s="98"/>
      <c r="AG52" s="94">
        <f t="shared" si="41"/>
        <v>1.4220098687484891E-3</v>
      </c>
      <c r="AH52" s="94">
        <f t="shared" si="42"/>
        <v>-14.209980303822121</v>
      </c>
      <c r="AI52" s="97"/>
      <c r="AJ52" s="2"/>
      <c r="AK52" s="98"/>
      <c r="AL52" s="94">
        <v>-1</v>
      </c>
      <c r="AM52" s="95">
        <f t="shared" si="44"/>
        <v>1</v>
      </c>
      <c r="AN52" s="94">
        <v>1</v>
      </c>
      <c r="AO52" s="54"/>
      <c r="AP52" s="47">
        <f>($AI$48*AD52)/(8.314*AB52)</f>
        <v>1.6232167597704454E-2</v>
      </c>
      <c r="AQ52" s="95">
        <f>(1+(AN52-1)*((2*8.314*AA52)/$AI$48))*EXP(-$AI$48/(8.314*AA52))</f>
        <v>1.3416963359501431E-15</v>
      </c>
      <c r="AR52" s="94">
        <f t="shared" si="36"/>
        <v>12098242473181.826</v>
      </c>
      <c r="AS52" s="97"/>
    </row>
    <row r="53" spans="26:45" x14ac:dyDescent="0.2">
      <c r="Z53" s="93">
        <v>436.94</v>
      </c>
      <c r="AA53" s="99">
        <f t="shared" si="37"/>
        <v>710.08999999999992</v>
      </c>
      <c r="AB53" s="94">
        <f t="shared" si="38"/>
        <v>504227.80809999991</v>
      </c>
      <c r="AC53" s="94">
        <v>50</v>
      </c>
      <c r="AD53" s="94">
        <f t="shared" si="39"/>
        <v>0.83333333333333337</v>
      </c>
      <c r="AE53" s="94">
        <f t="shared" si="40"/>
        <v>1.6526921362656466E-6</v>
      </c>
      <c r="AF53" s="98"/>
      <c r="AG53" s="94">
        <f t="shared" si="41"/>
        <v>1.4082721908490474E-3</v>
      </c>
      <c r="AH53" s="94">
        <f>LN(AE53)</f>
        <v>-13.313105001924555</v>
      </c>
      <c r="AI53" s="97"/>
      <c r="AJ53" s="2"/>
      <c r="AK53" s="98"/>
      <c r="AL53" s="94">
        <v>-1</v>
      </c>
      <c r="AM53" s="95">
        <f t="shared" si="44"/>
        <v>1</v>
      </c>
      <c r="AN53" s="94">
        <v>1</v>
      </c>
      <c r="AO53" s="54"/>
      <c r="AP53" s="47">
        <f>($AI$48*AD53)/(8.314*AB53)</f>
        <v>3.9800132025549301E-2</v>
      </c>
      <c r="AQ53" s="95">
        <f>(1+(AN53-1)*((2*8.314*AA53)/$AI$48))*EXP(-$AI$48/(8.314*AA53))</f>
        <v>1.8678078955630008E-15</v>
      </c>
      <c r="AR53" s="94">
        <f t="shared" si="36"/>
        <v>21308471883053.375</v>
      </c>
      <c r="AS53" s="97"/>
    </row>
    <row r="54" spans="26:45" x14ac:dyDescent="0.2">
      <c r="Z54" s="93">
        <v>445.48</v>
      </c>
      <c r="AA54" s="99">
        <f t="shared" si="37"/>
        <v>718.63</v>
      </c>
      <c r="AB54" s="94">
        <f t="shared" si="38"/>
        <v>516429.07689999999</v>
      </c>
      <c r="AC54" s="94">
        <v>100</v>
      </c>
      <c r="AD54" s="94">
        <f t="shared" si="39"/>
        <v>1.6666666666666667</v>
      </c>
      <c r="AE54" s="94">
        <f t="shared" si="40"/>
        <v>3.2272905249086041E-6</v>
      </c>
      <c r="AF54" s="98"/>
      <c r="AG54" s="94">
        <f t="shared" si="41"/>
        <v>1.3915366739490418E-3</v>
      </c>
      <c r="AH54" s="94">
        <f t="shared" ref="AH54:AH56" si="45">LN(AE54)</f>
        <v>-12.643867619536069</v>
      </c>
      <c r="AI54" s="97"/>
      <c r="AJ54" s="2"/>
      <c r="AK54" s="98"/>
      <c r="AL54" s="94">
        <v>-1</v>
      </c>
      <c r="AM54" s="95">
        <f t="shared" si="44"/>
        <v>1</v>
      </c>
      <c r="AN54" s="94">
        <v>1</v>
      </c>
      <c r="AO54" s="54"/>
      <c r="AP54" s="47">
        <f>($AI$48*AD54)/(8.314*AB54)</f>
        <v>7.7719610420848989E-2</v>
      </c>
      <c r="AQ54" s="95">
        <f>(1+(AN54-1)*((2*8.314*AA54)/$AI$48))*EXP(-$AI$48/(8.314*AA54))</f>
        <v>2.7948829094571998E-15</v>
      </c>
      <c r="AR54" s="94">
        <f t="shared" si="36"/>
        <v>27807823418242.262</v>
      </c>
      <c r="AS54" s="97"/>
    </row>
    <row r="55" spans="26:45" x14ac:dyDescent="0.2">
      <c r="Z55" s="93">
        <v>452.87</v>
      </c>
      <c r="AA55" s="99">
        <f t="shared" si="37"/>
        <v>726.02</v>
      </c>
      <c r="AB55" s="94">
        <f t="shared" si="38"/>
        <v>527105.04039999994</v>
      </c>
      <c r="AC55" s="94">
        <v>150</v>
      </c>
      <c r="AD55" s="94">
        <f t="shared" si="39"/>
        <v>2.5</v>
      </c>
      <c r="AE55" s="94">
        <f t="shared" si="40"/>
        <v>4.7428876758659813E-6</v>
      </c>
      <c r="AF55" s="98"/>
      <c r="AG55" s="94">
        <f t="shared" si="41"/>
        <v>1.3773725241728878E-3</v>
      </c>
      <c r="AH55" s="94">
        <f t="shared" si="45"/>
        <v>-12.25886439343528</v>
      </c>
      <c r="AI55" s="97"/>
      <c r="AJ55" s="2"/>
      <c r="AK55" s="98"/>
      <c r="AL55" s="94">
        <v>-1</v>
      </c>
      <c r="AM55" s="95">
        <f t="shared" si="44"/>
        <v>1</v>
      </c>
      <c r="AN55" s="94">
        <v>1</v>
      </c>
      <c r="AO55" s="54"/>
      <c r="AP55" s="47">
        <f>($AI$48*AD55)/(8.314*AB55)</f>
        <v>0.11421822101020455</v>
      </c>
      <c r="AQ55" s="95">
        <f>(1+(AN55-1)*((2*8.314*AA55)/$AI$48))*EXP(-$AI$48/(8.314*AA55))</f>
        <v>3.9309898632985758E-15</v>
      </c>
      <c r="AR55" s="94">
        <f t="shared" si="36"/>
        <v>29055842162452.605</v>
      </c>
      <c r="AS55" s="97"/>
    </row>
    <row r="56" spans="26:45" ht="17" thickBot="1" x14ac:dyDescent="0.25">
      <c r="Z56" s="100">
        <v>455.54</v>
      </c>
      <c r="AA56" s="109">
        <f t="shared" si="37"/>
        <v>728.69</v>
      </c>
      <c r="AB56" s="101">
        <f t="shared" si="38"/>
        <v>530989.1161000001</v>
      </c>
      <c r="AC56" s="101">
        <v>200</v>
      </c>
      <c r="AD56" s="101">
        <f t="shared" si="39"/>
        <v>3.3333333333333335</v>
      </c>
      <c r="AE56" s="101">
        <f t="shared" si="40"/>
        <v>6.2775925763148286E-6</v>
      </c>
      <c r="AF56" s="106"/>
      <c r="AG56" s="101">
        <f t="shared" si="41"/>
        <v>1.372325680330456E-3</v>
      </c>
      <c r="AH56" s="101">
        <f t="shared" si="45"/>
        <v>-11.978523998701256</v>
      </c>
      <c r="AI56" s="104"/>
      <c r="AJ56" s="7"/>
      <c r="AK56" s="106"/>
      <c r="AL56" s="101">
        <v>-1</v>
      </c>
      <c r="AM56" s="102">
        <f t="shared" si="44"/>
        <v>1</v>
      </c>
      <c r="AN56" s="101">
        <v>1</v>
      </c>
      <c r="AO56" s="105"/>
      <c r="AP56" s="48">
        <f>($AI$48*AD56)/(8.314*AB56)</f>
        <v>0.15117698442281369</v>
      </c>
      <c r="AQ56" s="102">
        <f>(1+(AN56-1)*((2*8.314*AA56)/$AI$48))*EXP(-$AI$48/(8.314*AA56))</f>
        <v>4.4390010446777089E-15</v>
      </c>
      <c r="AR56" s="101">
        <f t="shared" si="36"/>
        <v>34056532742670.215</v>
      </c>
      <c r="AS56" s="104"/>
    </row>
  </sheetData>
  <mergeCells count="5">
    <mergeCell ref="Z30:AS30"/>
    <mergeCell ref="Z44:AS44"/>
    <mergeCell ref="B2:W2"/>
    <mergeCell ref="Z2:AS2"/>
    <mergeCell ref="Z16:AS16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Chapter 3</vt:lpstr>
      <vt:lpstr>Chapter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Laudani A.A.M.</dc:creator>
  <cp:lastModifiedBy>Laudani A.A.M.</cp:lastModifiedBy>
  <dcterms:created xsi:type="dcterms:W3CDTF">2018-08-22T19:18:06Z</dcterms:created>
  <dcterms:modified xsi:type="dcterms:W3CDTF">2022-05-09T15:37:38Z</dcterms:modified>
</cp:coreProperties>
</file>